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งานตั๊กปี2565\รายงานเบิกจ่ายปี2565\"/>
    </mc:Choice>
  </mc:AlternateContent>
  <xr:revisionPtr revIDLastSave="0" documentId="13_ncr:1_{F9C835ED-567C-47AB-80E3-B415553C2729}" xr6:coauthVersionLast="47" xr6:coauthVersionMax="47" xr10:uidLastSave="{00000000-0000-0000-0000-000000000000}"/>
  <bookViews>
    <workbookView xWindow="-120" yWindow="-120" windowWidth="20730" windowHeight="11160" tabRatio="626" firstSheet="1" activeTab="6" xr2:uid="{00000000-000D-0000-FFFF-FFFF00000000}"/>
  </bookViews>
  <sheets>
    <sheet name="รายจ่ายจริง" sheetId="131" r:id="rId1"/>
    <sheet name="รายงานผู้บริหาร" sheetId="170" r:id="rId2"/>
    <sheet name="งบลงทุน" sheetId="77" r:id="rId3"/>
    <sheet name="งบรายจ่ายอื่น" sheetId="171" r:id="rId4"/>
    <sheet name="เงินกันปี64" sheetId="186" r:id="rId5"/>
    <sheet name="เงินกันปี63" sheetId="174" r:id="rId6"/>
    <sheet name="1. สรุปเบิกจ่าย65รวมงบ(GF)" sheetId="136" r:id="rId7"/>
    <sheet name="2. สุรปเบิกจ่าย แยกงบ (GF)" sheetId="141" r:id="rId8"/>
    <sheet name="3.งบบุคลากร (GF)" sheetId="137" r:id="rId9"/>
    <sheet name="4. งบดำเนินงาน (GF)" sheetId="163" r:id="rId10"/>
    <sheet name="5.งบลงทุน" sheetId="139" r:id="rId11"/>
    <sheet name="6.งบรายจ่ายอื่น (GF)" sheetId="164" r:id="rId12"/>
    <sheet name="Sheet3" sheetId="179" r:id="rId13"/>
    <sheet name="เบิกแทน กรมคุม" sheetId="135" r:id="rId14"/>
    <sheet name="แผนภูมิแท่ง" sheetId="177" r:id="rId15"/>
    <sheet name="Sheet1" sheetId="172" r:id="rId16"/>
    <sheet name="12. เงินกันปี 62" sheetId="167" r:id="rId17"/>
    <sheet name="ไม่ใช้แล้วไม่ต้องเปิด" sheetId="160" r:id="rId18"/>
    <sheet name="เบิกแทน กรมคุม (2)" sheetId="180" r:id="rId19"/>
    <sheet name="12. รายงานผู้บริหาร (2)" sheetId="178" r:id="rId20"/>
    <sheet name="เงินกันปี63 (2)" sheetId="176" r:id="rId21"/>
    <sheet name="Sheet2" sheetId="173" r:id="rId22"/>
    <sheet name="1.รายจ่ายจริง (2)" sheetId="175" r:id="rId23"/>
    <sheet name="เทียบงบ" sheetId="147" r:id="rId24"/>
    <sheet name="Sheet4" sheetId="181" r:id="rId25"/>
    <sheet name="แผนภูมิแท่ง (2)" sheetId="182" r:id="rId26"/>
    <sheet name="งบลงทุน (ชมพู่)" sheetId="183" r:id="rId27"/>
    <sheet name="เงินกันปี63 (3)" sheetId="184" r:id="rId28"/>
    <sheet name="เงินกันปี63 (4)" sheetId="185" r:id="rId29"/>
  </sheets>
  <definedNames>
    <definedName name="_xlnm.Print_Titles" localSheetId="6">'1. สรุปเบิกจ่าย65รวมงบ(GF)'!$1:$7</definedName>
    <definedName name="_xlnm.Print_Titles" localSheetId="22">'1.รายจ่ายจริง (2)'!$1:$6</definedName>
    <definedName name="_xlnm.Print_Titles" localSheetId="16">'12. เงินกันปี 62'!$1:$4</definedName>
    <definedName name="_xlnm.Print_Titles" localSheetId="7">'2. สุรปเบิกจ่าย แยกงบ (GF)'!$1:$6</definedName>
    <definedName name="_xlnm.Print_Titles" localSheetId="8">'3.งบบุคลากร (GF)'!$1:$7</definedName>
    <definedName name="_xlnm.Print_Titles" localSheetId="9">'4. งบดำเนินงาน (GF)'!$1:$7</definedName>
    <definedName name="_xlnm.Print_Titles" localSheetId="10">'5.งบลงทุน'!$1:$7</definedName>
    <definedName name="_xlnm.Print_Titles" localSheetId="11">'6.งบรายจ่ายอื่น (GF)'!$1:$6</definedName>
    <definedName name="_xlnm.Print_Titles" localSheetId="3">งบรายจ่ายอื่น!$1:$7</definedName>
    <definedName name="_xlnm.Print_Titles" localSheetId="2">งบลงทุน!$1:$7</definedName>
    <definedName name="_xlnm.Print_Titles" localSheetId="26">'งบลงทุน (ชมพู่)'!$1:$7</definedName>
    <definedName name="_xlnm.Print_Titles" localSheetId="5">เงินกันปี63!$1:$5</definedName>
    <definedName name="_xlnm.Print_Titles" localSheetId="20">'เงินกันปี63 (2)'!$1:$5</definedName>
    <definedName name="_xlnm.Print_Titles" localSheetId="27">'เงินกันปี63 (3)'!$1:$5</definedName>
    <definedName name="_xlnm.Print_Titles" localSheetId="28">'เงินกันปี63 (4)'!$1:$5</definedName>
    <definedName name="_xlnm.Print_Titles" localSheetId="4">เงินกันปี64!$1:$5</definedName>
    <definedName name="_xlnm.Print_Titles" localSheetId="13">'เบิกแทน กรมคุม'!$1:$7</definedName>
    <definedName name="_xlnm.Print_Titles" localSheetId="18">'เบิกแทน กรมคุม (2)'!$1:$7</definedName>
    <definedName name="_xlnm.Print_Titles" localSheetId="0">รายจ่ายจริง!$1:$6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9" i="139" l="1"/>
  <c r="F27" i="139" l="1"/>
  <c r="F28" i="139"/>
  <c r="F29" i="139"/>
  <c r="F30" i="139"/>
  <c r="I30" i="139" s="1"/>
  <c r="F31" i="139"/>
  <c r="F9" i="139"/>
  <c r="F10" i="139"/>
  <c r="F11" i="139"/>
  <c r="F12" i="139"/>
  <c r="I12" i="139" s="1"/>
  <c r="F13" i="139"/>
  <c r="F14" i="139"/>
  <c r="J14" i="139" s="1"/>
  <c r="F15" i="139"/>
  <c r="F16" i="139"/>
  <c r="F17" i="139"/>
  <c r="F18" i="139"/>
  <c r="I18" i="139" s="1"/>
  <c r="F19" i="139"/>
  <c r="F20" i="139"/>
  <c r="F21" i="139"/>
  <c r="F22" i="139"/>
  <c r="F23" i="139"/>
  <c r="I8" i="77"/>
  <c r="H8" i="77"/>
  <c r="I44" i="186"/>
  <c r="G43" i="170" s="1"/>
  <c r="I36" i="186"/>
  <c r="I12" i="186"/>
  <c r="H66" i="131"/>
  <c r="H67" i="131" s="1"/>
  <c r="H65" i="131"/>
  <c r="H58" i="131"/>
  <c r="H57" i="131"/>
  <c r="H34" i="131"/>
  <c r="H26" i="131"/>
  <c r="I22" i="186"/>
  <c r="J24" i="131"/>
  <c r="G42" i="170"/>
  <c r="G46" i="170"/>
  <c r="I46" i="170" s="1"/>
  <c r="H46" i="170"/>
  <c r="F46" i="170"/>
  <c r="F45" i="170"/>
  <c r="H102" i="164"/>
  <c r="G102" i="164"/>
  <c r="H101" i="164"/>
  <c r="G101" i="164"/>
  <c r="H100" i="164"/>
  <c r="G100" i="164"/>
  <c r="H99" i="164"/>
  <c r="G99" i="164"/>
  <c r="H98" i="164"/>
  <c r="G98" i="164"/>
  <c r="H97" i="164"/>
  <c r="G97" i="164"/>
  <c r="H96" i="164"/>
  <c r="G96" i="164"/>
  <c r="H95" i="164"/>
  <c r="G95" i="164"/>
  <c r="H94" i="164"/>
  <c r="G94" i="164"/>
  <c r="H93" i="164"/>
  <c r="G93" i="164"/>
  <c r="H92" i="164"/>
  <c r="G92" i="164"/>
  <c r="H91" i="164"/>
  <c r="G91" i="164"/>
  <c r="H90" i="164"/>
  <c r="G90" i="164"/>
  <c r="H89" i="164"/>
  <c r="G89" i="164"/>
  <c r="H88" i="164"/>
  <c r="G88" i="164"/>
  <c r="H87" i="164"/>
  <c r="G87" i="164"/>
  <c r="H86" i="164"/>
  <c r="G86" i="164"/>
  <c r="H85" i="164"/>
  <c r="G85" i="164"/>
  <c r="H84" i="164"/>
  <c r="G84" i="164"/>
  <c r="H83" i="164"/>
  <c r="G83" i="164"/>
  <c r="H82" i="164"/>
  <c r="G82" i="164"/>
  <c r="H81" i="164"/>
  <c r="G81" i="164"/>
  <c r="H80" i="164"/>
  <c r="G80" i="164"/>
  <c r="H79" i="164"/>
  <c r="G79" i="164"/>
  <c r="H78" i="164"/>
  <c r="G78" i="164"/>
  <c r="H77" i="164"/>
  <c r="G77" i="164"/>
  <c r="H76" i="164"/>
  <c r="G76" i="164"/>
  <c r="H75" i="164"/>
  <c r="G75" i="164"/>
  <c r="H74" i="164"/>
  <c r="G74" i="164"/>
  <c r="H73" i="164"/>
  <c r="G73" i="164"/>
  <c r="H72" i="164"/>
  <c r="G72" i="164"/>
  <c r="H71" i="164"/>
  <c r="G71" i="164"/>
  <c r="H70" i="164"/>
  <c r="G70" i="164"/>
  <c r="H69" i="164"/>
  <c r="G69" i="164"/>
  <c r="H68" i="164"/>
  <c r="G68" i="164"/>
  <c r="H67" i="164"/>
  <c r="G67" i="164"/>
  <c r="H66" i="164"/>
  <c r="G66" i="164"/>
  <c r="H65" i="164"/>
  <c r="G65" i="164"/>
  <c r="H64" i="164"/>
  <c r="G64" i="164"/>
  <c r="H63" i="164"/>
  <c r="G63" i="164"/>
  <c r="H62" i="164"/>
  <c r="G62" i="164"/>
  <c r="H61" i="164"/>
  <c r="G61" i="164"/>
  <c r="H60" i="164"/>
  <c r="G60" i="164"/>
  <c r="H59" i="164"/>
  <c r="G59" i="164"/>
  <c r="H58" i="164"/>
  <c r="G58" i="164"/>
  <c r="H57" i="164"/>
  <c r="G57" i="164"/>
  <c r="H56" i="164"/>
  <c r="G56" i="164"/>
  <c r="H55" i="164"/>
  <c r="G55" i="164"/>
  <c r="H54" i="164"/>
  <c r="G54" i="164"/>
  <c r="H53" i="164"/>
  <c r="G53" i="164"/>
  <c r="H52" i="164"/>
  <c r="G52" i="164"/>
  <c r="H51" i="164"/>
  <c r="G51" i="164"/>
  <c r="H50" i="164"/>
  <c r="G50" i="164"/>
  <c r="H49" i="164"/>
  <c r="G49" i="164"/>
  <c r="H48" i="164"/>
  <c r="G48" i="164"/>
  <c r="H47" i="164"/>
  <c r="G47" i="164"/>
  <c r="H46" i="164"/>
  <c r="G46" i="164"/>
  <c r="H45" i="164"/>
  <c r="G45" i="164"/>
  <c r="H44" i="164"/>
  <c r="G44" i="164"/>
  <c r="H43" i="164"/>
  <c r="G43" i="164"/>
  <c r="H42" i="164"/>
  <c r="G42" i="164"/>
  <c r="H41" i="164"/>
  <c r="G41" i="164"/>
  <c r="H40" i="164"/>
  <c r="G40" i="164"/>
  <c r="H39" i="164"/>
  <c r="G39" i="164"/>
  <c r="H38" i="164"/>
  <c r="G38" i="164"/>
  <c r="H37" i="164"/>
  <c r="G37" i="164"/>
  <c r="H36" i="164"/>
  <c r="G36" i="164"/>
  <c r="H35" i="164"/>
  <c r="G35" i="164"/>
  <c r="H34" i="164"/>
  <c r="G34" i="164"/>
  <c r="H33" i="164"/>
  <c r="G33" i="164"/>
  <c r="H32" i="164"/>
  <c r="G32" i="164"/>
  <c r="H31" i="164"/>
  <c r="G31" i="164"/>
  <c r="H30" i="164"/>
  <c r="G30" i="164"/>
  <c r="H29" i="164"/>
  <c r="G29" i="164"/>
  <c r="H28" i="164"/>
  <c r="G28" i="164"/>
  <c r="H27" i="164"/>
  <c r="G27" i="164"/>
  <c r="H26" i="164"/>
  <c r="G26" i="164"/>
  <c r="H25" i="164"/>
  <c r="G25" i="164"/>
  <c r="H24" i="164"/>
  <c r="G24" i="164"/>
  <c r="H23" i="164"/>
  <c r="G23" i="164"/>
  <c r="H22" i="164"/>
  <c r="G22" i="164"/>
  <c r="H21" i="164"/>
  <c r="G21" i="164"/>
  <c r="H20" i="164"/>
  <c r="G20" i="164"/>
  <c r="H19" i="164"/>
  <c r="G19" i="164"/>
  <c r="H18" i="164"/>
  <c r="G18" i="164"/>
  <c r="H17" i="164"/>
  <c r="G17" i="164"/>
  <c r="H16" i="164"/>
  <c r="G16" i="164"/>
  <c r="H15" i="164"/>
  <c r="G15" i="164"/>
  <c r="H14" i="164"/>
  <c r="G14" i="164"/>
  <c r="H13" i="164"/>
  <c r="G13" i="164"/>
  <c r="H12" i="164"/>
  <c r="G12" i="164"/>
  <c r="H11" i="164"/>
  <c r="G11" i="164"/>
  <c r="H10" i="164"/>
  <c r="G10" i="164"/>
  <c r="H9" i="164"/>
  <c r="G9" i="164"/>
  <c r="H8" i="164"/>
  <c r="G8" i="164"/>
  <c r="I103" i="139"/>
  <c r="F103" i="139"/>
  <c r="J103" i="139" s="1"/>
  <c r="F102" i="139"/>
  <c r="I102" i="139" s="1"/>
  <c r="F101" i="139"/>
  <c r="I101" i="139" s="1"/>
  <c r="F100" i="139"/>
  <c r="J100" i="139" s="1"/>
  <c r="F99" i="139"/>
  <c r="I99" i="139" s="1"/>
  <c r="F98" i="139"/>
  <c r="I98" i="139" s="1"/>
  <c r="F97" i="139"/>
  <c r="J97" i="139" s="1"/>
  <c r="F96" i="139"/>
  <c r="I96" i="139" s="1"/>
  <c r="F95" i="139"/>
  <c r="I95" i="139" s="1"/>
  <c r="F94" i="139"/>
  <c r="J94" i="139" s="1"/>
  <c r="F93" i="139"/>
  <c r="I93" i="139" s="1"/>
  <c r="F92" i="139"/>
  <c r="I92" i="139" s="1"/>
  <c r="J91" i="139"/>
  <c r="F91" i="139"/>
  <c r="I91" i="139" s="1"/>
  <c r="F90" i="139"/>
  <c r="I90" i="139" s="1"/>
  <c r="F89" i="139"/>
  <c r="I89" i="139" s="1"/>
  <c r="F88" i="139"/>
  <c r="J88" i="139" s="1"/>
  <c r="F87" i="139"/>
  <c r="I87" i="139" s="1"/>
  <c r="F86" i="139"/>
  <c r="I86" i="139" s="1"/>
  <c r="F85" i="139"/>
  <c r="F84" i="139"/>
  <c r="I84" i="139" s="1"/>
  <c r="F83" i="139"/>
  <c r="I83" i="139" s="1"/>
  <c r="F82" i="139"/>
  <c r="J82" i="139" s="1"/>
  <c r="J81" i="139"/>
  <c r="F81" i="139"/>
  <c r="I81" i="139" s="1"/>
  <c r="F80" i="139"/>
  <c r="F79" i="139"/>
  <c r="J79" i="139" s="1"/>
  <c r="J78" i="139"/>
  <c r="F78" i="139"/>
  <c r="I78" i="139" s="1"/>
  <c r="F77" i="139"/>
  <c r="I77" i="139" s="1"/>
  <c r="F76" i="139"/>
  <c r="J76" i="139" s="1"/>
  <c r="F75" i="139"/>
  <c r="I75" i="139" s="1"/>
  <c r="F74" i="139"/>
  <c r="J74" i="139" s="1"/>
  <c r="F73" i="139"/>
  <c r="J73" i="139" s="1"/>
  <c r="F72" i="139"/>
  <c r="I72" i="139" s="1"/>
  <c r="F71" i="139"/>
  <c r="I71" i="139" s="1"/>
  <c r="F70" i="139"/>
  <c r="I70" i="139" s="1"/>
  <c r="F69" i="139"/>
  <c r="I69" i="139" s="1"/>
  <c r="F68" i="139"/>
  <c r="F67" i="139"/>
  <c r="I67" i="139" s="1"/>
  <c r="J66" i="139"/>
  <c r="F66" i="139"/>
  <c r="I66" i="139" s="1"/>
  <c r="F65" i="139"/>
  <c r="I65" i="139" s="1"/>
  <c r="F64" i="139"/>
  <c r="J64" i="139" s="1"/>
  <c r="J63" i="139"/>
  <c r="F63" i="139"/>
  <c r="I63" i="139" s="1"/>
  <c r="F62" i="139"/>
  <c r="I62" i="139" s="1"/>
  <c r="I61" i="139"/>
  <c r="F61" i="139"/>
  <c r="J61" i="139" s="1"/>
  <c r="J60" i="139"/>
  <c r="F60" i="139"/>
  <c r="I60" i="139" s="1"/>
  <c r="F59" i="139"/>
  <c r="I59" i="139" s="1"/>
  <c r="F58" i="139"/>
  <c r="J58" i="139" s="1"/>
  <c r="F57" i="139"/>
  <c r="I57" i="139" s="1"/>
  <c r="F56" i="139"/>
  <c r="F55" i="139"/>
  <c r="J55" i="139" s="1"/>
  <c r="J54" i="139"/>
  <c r="F54" i="139"/>
  <c r="I54" i="139" s="1"/>
  <c r="F53" i="139"/>
  <c r="I53" i="139" s="1"/>
  <c r="J52" i="139"/>
  <c r="I52" i="139"/>
  <c r="F52" i="139"/>
  <c r="J51" i="139"/>
  <c r="F51" i="139"/>
  <c r="I51" i="139" s="1"/>
  <c r="F50" i="139"/>
  <c r="J50" i="139" s="1"/>
  <c r="F49" i="139"/>
  <c r="F48" i="139"/>
  <c r="I48" i="139" s="1"/>
  <c r="F47" i="139"/>
  <c r="I47" i="139" s="1"/>
  <c r="F46" i="139"/>
  <c r="J46" i="139" s="1"/>
  <c r="F45" i="139"/>
  <c r="I45" i="139" s="1"/>
  <c r="F44" i="139"/>
  <c r="I44" i="139" s="1"/>
  <c r="F43" i="139"/>
  <c r="J43" i="139" s="1"/>
  <c r="F42" i="139"/>
  <c r="I42" i="139" s="1"/>
  <c r="F41" i="139"/>
  <c r="J41" i="139" s="1"/>
  <c r="F40" i="139"/>
  <c r="F39" i="139"/>
  <c r="I39" i="139" s="1"/>
  <c r="F38" i="139"/>
  <c r="I38" i="139" s="1"/>
  <c r="F37" i="139"/>
  <c r="F36" i="139"/>
  <c r="I36" i="139" s="1"/>
  <c r="F35" i="139"/>
  <c r="I35" i="139" s="1"/>
  <c r="F34" i="139"/>
  <c r="J33" i="139"/>
  <c r="F33" i="139"/>
  <c r="I33" i="139" s="1"/>
  <c r="F32" i="139"/>
  <c r="J32" i="139" s="1"/>
  <c r="J31" i="139"/>
  <c r="I29" i="139"/>
  <c r="J28" i="139"/>
  <c r="I27" i="139"/>
  <c r="F26" i="139"/>
  <c r="I26" i="139" s="1"/>
  <c r="F25" i="139"/>
  <c r="J25" i="139" s="1"/>
  <c r="F24" i="139"/>
  <c r="I24" i="139" s="1"/>
  <c r="I23" i="139"/>
  <c r="I22" i="139"/>
  <c r="J22" i="139"/>
  <c r="I21" i="139"/>
  <c r="I20" i="139"/>
  <c r="I19" i="139"/>
  <c r="J19" i="139"/>
  <c r="I17" i="139"/>
  <c r="I16" i="139"/>
  <c r="J16" i="139"/>
  <c r="I15" i="139"/>
  <c r="I13" i="139"/>
  <c r="J13" i="139"/>
  <c r="I11" i="139"/>
  <c r="I10" i="139"/>
  <c r="J10" i="139"/>
  <c r="I9" i="139"/>
  <c r="H103" i="163"/>
  <c r="G103" i="163"/>
  <c r="H102" i="163"/>
  <c r="G102" i="163"/>
  <c r="H101" i="163"/>
  <c r="G101" i="163"/>
  <c r="H100" i="163"/>
  <c r="G100" i="163"/>
  <c r="H99" i="163"/>
  <c r="G99" i="163"/>
  <c r="H98" i="163"/>
  <c r="G98" i="163"/>
  <c r="H97" i="163"/>
  <c r="G97" i="163"/>
  <c r="H96" i="163"/>
  <c r="G96" i="163"/>
  <c r="H95" i="163"/>
  <c r="G95" i="163"/>
  <c r="H94" i="163"/>
  <c r="G94" i="163"/>
  <c r="H93" i="163"/>
  <c r="G93" i="163"/>
  <c r="H92" i="163"/>
  <c r="G92" i="163"/>
  <c r="H91" i="163"/>
  <c r="G91" i="163"/>
  <c r="H90" i="163"/>
  <c r="G90" i="163"/>
  <c r="H89" i="163"/>
  <c r="G89" i="163"/>
  <c r="H88" i="163"/>
  <c r="G88" i="163"/>
  <c r="H87" i="163"/>
  <c r="G87" i="163"/>
  <c r="H86" i="163"/>
  <c r="G86" i="163"/>
  <c r="H85" i="163"/>
  <c r="G85" i="163"/>
  <c r="H84" i="163"/>
  <c r="G84" i="163"/>
  <c r="H83" i="163"/>
  <c r="G83" i="163"/>
  <c r="H82" i="163"/>
  <c r="G82" i="163"/>
  <c r="H81" i="163"/>
  <c r="G81" i="163"/>
  <c r="H80" i="163"/>
  <c r="G80" i="163"/>
  <c r="H79" i="163"/>
  <c r="G79" i="163"/>
  <c r="H78" i="163"/>
  <c r="G78" i="163"/>
  <c r="H77" i="163"/>
  <c r="G77" i="163"/>
  <c r="H76" i="163"/>
  <c r="G76" i="163"/>
  <c r="H75" i="163"/>
  <c r="G75" i="163"/>
  <c r="H74" i="163"/>
  <c r="G74" i="163"/>
  <c r="H73" i="163"/>
  <c r="G73" i="163"/>
  <c r="H72" i="163"/>
  <c r="G72" i="163"/>
  <c r="H71" i="163"/>
  <c r="G71" i="163"/>
  <c r="H70" i="163"/>
  <c r="G70" i="163"/>
  <c r="H69" i="163"/>
  <c r="G69" i="163"/>
  <c r="H68" i="163"/>
  <c r="G68" i="163"/>
  <c r="H67" i="163"/>
  <c r="G67" i="163"/>
  <c r="H66" i="163"/>
  <c r="G66" i="163"/>
  <c r="H65" i="163"/>
  <c r="G65" i="163"/>
  <c r="H64" i="163"/>
  <c r="G64" i="163"/>
  <c r="H63" i="163"/>
  <c r="G63" i="163"/>
  <c r="H62" i="163"/>
  <c r="G62" i="163"/>
  <c r="H61" i="163"/>
  <c r="G61" i="163"/>
  <c r="H60" i="163"/>
  <c r="G60" i="163"/>
  <c r="H59" i="163"/>
  <c r="G59" i="163"/>
  <c r="H58" i="163"/>
  <c r="G58" i="163"/>
  <c r="H57" i="163"/>
  <c r="G57" i="163"/>
  <c r="H56" i="163"/>
  <c r="G56" i="163"/>
  <c r="H55" i="163"/>
  <c r="G55" i="163"/>
  <c r="H54" i="163"/>
  <c r="G54" i="163"/>
  <c r="H53" i="163"/>
  <c r="G53" i="163"/>
  <c r="H52" i="163"/>
  <c r="G52" i="163"/>
  <c r="H51" i="163"/>
  <c r="G51" i="163"/>
  <c r="H50" i="163"/>
  <c r="G50" i="163"/>
  <c r="H49" i="163"/>
  <c r="G49" i="163"/>
  <c r="H48" i="163"/>
  <c r="G48" i="163"/>
  <c r="H47" i="163"/>
  <c r="G47" i="163"/>
  <c r="H46" i="163"/>
  <c r="G46" i="163"/>
  <c r="H45" i="163"/>
  <c r="G45" i="163"/>
  <c r="H44" i="163"/>
  <c r="G44" i="163"/>
  <c r="H43" i="163"/>
  <c r="G43" i="163"/>
  <c r="H42" i="163"/>
  <c r="G42" i="163"/>
  <c r="H41" i="163"/>
  <c r="G41" i="163"/>
  <c r="H40" i="163"/>
  <c r="G40" i="163"/>
  <c r="H39" i="163"/>
  <c r="G39" i="163"/>
  <c r="H38" i="163"/>
  <c r="G38" i="163"/>
  <c r="H37" i="163"/>
  <c r="G37" i="163"/>
  <c r="H36" i="163"/>
  <c r="G36" i="163"/>
  <c r="H35" i="163"/>
  <c r="G35" i="163"/>
  <c r="H34" i="163"/>
  <c r="G34" i="163"/>
  <c r="H33" i="163"/>
  <c r="G33" i="163"/>
  <c r="H32" i="163"/>
  <c r="G32" i="163"/>
  <c r="H31" i="163"/>
  <c r="G31" i="163"/>
  <c r="H30" i="163"/>
  <c r="G30" i="163"/>
  <c r="H29" i="163"/>
  <c r="G29" i="163"/>
  <c r="H28" i="163"/>
  <c r="G28" i="163"/>
  <c r="H27" i="163"/>
  <c r="G27" i="163"/>
  <c r="H26" i="163"/>
  <c r="G26" i="163"/>
  <c r="H25" i="163"/>
  <c r="G25" i="163"/>
  <c r="H24" i="163"/>
  <c r="G24" i="163"/>
  <c r="H23" i="163"/>
  <c r="G23" i="163"/>
  <c r="H22" i="163"/>
  <c r="G22" i="163"/>
  <c r="H21" i="163"/>
  <c r="G21" i="163"/>
  <c r="H20" i="163"/>
  <c r="G20" i="163"/>
  <c r="H19" i="163"/>
  <c r="G19" i="163"/>
  <c r="H18" i="163"/>
  <c r="G18" i="163"/>
  <c r="H17" i="163"/>
  <c r="G17" i="163"/>
  <c r="H16" i="163"/>
  <c r="G16" i="163"/>
  <c r="H15" i="163"/>
  <c r="G15" i="163"/>
  <c r="H14" i="163"/>
  <c r="G14" i="163"/>
  <c r="H13" i="163"/>
  <c r="G13" i="163"/>
  <c r="H12" i="163"/>
  <c r="G12" i="163"/>
  <c r="H11" i="163"/>
  <c r="G11" i="163"/>
  <c r="H10" i="163"/>
  <c r="G10" i="163"/>
  <c r="H9" i="163"/>
  <c r="G9" i="163"/>
  <c r="H103" i="137"/>
  <c r="G103" i="137"/>
  <c r="H102" i="137"/>
  <c r="G102" i="137"/>
  <c r="H101" i="137"/>
  <c r="G101" i="137"/>
  <c r="H100" i="137"/>
  <c r="G100" i="137"/>
  <c r="H99" i="137"/>
  <c r="G99" i="137"/>
  <c r="H98" i="137"/>
  <c r="G98" i="137"/>
  <c r="H97" i="137"/>
  <c r="G97" i="137"/>
  <c r="H96" i="137"/>
  <c r="G96" i="137"/>
  <c r="H95" i="137"/>
  <c r="G95" i="137"/>
  <c r="H94" i="137"/>
  <c r="G94" i="137"/>
  <c r="H93" i="137"/>
  <c r="G93" i="137"/>
  <c r="H92" i="137"/>
  <c r="G92" i="137"/>
  <c r="H91" i="137"/>
  <c r="G91" i="137"/>
  <c r="H90" i="137"/>
  <c r="G90" i="137"/>
  <c r="H89" i="137"/>
  <c r="G89" i="137"/>
  <c r="H88" i="137"/>
  <c r="G88" i="137"/>
  <c r="H87" i="137"/>
  <c r="G87" i="137"/>
  <c r="H86" i="137"/>
  <c r="G86" i="137"/>
  <c r="H85" i="137"/>
  <c r="G85" i="137"/>
  <c r="H84" i="137"/>
  <c r="G84" i="137"/>
  <c r="H83" i="137"/>
  <c r="G83" i="137"/>
  <c r="H82" i="137"/>
  <c r="G82" i="137"/>
  <c r="H81" i="137"/>
  <c r="G81" i="137"/>
  <c r="H80" i="137"/>
  <c r="G80" i="137"/>
  <c r="H79" i="137"/>
  <c r="G79" i="137"/>
  <c r="H78" i="137"/>
  <c r="G78" i="137"/>
  <c r="H77" i="137"/>
  <c r="G77" i="137"/>
  <c r="H76" i="137"/>
  <c r="G76" i="137"/>
  <c r="H75" i="137"/>
  <c r="G75" i="137"/>
  <c r="H74" i="137"/>
  <c r="G74" i="137"/>
  <c r="H73" i="137"/>
  <c r="G73" i="137"/>
  <c r="H72" i="137"/>
  <c r="G72" i="137"/>
  <c r="H71" i="137"/>
  <c r="G71" i="137"/>
  <c r="H70" i="137"/>
  <c r="G70" i="137"/>
  <c r="H69" i="137"/>
  <c r="G69" i="137"/>
  <c r="H68" i="137"/>
  <c r="G68" i="137"/>
  <c r="H67" i="137"/>
  <c r="G67" i="137"/>
  <c r="H66" i="137"/>
  <c r="G66" i="137"/>
  <c r="H65" i="137"/>
  <c r="G65" i="137"/>
  <c r="H64" i="137"/>
  <c r="G64" i="137"/>
  <c r="H63" i="137"/>
  <c r="G63" i="137"/>
  <c r="H62" i="137"/>
  <c r="G62" i="137"/>
  <c r="H61" i="137"/>
  <c r="G61" i="137"/>
  <c r="H60" i="137"/>
  <c r="G60" i="137"/>
  <c r="H59" i="137"/>
  <c r="G59" i="137"/>
  <c r="H58" i="137"/>
  <c r="G58" i="137"/>
  <c r="H57" i="137"/>
  <c r="G57" i="137"/>
  <c r="H56" i="137"/>
  <c r="G56" i="137"/>
  <c r="H55" i="137"/>
  <c r="G55" i="137"/>
  <c r="H54" i="137"/>
  <c r="G54" i="137"/>
  <c r="H53" i="137"/>
  <c r="G53" i="137"/>
  <c r="H52" i="137"/>
  <c r="G52" i="137"/>
  <c r="H51" i="137"/>
  <c r="G51" i="137"/>
  <c r="H50" i="137"/>
  <c r="G50" i="137"/>
  <c r="H49" i="137"/>
  <c r="G49" i="137"/>
  <c r="H48" i="137"/>
  <c r="G48" i="137"/>
  <c r="H47" i="137"/>
  <c r="G47" i="137"/>
  <c r="H46" i="137"/>
  <c r="G46" i="137"/>
  <c r="H45" i="137"/>
  <c r="G45" i="137"/>
  <c r="H44" i="137"/>
  <c r="G44" i="137"/>
  <c r="H43" i="137"/>
  <c r="G43" i="137"/>
  <c r="H42" i="137"/>
  <c r="G42" i="137"/>
  <c r="H41" i="137"/>
  <c r="G41" i="137"/>
  <c r="H40" i="137"/>
  <c r="G40" i="137"/>
  <c r="H39" i="137"/>
  <c r="G39" i="137"/>
  <c r="H38" i="137"/>
  <c r="G38" i="137"/>
  <c r="H37" i="137"/>
  <c r="G37" i="137"/>
  <c r="H36" i="137"/>
  <c r="G36" i="137"/>
  <c r="H35" i="137"/>
  <c r="G35" i="137"/>
  <c r="H34" i="137"/>
  <c r="G34" i="137"/>
  <c r="H33" i="137"/>
  <c r="G33" i="137"/>
  <c r="H32" i="137"/>
  <c r="G32" i="137"/>
  <c r="H31" i="137"/>
  <c r="G31" i="137"/>
  <c r="H30" i="137"/>
  <c r="G30" i="137"/>
  <c r="H29" i="137"/>
  <c r="G29" i="137"/>
  <c r="H28" i="137"/>
  <c r="G28" i="137"/>
  <c r="H27" i="137"/>
  <c r="G27" i="137"/>
  <c r="H26" i="137"/>
  <c r="G26" i="137"/>
  <c r="H25" i="137"/>
  <c r="G25" i="137"/>
  <c r="H24" i="137"/>
  <c r="G24" i="137"/>
  <c r="H23" i="137"/>
  <c r="G23" i="137"/>
  <c r="H22" i="137"/>
  <c r="G22" i="137"/>
  <c r="H21" i="137"/>
  <c r="G21" i="137"/>
  <c r="H20" i="137"/>
  <c r="G20" i="137"/>
  <c r="H19" i="137"/>
  <c r="G19" i="137"/>
  <c r="H18" i="137"/>
  <c r="G18" i="137"/>
  <c r="H17" i="137"/>
  <c r="G17" i="137"/>
  <c r="H16" i="137"/>
  <c r="G16" i="137"/>
  <c r="H15" i="137"/>
  <c r="G15" i="137"/>
  <c r="H14" i="137"/>
  <c r="G14" i="137"/>
  <c r="H13" i="137"/>
  <c r="G13" i="137"/>
  <c r="H12" i="137"/>
  <c r="G12" i="137"/>
  <c r="H11" i="137"/>
  <c r="G11" i="137"/>
  <c r="H10" i="137"/>
  <c r="G10" i="137"/>
  <c r="H9" i="137"/>
  <c r="G9" i="137"/>
  <c r="K103" i="135"/>
  <c r="M103" i="135" s="1"/>
  <c r="J103" i="135"/>
  <c r="L103" i="135" s="1"/>
  <c r="I103" i="135"/>
  <c r="F103" i="135"/>
  <c r="E103" i="135"/>
  <c r="K102" i="135"/>
  <c r="M102" i="135" s="1"/>
  <c r="J102" i="135"/>
  <c r="L102" i="135" s="1"/>
  <c r="I102" i="135"/>
  <c r="F102" i="135"/>
  <c r="E102" i="135"/>
  <c r="K101" i="135"/>
  <c r="J101" i="135"/>
  <c r="L101" i="135" s="1"/>
  <c r="I101" i="135"/>
  <c r="E101" i="135"/>
  <c r="F101" i="135" s="1"/>
  <c r="K100" i="135"/>
  <c r="J100" i="135"/>
  <c r="I100" i="135"/>
  <c r="E100" i="135"/>
  <c r="F100" i="135" s="1"/>
  <c r="L99" i="135"/>
  <c r="J99" i="135"/>
  <c r="I99" i="135"/>
  <c r="E99" i="135"/>
  <c r="K99" i="135" s="1"/>
  <c r="M99" i="135" s="1"/>
  <c r="J98" i="135"/>
  <c r="I98" i="135"/>
  <c r="E98" i="135"/>
  <c r="K97" i="135"/>
  <c r="M97" i="135" s="1"/>
  <c r="J97" i="135"/>
  <c r="L97" i="135" s="1"/>
  <c r="I97" i="135"/>
  <c r="F97" i="135"/>
  <c r="E97" i="135"/>
  <c r="K96" i="135"/>
  <c r="M96" i="135" s="1"/>
  <c r="J96" i="135"/>
  <c r="L96" i="135" s="1"/>
  <c r="I96" i="135"/>
  <c r="F96" i="135"/>
  <c r="E96" i="135"/>
  <c r="K95" i="135"/>
  <c r="J95" i="135"/>
  <c r="I95" i="135"/>
  <c r="E95" i="135"/>
  <c r="F95" i="135" s="1"/>
  <c r="K94" i="135"/>
  <c r="J94" i="135"/>
  <c r="I94" i="135"/>
  <c r="E94" i="135"/>
  <c r="F94" i="135" s="1"/>
  <c r="J93" i="135"/>
  <c r="I93" i="135"/>
  <c r="E93" i="135"/>
  <c r="K93" i="135" s="1"/>
  <c r="M93" i="135" s="1"/>
  <c r="J92" i="135"/>
  <c r="I92" i="135"/>
  <c r="E92" i="135"/>
  <c r="K91" i="135"/>
  <c r="M91" i="135" s="1"/>
  <c r="J91" i="135"/>
  <c r="L91" i="135" s="1"/>
  <c r="I91" i="135"/>
  <c r="F91" i="135"/>
  <c r="E91" i="135"/>
  <c r="K90" i="135"/>
  <c r="M90" i="135" s="1"/>
  <c r="J90" i="135"/>
  <c r="L90" i="135" s="1"/>
  <c r="I90" i="135"/>
  <c r="F90" i="135"/>
  <c r="E90" i="135"/>
  <c r="K89" i="135"/>
  <c r="M89" i="135" s="1"/>
  <c r="J89" i="135"/>
  <c r="I89" i="135"/>
  <c r="E89" i="135"/>
  <c r="F89" i="135" s="1"/>
  <c r="K88" i="135"/>
  <c r="J88" i="135"/>
  <c r="I88" i="135"/>
  <c r="E88" i="135"/>
  <c r="F88" i="135" s="1"/>
  <c r="L87" i="135"/>
  <c r="J87" i="135"/>
  <c r="I87" i="135"/>
  <c r="E87" i="135"/>
  <c r="K87" i="135" s="1"/>
  <c r="M87" i="135" s="1"/>
  <c r="J86" i="135"/>
  <c r="I86" i="135"/>
  <c r="E86" i="135"/>
  <c r="K85" i="135"/>
  <c r="M85" i="135" s="1"/>
  <c r="J85" i="135"/>
  <c r="I85" i="135"/>
  <c r="F85" i="135"/>
  <c r="E85" i="135"/>
  <c r="K84" i="135"/>
  <c r="M84" i="135" s="1"/>
  <c r="J84" i="135"/>
  <c r="L84" i="135" s="1"/>
  <c r="I84" i="135"/>
  <c r="F84" i="135"/>
  <c r="E84" i="135"/>
  <c r="K83" i="135"/>
  <c r="J83" i="135"/>
  <c r="L83" i="135" s="1"/>
  <c r="I83" i="135"/>
  <c r="E83" i="135"/>
  <c r="F83" i="135" s="1"/>
  <c r="K82" i="135"/>
  <c r="J82" i="135"/>
  <c r="I82" i="135"/>
  <c r="E82" i="135"/>
  <c r="F82" i="135" s="1"/>
  <c r="L81" i="135"/>
  <c r="J81" i="135"/>
  <c r="I81" i="135"/>
  <c r="E81" i="135"/>
  <c r="K81" i="135" s="1"/>
  <c r="M81" i="135" s="1"/>
  <c r="J80" i="135"/>
  <c r="I80" i="135"/>
  <c r="E80" i="135"/>
  <c r="K79" i="135"/>
  <c r="M79" i="135" s="1"/>
  <c r="J79" i="135"/>
  <c r="I79" i="135"/>
  <c r="F79" i="135"/>
  <c r="E79" i="135"/>
  <c r="K78" i="135"/>
  <c r="M78" i="135" s="1"/>
  <c r="J78" i="135"/>
  <c r="I78" i="135"/>
  <c r="F78" i="135"/>
  <c r="E78" i="135"/>
  <c r="K77" i="135"/>
  <c r="J77" i="135"/>
  <c r="L77" i="135" s="1"/>
  <c r="I77" i="135"/>
  <c r="E77" i="135"/>
  <c r="F77" i="135" s="1"/>
  <c r="K76" i="135"/>
  <c r="J76" i="135"/>
  <c r="I76" i="135"/>
  <c r="E76" i="135"/>
  <c r="F76" i="135" s="1"/>
  <c r="J75" i="135"/>
  <c r="I75" i="135"/>
  <c r="E75" i="135"/>
  <c r="K75" i="135" s="1"/>
  <c r="M75" i="135" s="1"/>
  <c r="J74" i="135"/>
  <c r="I74" i="135"/>
  <c r="E74" i="135"/>
  <c r="K73" i="135"/>
  <c r="M73" i="135" s="1"/>
  <c r="J73" i="135"/>
  <c r="I73" i="135"/>
  <c r="F73" i="135"/>
  <c r="E73" i="135"/>
  <c r="K72" i="135"/>
  <c r="M72" i="135" s="1"/>
  <c r="J72" i="135"/>
  <c r="I72" i="135"/>
  <c r="F72" i="135"/>
  <c r="E72" i="135"/>
  <c r="K71" i="135"/>
  <c r="M71" i="135" s="1"/>
  <c r="J71" i="135"/>
  <c r="L71" i="135" s="1"/>
  <c r="I71" i="135"/>
  <c r="E71" i="135"/>
  <c r="F71" i="135" s="1"/>
  <c r="K70" i="135"/>
  <c r="J70" i="135"/>
  <c r="I70" i="135"/>
  <c r="E70" i="135"/>
  <c r="F70" i="135" s="1"/>
  <c r="L69" i="135"/>
  <c r="J69" i="135"/>
  <c r="I69" i="135"/>
  <c r="E69" i="135"/>
  <c r="K69" i="135" s="1"/>
  <c r="M69" i="135" s="1"/>
  <c r="J68" i="135"/>
  <c r="I68" i="135"/>
  <c r="E68" i="135"/>
  <c r="K67" i="135"/>
  <c r="M67" i="135" s="1"/>
  <c r="J67" i="135"/>
  <c r="L67" i="135" s="1"/>
  <c r="I67" i="135"/>
  <c r="F67" i="135"/>
  <c r="E67" i="135"/>
  <c r="K66" i="135"/>
  <c r="M66" i="135" s="1"/>
  <c r="J66" i="135"/>
  <c r="I66" i="135"/>
  <c r="F66" i="135"/>
  <c r="E66" i="135"/>
  <c r="K65" i="135"/>
  <c r="J65" i="135"/>
  <c r="L65" i="135" s="1"/>
  <c r="I65" i="135"/>
  <c r="E65" i="135"/>
  <c r="F65" i="135" s="1"/>
  <c r="K64" i="135"/>
  <c r="J64" i="135"/>
  <c r="I64" i="135"/>
  <c r="E64" i="135"/>
  <c r="F64" i="135" s="1"/>
  <c r="L63" i="135"/>
  <c r="J63" i="135"/>
  <c r="I63" i="135"/>
  <c r="E63" i="135"/>
  <c r="K63" i="135" s="1"/>
  <c r="M63" i="135" s="1"/>
  <c r="J62" i="135"/>
  <c r="I62" i="135"/>
  <c r="E62" i="135"/>
  <c r="K61" i="135"/>
  <c r="M61" i="135" s="1"/>
  <c r="J61" i="135"/>
  <c r="L61" i="135" s="1"/>
  <c r="I61" i="135"/>
  <c r="F61" i="135"/>
  <c r="E61" i="135"/>
  <c r="K60" i="135"/>
  <c r="M60" i="135" s="1"/>
  <c r="J60" i="135"/>
  <c r="L60" i="135" s="1"/>
  <c r="I60" i="135"/>
  <c r="F60" i="135"/>
  <c r="E60" i="135"/>
  <c r="K59" i="135"/>
  <c r="J59" i="135"/>
  <c r="I59" i="135"/>
  <c r="E59" i="135"/>
  <c r="F59" i="135" s="1"/>
  <c r="K58" i="135"/>
  <c r="J58" i="135"/>
  <c r="I58" i="135"/>
  <c r="E58" i="135"/>
  <c r="F58" i="135" s="1"/>
  <c r="J57" i="135"/>
  <c r="I57" i="135"/>
  <c r="E57" i="135"/>
  <c r="K57" i="135" s="1"/>
  <c r="M57" i="135" s="1"/>
  <c r="J56" i="135"/>
  <c r="I56" i="135"/>
  <c r="E56" i="135"/>
  <c r="K55" i="135"/>
  <c r="M55" i="135" s="1"/>
  <c r="J55" i="135"/>
  <c r="L55" i="135" s="1"/>
  <c r="I55" i="135"/>
  <c r="F55" i="135"/>
  <c r="E55" i="135"/>
  <c r="K54" i="135"/>
  <c r="M54" i="135" s="1"/>
  <c r="J54" i="135"/>
  <c r="L54" i="135" s="1"/>
  <c r="I54" i="135"/>
  <c r="F54" i="135"/>
  <c r="E54" i="135"/>
  <c r="K53" i="135"/>
  <c r="M53" i="135" s="1"/>
  <c r="J53" i="135"/>
  <c r="I53" i="135"/>
  <c r="E53" i="135"/>
  <c r="F53" i="135" s="1"/>
  <c r="K52" i="135"/>
  <c r="J52" i="135"/>
  <c r="I52" i="135"/>
  <c r="E52" i="135"/>
  <c r="F52" i="135" s="1"/>
  <c r="L51" i="135"/>
  <c r="J51" i="135"/>
  <c r="I51" i="135"/>
  <c r="E51" i="135"/>
  <c r="K51" i="135" s="1"/>
  <c r="M51" i="135" s="1"/>
  <c r="J50" i="135"/>
  <c r="I50" i="135"/>
  <c r="E50" i="135"/>
  <c r="K49" i="135"/>
  <c r="M49" i="135" s="1"/>
  <c r="J49" i="135"/>
  <c r="L49" i="135" s="1"/>
  <c r="I49" i="135"/>
  <c r="F49" i="135"/>
  <c r="E49" i="135"/>
  <c r="K48" i="135"/>
  <c r="M48" i="135" s="1"/>
  <c r="J48" i="135"/>
  <c r="L48" i="135" s="1"/>
  <c r="I48" i="135"/>
  <c r="F48" i="135"/>
  <c r="E48" i="135"/>
  <c r="K47" i="135"/>
  <c r="J47" i="135"/>
  <c r="L47" i="135" s="1"/>
  <c r="I47" i="135"/>
  <c r="E47" i="135"/>
  <c r="F47" i="135" s="1"/>
  <c r="K46" i="135"/>
  <c r="J46" i="135"/>
  <c r="I46" i="135"/>
  <c r="E46" i="135"/>
  <c r="F46" i="135" s="1"/>
  <c r="L45" i="135"/>
  <c r="J45" i="135"/>
  <c r="I45" i="135"/>
  <c r="E45" i="135"/>
  <c r="K45" i="135" s="1"/>
  <c r="M45" i="135" s="1"/>
  <c r="J44" i="135"/>
  <c r="I44" i="135"/>
  <c r="E44" i="135"/>
  <c r="K43" i="135"/>
  <c r="M43" i="135" s="1"/>
  <c r="J43" i="135"/>
  <c r="L43" i="135" s="1"/>
  <c r="I43" i="135"/>
  <c r="F43" i="135"/>
  <c r="E43" i="135"/>
  <c r="K42" i="135"/>
  <c r="M42" i="135" s="1"/>
  <c r="J42" i="135"/>
  <c r="L42" i="135" s="1"/>
  <c r="I42" i="135"/>
  <c r="F42" i="135"/>
  <c r="E42" i="135"/>
  <c r="K41" i="135"/>
  <c r="J41" i="135"/>
  <c r="I41" i="135"/>
  <c r="E41" i="135"/>
  <c r="F41" i="135" s="1"/>
  <c r="K40" i="135"/>
  <c r="M40" i="135" s="1"/>
  <c r="J40" i="135"/>
  <c r="I40" i="135"/>
  <c r="E40" i="135"/>
  <c r="F40" i="135" s="1"/>
  <c r="J39" i="135"/>
  <c r="I39" i="135"/>
  <c r="E39" i="135"/>
  <c r="M38" i="135"/>
  <c r="J38" i="135"/>
  <c r="I38" i="135"/>
  <c r="F38" i="135"/>
  <c r="E38" i="135"/>
  <c r="K38" i="135" s="1"/>
  <c r="K37" i="135"/>
  <c r="M37" i="135" s="1"/>
  <c r="J37" i="135"/>
  <c r="I37" i="135"/>
  <c r="F37" i="135"/>
  <c r="E37" i="135"/>
  <c r="K36" i="135"/>
  <c r="J36" i="135"/>
  <c r="L36" i="135" s="1"/>
  <c r="I36" i="135"/>
  <c r="F36" i="135"/>
  <c r="E36" i="135"/>
  <c r="K35" i="135"/>
  <c r="M35" i="135" s="1"/>
  <c r="J35" i="135"/>
  <c r="I35" i="135"/>
  <c r="E35" i="135"/>
  <c r="F35" i="135" s="1"/>
  <c r="K34" i="135"/>
  <c r="M34" i="135" s="1"/>
  <c r="J34" i="135"/>
  <c r="I34" i="135"/>
  <c r="E34" i="135"/>
  <c r="F34" i="135" s="1"/>
  <c r="J33" i="135"/>
  <c r="I33" i="135"/>
  <c r="E33" i="135"/>
  <c r="J32" i="135"/>
  <c r="I32" i="135"/>
  <c r="E32" i="135"/>
  <c r="K32" i="135" s="1"/>
  <c r="M32" i="135" s="1"/>
  <c r="K31" i="135"/>
  <c r="M31" i="135" s="1"/>
  <c r="J31" i="135"/>
  <c r="I31" i="135"/>
  <c r="F31" i="135"/>
  <c r="E31" i="135"/>
  <c r="K30" i="135"/>
  <c r="M30" i="135" s="1"/>
  <c r="J30" i="135"/>
  <c r="L30" i="135" s="1"/>
  <c r="I30" i="135"/>
  <c r="F30" i="135"/>
  <c r="E30" i="135"/>
  <c r="K29" i="135"/>
  <c r="J29" i="135"/>
  <c r="L29" i="135" s="1"/>
  <c r="I29" i="135"/>
  <c r="E29" i="135"/>
  <c r="F29" i="135" s="1"/>
  <c r="L28" i="135"/>
  <c r="K28" i="135"/>
  <c r="M28" i="135" s="1"/>
  <c r="J28" i="135"/>
  <c r="I28" i="135"/>
  <c r="E28" i="135"/>
  <c r="F28" i="135" s="1"/>
  <c r="J27" i="135"/>
  <c r="I27" i="135"/>
  <c r="E27" i="135"/>
  <c r="J26" i="135"/>
  <c r="I26" i="135"/>
  <c r="E26" i="135"/>
  <c r="K26" i="135" s="1"/>
  <c r="M26" i="135" s="1"/>
  <c r="K25" i="135"/>
  <c r="M25" i="135" s="1"/>
  <c r="J25" i="135"/>
  <c r="L25" i="135" s="1"/>
  <c r="I25" i="135"/>
  <c r="F25" i="135"/>
  <c r="E25" i="135"/>
  <c r="K24" i="135"/>
  <c r="J24" i="135"/>
  <c r="I24" i="135"/>
  <c r="F24" i="135"/>
  <c r="E24" i="135"/>
  <c r="K23" i="135"/>
  <c r="J23" i="135"/>
  <c r="L23" i="135" s="1"/>
  <c r="I23" i="135"/>
  <c r="E23" i="135"/>
  <c r="F23" i="135" s="1"/>
  <c r="L22" i="135"/>
  <c r="K22" i="135"/>
  <c r="M22" i="135" s="1"/>
  <c r="J22" i="135"/>
  <c r="I22" i="135"/>
  <c r="E22" i="135"/>
  <c r="F22" i="135" s="1"/>
  <c r="J21" i="135"/>
  <c r="I21" i="135"/>
  <c r="E21" i="135"/>
  <c r="M20" i="135"/>
  <c r="J20" i="135"/>
  <c r="L20" i="135" s="1"/>
  <c r="I20" i="135"/>
  <c r="F20" i="135"/>
  <c r="E20" i="135"/>
  <c r="K20" i="135" s="1"/>
  <c r="K19" i="135"/>
  <c r="M19" i="135" s="1"/>
  <c r="J19" i="135"/>
  <c r="L19" i="135" s="1"/>
  <c r="I19" i="135"/>
  <c r="F19" i="135"/>
  <c r="E19" i="135"/>
  <c r="K18" i="135"/>
  <c r="J18" i="135"/>
  <c r="L18" i="135" s="1"/>
  <c r="I18" i="135"/>
  <c r="F18" i="135"/>
  <c r="E18" i="135"/>
  <c r="K17" i="135"/>
  <c r="M17" i="135" s="1"/>
  <c r="J17" i="135"/>
  <c r="I17" i="135"/>
  <c r="E17" i="135"/>
  <c r="F17" i="135" s="1"/>
  <c r="K16" i="135"/>
  <c r="M16" i="135" s="1"/>
  <c r="J16" i="135"/>
  <c r="I16" i="135"/>
  <c r="E16" i="135"/>
  <c r="F16" i="135" s="1"/>
  <c r="J15" i="135"/>
  <c r="I15" i="135"/>
  <c r="E15" i="135"/>
  <c r="M14" i="135"/>
  <c r="J14" i="135"/>
  <c r="L14" i="135" s="1"/>
  <c r="I14" i="135"/>
  <c r="F14" i="135"/>
  <c r="E14" i="135"/>
  <c r="K14" i="135" s="1"/>
  <c r="K13" i="135"/>
  <c r="M13" i="135" s="1"/>
  <c r="J13" i="135"/>
  <c r="I13" i="135"/>
  <c r="F13" i="135"/>
  <c r="E13" i="135"/>
  <c r="K12" i="135"/>
  <c r="M12" i="135" s="1"/>
  <c r="J12" i="135"/>
  <c r="L12" i="135" s="1"/>
  <c r="I12" i="135"/>
  <c r="F12" i="135"/>
  <c r="E12" i="135"/>
  <c r="K11" i="135"/>
  <c r="M11" i="135" s="1"/>
  <c r="J11" i="135"/>
  <c r="I11" i="135"/>
  <c r="E11" i="135"/>
  <c r="F11" i="135" s="1"/>
  <c r="L10" i="135"/>
  <c r="K10" i="135"/>
  <c r="M10" i="135" s="1"/>
  <c r="J10" i="135"/>
  <c r="I10" i="135"/>
  <c r="E10" i="135"/>
  <c r="F10" i="135" s="1"/>
  <c r="J9" i="135"/>
  <c r="I9" i="135"/>
  <c r="E9" i="135"/>
  <c r="I9" i="171"/>
  <c r="J9" i="171"/>
  <c r="K9" i="171"/>
  <c r="L9" i="171"/>
  <c r="I10" i="171"/>
  <c r="J10" i="171"/>
  <c r="K10" i="171"/>
  <c r="I11" i="171"/>
  <c r="J11" i="171"/>
  <c r="K11" i="171"/>
  <c r="I12" i="171"/>
  <c r="J12" i="171"/>
  <c r="K12" i="171"/>
  <c r="L12" i="171"/>
  <c r="I13" i="171"/>
  <c r="J13" i="171"/>
  <c r="K13" i="171"/>
  <c r="I14" i="171"/>
  <c r="J14" i="171"/>
  <c r="K14" i="171"/>
  <c r="L14" i="171"/>
  <c r="I15" i="171"/>
  <c r="J15" i="171"/>
  <c r="K15" i="171"/>
  <c r="L15" i="171"/>
  <c r="I16" i="171"/>
  <c r="J16" i="171"/>
  <c r="K16" i="171"/>
  <c r="I17" i="171"/>
  <c r="J17" i="171"/>
  <c r="K17" i="171"/>
  <c r="I18" i="171"/>
  <c r="J18" i="171"/>
  <c r="K18" i="171"/>
  <c r="L18" i="171"/>
  <c r="I19" i="171"/>
  <c r="J19" i="171"/>
  <c r="K19" i="171"/>
  <c r="I20" i="171"/>
  <c r="J20" i="171"/>
  <c r="K20" i="171"/>
  <c r="I8" i="171"/>
  <c r="M20" i="171"/>
  <c r="L20" i="171" s="1"/>
  <c r="M22" i="171"/>
  <c r="M9" i="171"/>
  <c r="M10" i="171"/>
  <c r="L10" i="171" s="1"/>
  <c r="M11" i="171"/>
  <c r="L11" i="171" s="1"/>
  <c r="M12" i="171"/>
  <c r="M13" i="171"/>
  <c r="L13" i="171" s="1"/>
  <c r="M14" i="171"/>
  <c r="M15" i="171"/>
  <c r="M16" i="171"/>
  <c r="L16" i="171" s="1"/>
  <c r="M17" i="171"/>
  <c r="L17" i="171" s="1"/>
  <c r="M18" i="171"/>
  <c r="M19" i="171"/>
  <c r="L19" i="171" s="1"/>
  <c r="M8" i="171"/>
  <c r="L8" i="171" s="1"/>
  <c r="K8" i="171"/>
  <c r="I24" i="131"/>
  <c r="H24" i="131"/>
  <c r="I64" i="131"/>
  <c r="H64" i="131"/>
  <c r="I56" i="131"/>
  <c r="H56" i="131"/>
  <c r="B60" i="131" s="1"/>
  <c r="E32" i="131"/>
  <c r="F32" i="131"/>
  <c r="D32" i="131"/>
  <c r="F38" i="77"/>
  <c r="H38" i="77"/>
  <c r="I38" i="77"/>
  <c r="G28" i="77"/>
  <c r="G40" i="77" s="1"/>
  <c r="H28" i="77"/>
  <c r="H40" i="77" s="1"/>
  <c r="I28" i="77"/>
  <c r="I40" i="77" s="1"/>
  <c r="E28" i="77"/>
  <c r="E40" i="77" s="1"/>
  <c r="F9" i="77"/>
  <c r="G9" i="77"/>
  <c r="H9" i="77"/>
  <c r="H36" i="77" s="1"/>
  <c r="H37" i="77" s="1"/>
  <c r="I9" i="77"/>
  <c r="I36" i="77" s="1"/>
  <c r="E9" i="77"/>
  <c r="E36" i="77" s="1"/>
  <c r="E37" i="77" s="1"/>
  <c r="L35" i="77"/>
  <c r="K35" i="77"/>
  <c r="J35" i="77"/>
  <c r="L34" i="77"/>
  <c r="K34" i="77"/>
  <c r="J34" i="77"/>
  <c r="L33" i="77"/>
  <c r="K33" i="77"/>
  <c r="J33" i="77"/>
  <c r="L32" i="77"/>
  <c r="K32" i="77"/>
  <c r="J32" i="77"/>
  <c r="L31" i="77"/>
  <c r="K31" i="77"/>
  <c r="J31" i="77"/>
  <c r="L30" i="77"/>
  <c r="K30" i="77"/>
  <c r="J30" i="77"/>
  <c r="L29" i="77"/>
  <c r="K29" i="77"/>
  <c r="J29" i="77"/>
  <c r="L27" i="77"/>
  <c r="K27" i="77"/>
  <c r="J27" i="77"/>
  <c r="L26" i="77"/>
  <c r="K26" i="77"/>
  <c r="J26" i="77"/>
  <c r="L25" i="77"/>
  <c r="K25" i="77"/>
  <c r="J25" i="77"/>
  <c r="L24" i="77"/>
  <c r="K24" i="77"/>
  <c r="J24" i="77"/>
  <c r="L23" i="77"/>
  <c r="K23" i="77"/>
  <c r="J23" i="77"/>
  <c r="L22" i="77"/>
  <c r="K22" i="77"/>
  <c r="J22" i="77"/>
  <c r="L21" i="77"/>
  <c r="K21" i="77"/>
  <c r="J21" i="77"/>
  <c r="L20" i="77"/>
  <c r="K20" i="77"/>
  <c r="J20" i="77"/>
  <c r="L19" i="77"/>
  <c r="K19" i="77"/>
  <c r="J19" i="77"/>
  <c r="L18" i="77"/>
  <c r="K18" i="77"/>
  <c r="J18" i="77"/>
  <c r="L17" i="77"/>
  <c r="K17" i="77"/>
  <c r="J17" i="77"/>
  <c r="L16" i="77"/>
  <c r="K16" i="77"/>
  <c r="J16" i="77"/>
  <c r="L15" i="77"/>
  <c r="K15" i="77"/>
  <c r="J15" i="77"/>
  <c r="L14" i="77"/>
  <c r="K14" i="77"/>
  <c r="J14" i="77"/>
  <c r="L13" i="77"/>
  <c r="K13" i="77"/>
  <c r="J13" i="77"/>
  <c r="L12" i="77"/>
  <c r="K12" i="77"/>
  <c r="J12" i="77"/>
  <c r="L11" i="77"/>
  <c r="K11" i="77"/>
  <c r="J11" i="77"/>
  <c r="M10" i="77"/>
  <c r="L10" i="77"/>
  <c r="K10" i="77"/>
  <c r="J10" i="77"/>
  <c r="J9" i="77" s="1"/>
  <c r="N10" i="77"/>
  <c r="N11" i="77"/>
  <c r="M11" i="77" s="1"/>
  <c r="N12" i="77"/>
  <c r="M12" i="77" s="1"/>
  <c r="N13" i="77"/>
  <c r="M13" i="77" s="1"/>
  <c r="N14" i="77"/>
  <c r="M14" i="77" s="1"/>
  <c r="N15" i="77"/>
  <c r="M15" i="77" s="1"/>
  <c r="N16" i="77"/>
  <c r="M16" i="77" s="1"/>
  <c r="N17" i="77"/>
  <c r="M17" i="77" s="1"/>
  <c r="N18" i="77"/>
  <c r="M18" i="77" s="1"/>
  <c r="N19" i="77"/>
  <c r="M19" i="77" s="1"/>
  <c r="N20" i="77"/>
  <c r="M20" i="77" s="1"/>
  <c r="N21" i="77"/>
  <c r="M21" i="77" s="1"/>
  <c r="N22" i="77"/>
  <c r="M22" i="77" s="1"/>
  <c r="N23" i="77"/>
  <c r="M23" i="77" s="1"/>
  <c r="N24" i="77"/>
  <c r="M24" i="77" s="1"/>
  <c r="N25" i="77"/>
  <c r="M25" i="77" s="1"/>
  <c r="N26" i="77"/>
  <c r="M26" i="77" s="1"/>
  <c r="N27" i="77"/>
  <c r="M27" i="77" s="1"/>
  <c r="N29" i="77"/>
  <c r="N30" i="77"/>
  <c r="M30" i="77" s="1"/>
  <c r="N31" i="77"/>
  <c r="M31" i="77" s="1"/>
  <c r="N32" i="77"/>
  <c r="M32" i="77" s="1"/>
  <c r="N33" i="77"/>
  <c r="M33" i="77" s="1"/>
  <c r="N34" i="77"/>
  <c r="M34" i="77" s="1"/>
  <c r="N35" i="77"/>
  <c r="M35" i="77" s="1"/>
  <c r="F30" i="77"/>
  <c r="F31" i="77"/>
  <c r="F32" i="77"/>
  <c r="F33" i="77"/>
  <c r="F34" i="77"/>
  <c r="F35" i="77"/>
  <c r="G8" i="77"/>
  <c r="G38" i="77" s="1"/>
  <c r="E8" i="77"/>
  <c r="L8" i="77" s="1"/>
  <c r="I97" i="139" l="1"/>
  <c r="J102" i="139"/>
  <c r="J96" i="139"/>
  <c r="J99" i="139"/>
  <c r="I94" i="139"/>
  <c r="I100" i="139"/>
  <c r="J90" i="139"/>
  <c r="J87" i="139"/>
  <c r="J84" i="139"/>
  <c r="I88" i="139"/>
  <c r="I79" i="139"/>
  <c r="I82" i="139"/>
  <c r="I85" i="139"/>
  <c r="I76" i="139"/>
  <c r="J70" i="139"/>
  <c r="J69" i="139"/>
  <c r="J72" i="139"/>
  <c r="J75" i="139"/>
  <c r="I73" i="139"/>
  <c r="I64" i="139"/>
  <c r="I58" i="139"/>
  <c r="I55" i="139"/>
  <c r="I49" i="139"/>
  <c r="J39" i="139"/>
  <c r="J45" i="139"/>
  <c r="I46" i="139"/>
  <c r="J36" i="139"/>
  <c r="J42" i="139"/>
  <c r="I34" i="139"/>
  <c r="I37" i="139"/>
  <c r="I40" i="139"/>
  <c r="I43" i="139"/>
  <c r="I28" i="139"/>
  <c r="I31" i="139"/>
  <c r="J27" i="139"/>
  <c r="J30" i="139"/>
  <c r="I25" i="139"/>
  <c r="J24" i="139"/>
  <c r="J15" i="139"/>
  <c r="J18" i="139"/>
  <c r="J21" i="139"/>
  <c r="J9" i="139"/>
  <c r="J12" i="139"/>
  <c r="I37" i="77"/>
  <c r="N8" i="77"/>
  <c r="M8" i="77" s="1"/>
  <c r="G36" i="77"/>
  <c r="K28" i="77"/>
  <c r="K40" i="77" s="1"/>
  <c r="F44" i="170"/>
  <c r="L41" i="135"/>
  <c r="L89" i="135"/>
  <c r="L95" i="135"/>
  <c r="L13" i="135"/>
  <c r="L24" i="135"/>
  <c r="L31" i="135"/>
  <c r="L37" i="135"/>
  <c r="L53" i="135"/>
  <c r="L59" i="135"/>
  <c r="L66" i="135"/>
  <c r="L73" i="135"/>
  <c r="L79" i="135"/>
  <c r="L72" i="135"/>
  <c r="L78" i="135"/>
  <c r="L85" i="135"/>
  <c r="G37" i="77"/>
  <c r="J28" i="77"/>
  <c r="J36" i="77" s="1"/>
  <c r="L28" i="77"/>
  <c r="N28" i="77"/>
  <c r="M28" i="77" s="1"/>
  <c r="K9" i="77"/>
  <c r="I14" i="139"/>
  <c r="I32" i="139"/>
  <c r="I41" i="139"/>
  <c r="I50" i="139"/>
  <c r="I56" i="139"/>
  <c r="I68" i="139"/>
  <c r="I74" i="139"/>
  <c r="I80" i="139"/>
  <c r="J11" i="139"/>
  <c r="J17" i="139"/>
  <c r="J20" i="139"/>
  <c r="J23" i="139"/>
  <c r="J26" i="139"/>
  <c r="J29" i="139"/>
  <c r="J35" i="139"/>
  <c r="J44" i="139"/>
  <c r="J59" i="139"/>
  <c r="J62" i="139"/>
  <c r="J65" i="139"/>
  <c r="J71" i="139"/>
  <c r="J77" i="139"/>
  <c r="J86" i="139"/>
  <c r="J92" i="139"/>
  <c r="J95" i="139"/>
  <c r="J98" i="139"/>
  <c r="J101" i="139"/>
  <c r="M29" i="135"/>
  <c r="F32" i="135"/>
  <c r="L40" i="135"/>
  <c r="M47" i="135"/>
  <c r="M58" i="135"/>
  <c r="L58" i="135"/>
  <c r="M65" i="135"/>
  <c r="L76" i="135"/>
  <c r="M76" i="135"/>
  <c r="M83" i="135"/>
  <c r="L94" i="135"/>
  <c r="M94" i="135"/>
  <c r="M101" i="135"/>
  <c r="K15" i="135"/>
  <c r="F15" i="135"/>
  <c r="L17" i="135"/>
  <c r="M18" i="135"/>
  <c r="M23" i="135"/>
  <c r="F26" i="135"/>
  <c r="L34" i="135"/>
  <c r="L38" i="135"/>
  <c r="L50" i="135"/>
  <c r="K56" i="135"/>
  <c r="M56" i="135" s="1"/>
  <c r="F56" i="135"/>
  <c r="F74" i="135"/>
  <c r="K74" i="135"/>
  <c r="M74" i="135" s="1"/>
  <c r="L86" i="135"/>
  <c r="K92" i="135"/>
  <c r="M92" i="135" s="1"/>
  <c r="F92" i="135"/>
  <c r="K68" i="135"/>
  <c r="M68" i="135" s="1"/>
  <c r="F68" i="135"/>
  <c r="K9" i="135"/>
  <c r="F9" i="135"/>
  <c r="L11" i="135"/>
  <c r="L32" i="135"/>
  <c r="M46" i="135"/>
  <c r="L46" i="135"/>
  <c r="L57" i="135"/>
  <c r="M64" i="135"/>
  <c r="L64" i="135"/>
  <c r="L75" i="135"/>
  <c r="M82" i="135"/>
  <c r="L82" i="135"/>
  <c r="L93" i="135"/>
  <c r="L100" i="135"/>
  <c r="M100" i="135"/>
  <c r="K27" i="135"/>
  <c r="F27" i="135"/>
  <c r="K50" i="135"/>
  <c r="M50" i="135" s="1"/>
  <c r="F50" i="135"/>
  <c r="K21" i="135"/>
  <c r="F21" i="135"/>
  <c r="F44" i="135"/>
  <c r="K44" i="135"/>
  <c r="M44" i="135" s="1"/>
  <c r="K62" i="135"/>
  <c r="M62" i="135" s="1"/>
  <c r="F62" i="135"/>
  <c r="K80" i="135"/>
  <c r="M80" i="135" s="1"/>
  <c r="F80" i="135"/>
  <c r="K98" i="135"/>
  <c r="M98" i="135" s="1"/>
  <c r="F98" i="135"/>
  <c r="F86" i="135"/>
  <c r="K86" i="135"/>
  <c r="M86" i="135" s="1"/>
  <c r="M24" i="135"/>
  <c r="L26" i="135"/>
  <c r="K39" i="135"/>
  <c r="F39" i="135"/>
  <c r="L16" i="135"/>
  <c r="K33" i="135"/>
  <c r="F33" i="135"/>
  <c r="L35" i="135"/>
  <c r="M36" i="135"/>
  <c r="M41" i="135"/>
  <c r="M52" i="135"/>
  <c r="L52" i="135"/>
  <c r="M59" i="135"/>
  <c r="M70" i="135"/>
  <c r="L70" i="135"/>
  <c r="M77" i="135"/>
  <c r="M88" i="135"/>
  <c r="L88" i="135"/>
  <c r="M95" i="135"/>
  <c r="F69" i="135"/>
  <c r="F45" i="135"/>
  <c r="F51" i="135"/>
  <c r="F63" i="135"/>
  <c r="F75" i="135"/>
  <c r="F81" i="135"/>
  <c r="F57" i="135"/>
  <c r="F87" i="135"/>
  <c r="F93" i="135"/>
  <c r="F99" i="135"/>
  <c r="J40" i="77"/>
  <c r="E38" i="77"/>
  <c r="M29" i="77"/>
  <c r="K36" i="77" l="1"/>
  <c r="L62" i="135"/>
  <c r="L68" i="135"/>
  <c r="L44" i="135"/>
  <c r="L74" i="135"/>
  <c r="M21" i="135"/>
  <c r="L21" i="135"/>
  <c r="L9" i="135"/>
  <c r="M9" i="135"/>
  <c r="M33" i="135"/>
  <c r="L33" i="135"/>
  <c r="L98" i="135"/>
  <c r="L92" i="135"/>
  <c r="L56" i="135"/>
  <c r="L15" i="135"/>
  <c r="M15" i="135"/>
  <c r="M27" i="135"/>
  <c r="L27" i="135"/>
  <c r="M39" i="135"/>
  <c r="L39" i="135"/>
  <c r="L80" i="135"/>
  <c r="I29" i="170"/>
  <c r="O102" i="131"/>
  <c r="N102" i="131"/>
  <c r="I102" i="131"/>
  <c r="H102" i="131"/>
  <c r="F102" i="131"/>
  <c r="E102" i="131"/>
  <c r="D102" i="131"/>
  <c r="O101" i="131"/>
  <c r="N101" i="131"/>
  <c r="I101" i="131"/>
  <c r="H101" i="131"/>
  <c r="F101" i="131"/>
  <c r="E101" i="131"/>
  <c r="D101" i="131"/>
  <c r="M94" i="131"/>
  <c r="L94" i="131"/>
  <c r="K94" i="131"/>
  <c r="M93" i="131"/>
  <c r="L93" i="131"/>
  <c r="K93" i="131"/>
  <c r="N70" i="131"/>
  <c r="L70" i="131"/>
  <c r="K70" i="131"/>
  <c r="I70" i="131"/>
  <c r="H70" i="131"/>
  <c r="F70" i="131"/>
  <c r="E70" i="131"/>
  <c r="D70" i="131"/>
  <c r="N69" i="131"/>
  <c r="L69" i="131"/>
  <c r="K69" i="131"/>
  <c r="I69" i="131"/>
  <c r="H69" i="131"/>
  <c r="F69" i="131"/>
  <c r="E69" i="131"/>
  <c r="D69" i="131"/>
  <c r="O62" i="131"/>
  <c r="N62" i="131"/>
  <c r="L62" i="131"/>
  <c r="K62" i="131"/>
  <c r="I62" i="131"/>
  <c r="H62" i="131"/>
  <c r="F62" i="131"/>
  <c r="E62" i="131"/>
  <c r="D62" i="131"/>
  <c r="O61" i="131"/>
  <c r="N61" i="131"/>
  <c r="L61" i="131"/>
  <c r="K61" i="131"/>
  <c r="I61" i="131"/>
  <c r="H61" i="131"/>
  <c r="F61" i="131"/>
  <c r="E61" i="131"/>
  <c r="D61" i="131"/>
  <c r="O54" i="131"/>
  <c r="N54" i="131"/>
  <c r="M54" i="131"/>
  <c r="L54" i="131"/>
  <c r="K54" i="131"/>
  <c r="I54" i="131"/>
  <c r="H54" i="131"/>
  <c r="F54" i="131"/>
  <c r="E54" i="131"/>
  <c r="D54" i="131"/>
  <c r="O53" i="131"/>
  <c r="N53" i="131"/>
  <c r="L53" i="131"/>
  <c r="K53" i="131"/>
  <c r="I53" i="131"/>
  <c r="H53" i="131"/>
  <c r="F53" i="131"/>
  <c r="E53" i="131"/>
  <c r="D53" i="131"/>
  <c r="O46" i="131"/>
  <c r="N46" i="131"/>
  <c r="M46" i="131"/>
  <c r="L46" i="131"/>
  <c r="K46" i="131"/>
  <c r="I46" i="131"/>
  <c r="H46" i="131"/>
  <c r="F46" i="131"/>
  <c r="E46" i="131"/>
  <c r="D46" i="131"/>
  <c r="O45" i="131"/>
  <c r="N45" i="131"/>
  <c r="L45" i="131"/>
  <c r="K45" i="131"/>
  <c r="I45" i="131"/>
  <c r="H45" i="131"/>
  <c r="F45" i="131"/>
  <c r="E45" i="131"/>
  <c r="D45" i="131"/>
  <c r="O38" i="131"/>
  <c r="N38" i="131"/>
  <c r="L38" i="131"/>
  <c r="K38" i="131"/>
  <c r="I38" i="131"/>
  <c r="H38" i="131"/>
  <c r="F38" i="131"/>
  <c r="E38" i="131"/>
  <c r="D38" i="131"/>
  <c r="O37" i="131"/>
  <c r="N37" i="131"/>
  <c r="L37" i="131"/>
  <c r="K37" i="131"/>
  <c r="I37" i="131"/>
  <c r="H37" i="131"/>
  <c r="F37" i="131"/>
  <c r="E37" i="131"/>
  <c r="D37" i="131"/>
  <c r="O30" i="131"/>
  <c r="N30" i="131"/>
  <c r="L30" i="131"/>
  <c r="K30" i="131"/>
  <c r="I30" i="131"/>
  <c r="H30" i="131"/>
  <c r="G30" i="131"/>
  <c r="F30" i="131"/>
  <c r="E30" i="131"/>
  <c r="D30" i="131"/>
  <c r="O29" i="131"/>
  <c r="N29" i="131"/>
  <c r="L29" i="131"/>
  <c r="K29" i="131"/>
  <c r="I29" i="131"/>
  <c r="H29" i="131"/>
  <c r="G29" i="131"/>
  <c r="F29" i="131"/>
  <c r="E29" i="131"/>
  <c r="D29" i="131"/>
  <c r="N22" i="131"/>
  <c r="M22" i="131"/>
  <c r="L22" i="131"/>
  <c r="K22" i="131"/>
  <c r="I22" i="131"/>
  <c r="H22" i="131"/>
  <c r="G22" i="131"/>
  <c r="F22" i="131"/>
  <c r="E22" i="131"/>
  <c r="D22" i="131"/>
  <c r="O21" i="131"/>
  <c r="N21" i="131"/>
  <c r="L21" i="131"/>
  <c r="K21" i="131"/>
  <c r="I21" i="131"/>
  <c r="H21" i="131"/>
  <c r="F21" i="131"/>
  <c r="E21" i="131"/>
  <c r="D21" i="131"/>
  <c r="E13" i="131"/>
  <c r="F13" i="131"/>
  <c r="H13" i="131"/>
  <c r="I13" i="131"/>
  <c r="K13" i="131"/>
  <c r="L13" i="131"/>
  <c r="N13" i="131"/>
  <c r="E14" i="131"/>
  <c r="F14" i="131"/>
  <c r="H14" i="131"/>
  <c r="I14" i="131"/>
  <c r="K14" i="131"/>
  <c r="L14" i="131"/>
  <c r="N14" i="131"/>
  <c r="O14" i="131"/>
  <c r="D14" i="131"/>
  <c r="D13" i="131"/>
  <c r="O16" i="131"/>
  <c r="O19" i="131" s="1"/>
  <c r="E79" i="131"/>
  <c r="F79" i="131"/>
  <c r="H79" i="131"/>
  <c r="I79" i="131"/>
  <c r="K79" i="131"/>
  <c r="L79" i="131"/>
  <c r="N79" i="131"/>
  <c r="E80" i="131"/>
  <c r="F80" i="131"/>
  <c r="H80" i="131"/>
  <c r="I80" i="131"/>
  <c r="K80" i="131"/>
  <c r="L80" i="131"/>
  <c r="N80" i="131"/>
  <c r="E81" i="131"/>
  <c r="F81" i="131"/>
  <c r="H81" i="131"/>
  <c r="I81" i="131"/>
  <c r="K81" i="131"/>
  <c r="L81" i="131"/>
  <c r="N81" i="131"/>
  <c r="O81" i="131"/>
  <c r="E82" i="131"/>
  <c r="F82" i="131"/>
  <c r="H82" i="131"/>
  <c r="I82" i="131"/>
  <c r="K82" i="131"/>
  <c r="K85" i="131" s="1"/>
  <c r="L82" i="131"/>
  <c r="N82" i="131"/>
  <c r="N85" i="131" s="1"/>
  <c r="O82" i="131"/>
  <c r="D80" i="131"/>
  <c r="D81" i="131"/>
  <c r="D82" i="131"/>
  <c r="D79" i="131"/>
  <c r="N71" i="131"/>
  <c r="N72" i="131"/>
  <c r="O72" i="131"/>
  <c r="O78" i="131" s="1"/>
  <c r="N73" i="131"/>
  <c r="O73" i="131"/>
  <c r="N74" i="131"/>
  <c r="N78" i="131" s="1"/>
  <c r="O74" i="131"/>
  <c r="I71" i="131"/>
  <c r="K71" i="131"/>
  <c r="L71" i="131"/>
  <c r="I72" i="131"/>
  <c r="K72" i="131"/>
  <c r="L72" i="131"/>
  <c r="I73" i="131"/>
  <c r="K73" i="131"/>
  <c r="L73" i="131"/>
  <c r="I74" i="131"/>
  <c r="I77" i="131" s="1"/>
  <c r="K74" i="131"/>
  <c r="K77" i="131" s="1"/>
  <c r="L74" i="131"/>
  <c r="L77" i="131" s="1"/>
  <c r="H73" i="131"/>
  <c r="H74" i="131"/>
  <c r="H71" i="131"/>
  <c r="O64" i="131"/>
  <c r="O67" i="131" s="1"/>
  <c r="O63" i="131"/>
  <c r="O69" i="131" s="1"/>
  <c r="O15" i="131"/>
  <c r="O8" i="131"/>
  <c r="O7" i="131"/>
  <c r="O13" i="131" s="1"/>
  <c r="N68" i="131"/>
  <c r="L68" i="131"/>
  <c r="K68" i="131"/>
  <c r="I68" i="131"/>
  <c r="H68" i="131"/>
  <c r="F68" i="131"/>
  <c r="E68" i="131"/>
  <c r="D68" i="131"/>
  <c r="N67" i="131"/>
  <c r="L67" i="131"/>
  <c r="K67" i="131"/>
  <c r="I67" i="131"/>
  <c r="F67" i="131"/>
  <c r="E67" i="131"/>
  <c r="D67" i="131"/>
  <c r="M66" i="131"/>
  <c r="J66" i="131"/>
  <c r="G66" i="131"/>
  <c r="M65" i="131"/>
  <c r="J65" i="131"/>
  <c r="G65" i="131"/>
  <c r="M64" i="131"/>
  <c r="J64" i="131"/>
  <c r="G64" i="131"/>
  <c r="M63" i="131"/>
  <c r="J63" i="131"/>
  <c r="G63" i="131"/>
  <c r="O60" i="131"/>
  <c r="N60" i="131"/>
  <c r="L60" i="131"/>
  <c r="K60" i="131"/>
  <c r="I60" i="131"/>
  <c r="H60" i="131"/>
  <c r="F60" i="131"/>
  <c r="E60" i="131"/>
  <c r="D60" i="131"/>
  <c r="O59" i="131"/>
  <c r="N59" i="131"/>
  <c r="L59" i="131"/>
  <c r="K59" i="131"/>
  <c r="I59" i="131"/>
  <c r="H59" i="131"/>
  <c r="F59" i="131"/>
  <c r="E59" i="131"/>
  <c r="D59" i="131"/>
  <c r="M58" i="131"/>
  <c r="J58" i="131"/>
  <c r="G58" i="131"/>
  <c r="M57" i="131"/>
  <c r="J57" i="131"/>
  <c r="G57" i="131"/>
  <c r="M56" i="131"/>
  <c r="M72" i="131" s="1"/>
  <c r="J56" i="131"/>
  <c r="G56" i="131"/>
  <c r="M55" i="131"/>
  <c r="M71" i="131" s="1"/>
  <c r="J55" i="131"/>
  <c r="G55" i="131"/>
  <c r="O52" i="131"/>
  <c r="N52" i="131"/>
  <c r="L52" i="131"/>
  <c r="K52" i="131"/>
  <c r="I52" i="131"/>
  <c r="H52" i="131"/>
  <c r="F52" i="131"/>
  <c r="E52" i="131"/>
  <c r="D52" i="131"/>
  <c r="O51" i="131"/>
  <c r="N51" i="131"/>
  <c r="L51" i="131"/>
  <c r="K51" i="131"/>
  <c r="I51" i="131"/>
  <c r="H51" i="131"/>
  <c r="F51" i="131"/>
  <c r="E51" i="131"/>
  <c r="D51" i="131"/>
  <c r="M50" i="131"/>
  <c r="M53" i="131" s="1"/>
  <c r="J50" i="131"/>
  <c r="J54" i="131" s="1"/>
  <c r="G50" i="131"/>
  <c r="P50" i="131" s="1"/>
  <c r="M49" i="131"/>
  <c r="J49" i="131"/>
  <c r="G49" i="131"/>
  <c r="M48" i="131"/>
  <c r="J48" i="131"/>
  <c r="G48" i="131"/>
  <c r="M47" i="131"/>
  <c r="J47" i="131"/>
  <c r="G47" i="131"/>
  <c r="O44" i="131"/>
  <c r="N44" i="131"/>
  <c r="L44" i="131"/>
  <c r="K44" i="131"/>
  <c r="I44" i="131"/>
  <c r="H44" i="131"/>
  <c r="F44" i="131"/>
  <c r="E44" i="131"/>
  <c r="D44" i="131"/>
  <c r="O43" i="131"/>
  <c r="N43" i="131"/>
  <c r="L43" i="131"/>
  <c r="K43" i="131"/>
  <c r="I43" i="131"/>
  <c r="H43" i="131"/>
  <c r="F43" i="131"/>
  <c r="E43" i="131"/>
  <c r="D43" i="131"/>
  <c r="M42" i="131"/>
  <c r="M45" i="131" s="1"/>
  <c r="J42" i="131"/>
  <c r="J43" i="131" s="1"/>
  <c r="G42" i="131"/>
  <c r="P42" i="131" s="1"/>
  <c r="M41" i="131"/>
  <c r="J41" i="131"/>
  <c r="G41" i="131"/>
  <c r="M40" i="131"/>
  <c r="M44" i="131" s="1"/>
  <c r="J40" i="131"/>
  <c r="G40" i="131"/>
  <c r="M39" i="131"/>
  <c r="J39" i="131"/>
  <c r="G39" i="131"/>
  <c r="O36" i="131"/>
  <c r="N36" i="131"/>
  <c r="L36" i="131"/>
  <c r="K36" i="131"/>
  <c r="I36" i="131"/>
  <c r="H36" i="131"/>
  <c r="F36" i="131"/>
  <c r="E36" i="131"/>
  <c r="D36" i="131"/>
  <c r="O35" i="131"/>
  <c r="N35" i="131"/>
  <c r="L35" i="131"/>
  <c r="K35" i="131"/>
  <c r="I35" i="131"/>
  <c r="H35" i="131"/>
  <c r="F35" i="131"/>
  <c r="E35" i="131"/>
  <c r="D35" i="131"/>
  <c r="M34" i="131"/>
  <c r="M37" i="131" s="1"/>
  <c r="J34" i="131"/>
  <c r="J37" i="131" s="1"/>
  <c r="G34" i="131"/>
  <c r="M33" i="131"/>
  <c r="J33" i="131"/>
  <c r="G33" i="131"/>
  <c r="M32" i="131"/>
  <c r="M36" i="131" s="1"/>
  <c r="J32" i="131"/>
  <c r="G32" i="131"/>
  <c r="M31" i="131"/>
  <c r="J31" i="131"/>
  <c r="G31" i="131"/>
  <c r="O28" i="131"/>
  <c r="N28" i="131"/>
  <c r="L28" i="131"/>
  <c r="K28" i="131"/>
  <c r="I28" i="131"/>
  <c r="H28" i="131"/>
  <c r="F28" i="131"/>
  <c r="E28" i="131"/>
  <c r="D28" i="131"/>
  <c r="O27" i="131"/>
  <c r="N27" i="131"/>
  <c r="L27" i="131"/>
  <c r="K27" i="131"/>
  <c r="I27" i="131"/>
  <c r="H27" i="131"/>
  <c r="F27" i="131"/>
  <c r="E27" i="131"/>
  <c r="D27" i="131"/>
  <c r="M26" i="131"/>
  <c r="M28" i="131" s="1"/>
  <c r="J26" i="131"/>
  <c r="G26" i="131"/>
  <c r="M25" i="131"/>
  <c r="J25" i="131"/>
  <c r="G25" i="131"/>
  <c r="M24" i="131"/>
  <c r="M27" i="131" s="1"/>
  <c r="G24" i="131"/>
  <c r="G27" i="131" s="1"/>
  <c r="M23" i="131"/>
  <c r="J23" i="131"/>
  <c r="P23" i="131" s="1"/>
  <c r="G23" i="131"/>
  <c r="O20" i="131"/>
  <c r="N20" i="131"/>
  <c r="L20" i="131"/>
  <c r="K20" i="131"/>
  <c r="I20" i="131"/>
  <c r="H20" i="131"/>
  <c r="F20" i="131"/>
  <c r="E20" i="131"/>
  <c r="D20" i="131"/>
  <c r="N19" i="131"/>
  <c r="L19" i="131"/>
  <c r="K19" i="131"/>
  <c r="I19" i="131"/>
  <c r="H19" i="131"/>
  <c r="F19" i="131"/>
  <c r="E19" i="131"/>
  <c r="D19" i="131"/>
  <c r="M18" i="131"/>
  <c r="M21" i="131" s="1"/>
  <c r="J18" i="131"/>
  <c r="J19" i="131" s="1"/>
  <c r="G18" i="131"/>
  <c r="M17" i="131"/>
  <c r="J17" i="131"/>
  <c r="G17" i="131"/>
  <c r="P17" i="131" s="1"/>
  <c r="M16" i="131"/>
  <c r="J16" i="131"/>
  <c r="J20" i="131" s="1"/>
  <c r="G16" i="131"/>
  <c r="M15" i="131"/>
  <c r="J15" i="131"/>
  <c r="G15" i="131"/>
  <c r="P15" i="131" s="1"/>
  <c r="J63" i="186"/>
  <c r="L86" i="131" l="1"/>
  <c r="M70" i="131"/>
  <c r="M62" i="131"/>
  <c r="J74" i="131"/>
  <c r="J73" i="131"/>
  <c r="P66" i="131"/>
  <c r="M69" i="131"/>
  <c r="M61" i="131"/>
  <c r="H77" i="131"/>
  <c r="I78" i="131"/>
  <c r="I86" i="131"/>
  <c r="P58" i="131"/>
  <c r="J35" i="131"/>
  <c r="J38" i="131"/>
  <c r="P34" i="131"/>
  <c r="E85" i="131"/>
  <c r="G36" i="131"/>
  <c r="M73" i="131"/>
  <c r="M68" i="131"/>
  <c r="J61" i="131"/>
  <c r="P54" i="131"/>
  <c r="G37" i="131"/>
  <c r="J52" i="131"/>
  <c r="P33" i="131"/>
  <c r="M52" i="131"/>
  <c r="M60" i="131"/>
  <c r="D86" i="131"/>
  <c r="F86" i="131"/>
  <c r="J21" i="131"/>
  <c r="O22" i="131"/>
  <c r="J53" i="131"/>
  <c r="P53" i="131"/>
  <c r="N77" i="131"/>
  <c r="K78" i="131"/>
  <c r="L85" i="131"/>
  <c r="P18" i="131"/>
  <c r="J28" i="131"/>
  <c r="P39" i="131"/>
  <c r="P45" i="131" s="1"/>
  <c r="P41" i="131"/>
  <c r="P49" i="131"/>
  <c r="P57" i="131"/>
  <c r="P65" i="131"/>
  <c r="M74" i="131"/>
  <c r="O71" i="131"/>
  <c r="O77" i="131" s="1"/>
  <c r="E86" i="131"/>
  <c r="I85" i="131"/>
  <c r="J22" i="131"/>
  <c r="M38" i="131"/>
  <c r="G45" i="131"/>
  <c r="L78" i="131"/>
  <c r="N86" i="131"/>
  <c r="J69" i="131"/>
  <c r="B68" i="131"/>
  <c r="O79" i="131"/>
  <c r="O85" i="131" s="1"/>
  <c r="G70" i="131"/>
  <c r="H85" i="131"/>
  <c r="G46" i="131"/>
  <c r="M20" i="131"/>
  <c r="P25" i="131"/>
  <c r="J36" i="131"/>
  <c r="D85" i="131"/>
  <c r="F85" i="131"/>
  <c r="G21" i="131"/>
  <c r="M30" i="131"/>
  <c r="G53" i="131"/>
  <c r="G69" i="131"/>
  <c r="O70" i="131"/>
  <c r="M29" i="131"/>
  <c r="J45" i="131"/>
  <c r="G54" i="131"/>
  <c r="G62" i="131"/>
  <c r="K86" i="131"/>
  <c r="J44" i="131"/>
  <c r="J60" i="131"/>
  <c r="J68" i="131"/>
  <c r="H86" i="131"/>
  <c r="J46" i="131"/>
  <c r="G61" i="131"/>
  <c r="J30" i="131"/>
  <c r="J29" i="131"/>
  <c r="J70" i="131"/>
  <c r="J72" i="131"/>
  <c r="J78" i="131" s="1"/>
  <c r="J62" i="131"/>
  <c r="J71" i="131"/>
  <c r="J77" i="131" s="1"/>
  <c r="G38" i="131"/>
  <c r="O80" i="131"/>
  <c r="O86" i="131" s="1"/>
  <c r="O68" i="131"/>
  <c r="P63" i="131"/>
  <c r="J67" i="131"/>
  <c r="J59" i="131"/>
  <c r="P55" i="131"/>
  <c r="J51" i="131"/>
  <c r="P47" i="131"/>
  <c r="P31" i="131"/>
  <c r="J27" i="131"/>
  <c r="P24" i="131"/>
  <c r="P64" i="131"/>
  <c r="G67" i="131"/>
  <c r="M67" i="131"/>
  <c r="G68" i="131"/>
  <c r="P56" i="131"/>
  <c r="G59" i="131"/>
  <c r="M59" i="131"/>
  <c r="G60" i="131"/>
  <c r="P48" i="131"/>
  <c r="G51" i="131"/>
  <c r="M51" i="131"/>
  <c r="G52" i="131"/>
  <c r="P40" i="131"/>
  <c r="P46" i="131" s="1"/>
  <c r="G43" i="131"/>
  <c r="M43" i="131"/>
  <c r="G44" i="131"/>
  <c r="P32" i="131"/>
  <c r="P38" i="131" s="1"/>
  <c r="G35" i="131"/>
  <c r="M35" i="131"/>
  <c r="P26" i="131"/>
  <c r="P29" i="131" s="1"/>
  <c r="G28" i="131"/>
  <c r="P16" i="131"/>
  <c r="G19" i="131"/>
  <c r="M19" i="131"/>
  <c r="G20" i="131"/>
  <c r="G41" i="170"/>
  <c r="F43" i="170"/>
  <c r="I43" i="170" s="1"/>
  <c r="F42" i="170"/>
  <c r="I42" i="170" s="1"/>
  <c r="I11" i="174"/>
  <c r="G28" i="170"/>
  <c r="F28" i="170"/>
  <c r="G30" i="170"/>
  <c r="H29" i="170"/>
  <c r="H28" i="170" s="1"/>
  <c r="K53" i="186"/>
  <c r="K54" i="186"/>
  <c r="K55" i="186"/>
  <c r="K56" i="186"/>
  <c r="K57" i="186"/>
  <c r="K58" i="186"/>
  <c r="K59" i="186"/>
  <c r="K60" i="186"/>
  <c r="K61" i="186"/>
  <c r="K51" i="186"/>
  <c r="K50" i="186"/>
  <c r="K49" i="186"/>
  <c r="K48" i="186"/>
  <c r="K47" i="186"/>
  <c r="K46" i="186"/>
  <c r="K45" i="186"/>
  <c r="K44" i="186"/>
  <c r="K43" i="186"/>
  <c r="K42" i="186"/>
  <c r="K41" i="186"/>
  <c r="K40" i="186"/>
  <c r="K39" i="186"/>
  <c r="K38" i="186"/>
  <c r="K37" i="186"/>
  <c r="K36" i="186"/>
  <c r="K35" i="186"/>
  <c r="K34" i="186"/>
  <c r="K33" i="186"/>
  <c r="K32" i="186"/>
  <c r="K31" i="186"/>
  <c r="K30" i="186"/>
  <c r="K29" i="186"/>
  <c r="K28" i="186"/>
  <c r="K27" i="186"/>
  <c r="K26" i="186"/>
  <c r="K25" i="186"/>
  <c r="K24" i="186"/>
  <c r="K23" i="186"/>
  <c r="K7" i="186"/>
  <c r="K8" i="186"/>
  <c r="K9" i="186"/>
  <c r="K10" i="186"/>
  <c r="K11" i="186"/>
  <c r="K12" i="186"/>
  <c r="K13" i="186"/>
  <c r="K14" i="186"/>
  <c r="K15" i="186"/>
  <c r="K16" i="186"/>
  <c r="K17" i="186"/>
  <c r="K18" i="186"/>
  <c r="K19" i="186"/>
  <c r="K20" i="186"/>
  <c r="K21" i="186"/>
  <c r="P69" i="131" l="1"/>
  <c r="P70" i="131"/>
  <c r="P61" i="131"/>
  <c r="P62" i="131"/>
  <c r="M77" i="131"/>
  <c r="M78" i="131"/>
  <c r="P22" i="131"/>
  <c r="P21" i="131"/>
  <c r="P30" i="131"/>
  <c r="P37" i="131"/>
  <c r="N40" i="77"/>
  <c r="P27" i="131"/>
  <c r="P68" i="131"/>
  <c r="P67" i="131"/>
  <c r="P60" i="131"/>
  <c r="P59" i="131"/>
  <c r="P52" i="131"/>
  <c r="P51" i="131"/>
  <c r="P44" i="131"/>
  <c r="P43" i="131"/>
  <c r="P36" i="131"/>
  <c r="P35" i="131"/>
  <c r="P28" i="131"/>
  <c r="P20" i="131"/>
  <c r="P19" i="131"/>
  <c r="F41" i="170"/>
  <c r="I41" i="170" s="1"/>
  <c r="G35" i="170"/>
  <c r="I28" i="170"/>
  <c r="J39" i="186"/>
  <c r="H62" i="186"/>
  <c r="I62" i="186"/>
  <c r="I52" i="186"/>
  <c r="H52" i="186"/>
  <c r="H22" i="186"/>
  <c r="J61" i="186"/>
  <c r="J60" i="186"/>
  <c r="J59" i="186"/>
  <c r="J58" i="186"/>
  <c r="J57" i="186"/>
  <c r="J56" i="186"/>
  <c r="J55" i="186"/>
  <c r="J54" i="186"/>
  <c r="J53" i="186"/>
  <c r="J51" i="186"/>
  <c r="J50" i="186"/>
  <c r="J49" i="186"/>
  <c r="J48" i="186"/>
  <c r="J47" i="186"/>
  <c r="J46" i="186"/>
  <c r="J45" i="186"/>
  <c r="J44" i="186"/>
  <c r="J43" i="186"/>
  <c r="J42" i="186"/>
  <c r="J41" i="186"/>
  <c r="J40" i="186"/>
  <c r="J38" i="186"/>
  <c r="J37" i="186"/>
  <c r="J36" i="186"/>
  <c r="J35" i="186"/>
  <c r="J34" i="186"/>
  <c r="J33" i="186"/>
  <c r="J32" i="186"/>
  <c r="J31" i="186"/>
  <c r="J30" i="186"/>
  <c r="J29" i="186"/>
  <c r="J28" i="186"/>
  <c r="J27" i="186"/>
  <c r="J26" i="186"/>
  <c r="J25" i="186"/>
  <c r="H42" i="170" s="1"/>
  <c r="J24" i="186"/>
  <c r="J23" i="186"/>
  <c r="J7" i="186"/>
  <c r="J8" i="186"/>
  <c r="J9" i="186"/>
  <c r="J10" i="186"/>
  <c r="J11" i="186"/>
  <c r="J12" i="186"/>
  <c r="J13" i="186"/>
  <c r="J14" i="186"/>
  <c r="J15" i="186"/>
  <c r="J16" i="186"/>
  <c r="J17" i="186"/>
  <c r="J18" i="186"/>
  <c r="J19" i="186"/>
  <c r="J20" i="186"/>
  <c r="J21" i="186"/>
  <c r="H43" i="170" l="1"/>
  <c r="I64" i="186"/>
  <c r="I65" i="186" s="1"/>
  <c r="G45" i="170"/>
  <c r="F40" i="170"/>
  <c r="F47" i="170" s="1"/>
  <c r="G40" i="170"/>
  <c r="H64" i="186"/>
  <c r="H65" i="186" s="1"/>
  <c r="K62" i="186"/>
  <c r="H41" i="170"/>
  <c r="J62" i="186"/>
  <c r="H45" i="170" s="1"/>
  <c r="H44" i="170" s="1"/>
  <c r="J52" i="186"/>
  <c r="K52" i="186"/>
  <c r="K64" i="186" l="1"/>
  <c r="I45" i="170"/>
  <c r="G44" i="170"/>
  <c r="G47" i="170" s="1"/>
  <c r="I40" i="170"/>
  <c r="J64" i="186"/>
  <c r="K65" i="186"/>
  <c r="K6" i="186"/>
  <c r="J6" i="186"/>
  <c r="J22" i="186" s="1"/>
  <c r="F392" i="171"/>
  <c r="N9" i="77"/>
  <c r="M9" i="77" s="1"/>
  <c r="I29" i="174"/>
  <c r="J29" i="174" s="1"/>
  <c r="F32" i="170" s="1"/>
  <c r="J65" i="186" l="1"/>
  <c r="I32" i="170"/>
  <c r="H32" i="170"/>
  <c r="H40" i="170"/>
  <c r="H47" i="170" s="1"/>
  <c r="I31" i="174"/>
  <c r="O14" i="139" l="1"/>
  <c r="H12" i="185" l="1"/>
  <c r="J12" i="185" s="1"/>
  <c r="I43" i="185"/>
  <c r="H43" i="185"/>
  <c r="K42" i="185"/>
  <c r="J42" i="185"/>
  <c r="K41" i="185"/>
  <c r="J41" i="185"/>
  <c r="H40" i="185"/>
  <c r="K39" i="185"/>
  <c r="J39" i="185"/>
  <c r="K38" i="185"/>
  <c r="J38" i="185"/>
  <c r="K37" i="185"/>
  <c r="J37" i="185"/>
  <c r="K36" i="185"/>
  <c r="J36" i="185"/>
  <c r="K35" i="185"/>
  <c r="J35" i="185"/>
  <c r="K34" i="185"/>
  <c r="J34" i="185"/>
  <c r="K33" i="185"/>
  <c r="J33" i="185"/>
  <c r="K32" i="185"/>
  <c r="J32" i="185"/>
  <c r="I31" i="185"/>
  <c r="J31" i="185" s="1"/>
  <c r="I30" i="185"/>
  <c r="K30" i="185" s="1"/>
  <c r="K29" i="185"/>
  <c r="J29" i="185"/>
  <c r="K28" i="185"/>
  <c r="J28" i="185"/>
  <c r="K27" i="185"/>
  <c r="J27" i="185"/>
  <c r="K26" i="185"/>
  <c r="J26" i="185"/>
  <c r="K25" i="185"/>
  <c r="J25" i="185"/>
  <c r="K24" i="185"/>
  <c r="J24" i="185"/>
  <c r="K23" i="185"/>
  <c r="J23" i="185"/>
  <c r="K22" i="185"/>
  <c r="J22" i="185"/>
  <c r="K20" i="185"/>
  <c r="J20" i="185"/>
  <c r="K19" i="185"/>
  <c r="J19" i="185"/>
  <c r="K18" i="185"/>
  <c r="J18" i="185"/>
  <c r="K17" i="185"/>
  <c r="J17" i="185"/>
  <c r="K16" i="185"/>
  <c r="J16" i="185"/>
  <c r="K15" i="185"/>
  <c r="J15" i="185"/>
  <c r="K14" i="185"/>
  <c r="J14" i="185"/>
  <c r="K13" i="185"/>
  <c r="J13" i="185"/>
  <c r="K12" i="185"/>
  <c r="I11" i="185"/>
  <c r="K11" i="185" s="1"/>
  <c r="K10" i="185"/>
  <c r="J10" i="185"/>
  <c r="K9" i="185"/>
  <c r="J9" i="185"/>
  <c r="K8" i="185"/>
  <c r="J8" i="185"/>
  <c r="H7" i="185"/>
  <c r="K7" i="185" s="1"/>
  <c r="K6" i="185"/>
  <c r="J6" i="185"/>
  <c r="A3" i="185"/>
  <c r="K31" i="185" l="1"/>
  <c r="I40" i="185"/>
  <c r="K40" i="185" s="1"/>
  <c r="K43" i="185"/>
  <c r="J43" i="185"/>
  <c r="I21" i="185"/>
  <c r="I44" i="185" s="1"/>
  <c r="H21" i="185"/>
  <c r="H44" i="185" s="1"/>
  <c r="J7" i="185"/>
  <c r="J30" i="185"/>
  <c r="J40" i="185" s="1"/>
  <c r="J11" i="185"/>
  <c r="A2" i="177"/>
  <c r="J21" i="185" l="1"/>
  <c r="K44" i="185"/>
  <c r="J44" i="185"/>
  <c r="K21" i="185"/>
  <c r="D8" i="177" l="1"/>
  <c r="J8" i="171" l="1"/>
  <c r="F29" i="77"/>
  <c r="F28" i="77" s="1"/>
  <c r="F40" i="77" l="1"/>
  <c r="F36" i="77"/>
  <c r="F37" i="77" s="1"/>
  <c r="H11" i="131" l="1"/>
  <c r="AL21" i="171" l="1"/>
  <c r="AL22" i="171" s="1"/>
  <c r="E21" i="171" l="1"/>
  <c r="G21" i="171"/>
  <c r="H21" i="171"/>
  <c r="D21" i="171"/>
  <c r="K21" i="171" l="1"/>
  <c r="M21" i="171"/>
  <c r="L21" i="171" s="1"/>
  <c r="M102" i="164"/>
  <c r="L13" i="164" l="1"/>
  <c r="E21" i="177"/>
  <c r="J8" i="77" l="1"/>
  <c r="K8" i="77"/>
  <c r="K38" i="77" l="1"/>
  <c r="K37" i="77"/>
  <c r="J38" i="77"/>
  <c r="J37" i="77"/>
  <c r="D104" i="163"/>
  <c r="D230" i="137"/>
  <c r="I43" i="184" l="1"/>
  <c r="H43" i="184"/>
  <c r="K42" i="184"/>
  <c r="J42" i="184"/>
  <c r="K41" i="184"/>
  <c r="J41" i="184"/>
  <c r="J43" i="184" s="1"/>
  <c r="H40" i="184"/>
  <c r="K39" i="184"/>
  <c r="J39" i="184"/>
  <c r="K38" i="184"/>
  <c r="J38" i="184"/>
  <c r="K37" i="184"/>
  <c r="J37" i="184"/>
  <c r="K36" i="184"/>
  <c r="J36" i="184"/>
  <c r="K35" i="184"/>
  <c r="J35" i="184"/>
  <c r="K34" i="184"/>
  <c r="J34" i="184"/>
  <c r="I33" i="184"/>
  <c r="J33" i="184" s="1"/>
  <c r="K32" i="184"/>
  <c r="J32" i="184"/>
  <c r="K31" i="184"/>
  <c r="J31" i="184"/>
  <c r="I31" i="184"/>
  <c r="K30" i="184"/>
  <c r="J30" i="184"/>
  <c r="K29" i="184"/>
  <c r="J29" i="184"/>
  <c r="K28" i="184"/>
  <c r="J28" i="184"/>
  <c r="K27" i="184"/>
  <c r="J27" i="184"/>
  <c r="K26" i="184"/>
  <c r="J26" i="184"/>
  <c r="K25" i="184"/>
  <c r="J25" i="184"/>
  <c r="I24" i="184"/>
  <c r="I40" i="184" s="1"/>
  <c r="K40" i="184" s="1"/>
  <c r="K23" i="184"/>
  <c r="J23" i="184"/>
  <c r="K22" i="184"/>
  <c r="J22" i="184"/>
  <c r="K20" i="184"/>
  <c r="J20" i="184"/>
  <c r="K19" i="184"/>
  <c r="J19" i="184"/>
  <c r="K18" i="184"/>
  <c r="J18" i="184"/>
  <c r="K17" i="184"/>
  <c r="J17" i="184"/>
  <c r="K16" i="184"/>
  <c r="J16" i="184"/>
  <c r="K15" i="184"/>
  <c r="J15" i="184"/>
  <c r="K14" i="184"/>
  <c r="J14" i="184"/>
  <c r="K13" i="184"/>
  <c r="J13" i="184"/>
  <c r="K12" i="184"/>
  <c r="J12" i="184"/>
  <c r="I11" i="184"/>
  <c r="K11" i="184" s="1"/>
  <c r="K10" i="184"/>
  <c r="J10" i="184"/>
  <c r="K9" i="184"/>
  <c r="J9" i="184"/>
  <c r="K8" i="184"/>
  <c r="J8" i="184"/>
  <c r="H7" i="184"/>
  <c r="K7" i="184" s="1"/>
  <c r="K6" i="184"/>
  <c r="J6" i="184"/>
  <c r="A3" i="184"/>
  <c r="K43" i="184" l="1"/>
  <c r="I21" i="184"/>
  <c r="K33" i="184"/>
  <c r="I44" i="184"/>
  <c r="K21" i="184"/>
  <c r="J24" i="184"/>
  <c r="J40" i="184" s="1"/>
  <c r="J11" i="184"/>
  <c r="K24" i="184"/>
  <c r="H21" i="184"/>
  <c r="H44" i="184" s="1"/>
  <c r="J7" i="184"/>
  <c r="K44" i="184" l="1"/>
  <c r="J21" i="184"/>
  <c r="J44" i="184" s="1"/>
  <c r="J29" i="171"/>
  <c r="J34" i="171"/>
  <c r="K29" i="171" l="1"/>
  <c r="K38" i="171" s="1"/>
  <c r="O11" i="183"/>
  <c r="O12" i="183"/>
  <c r="O13" i="183"/>
  <c r="O14" i="183"/>
  <c r="O15" i="183"/>
  <c r="O16" i="183"/>
  <c r="O17" i="183"/>
  <c r="O10" i="183"/>
  <c r="P9" i="183"/>
  <c r="O9" i="183" l="1"/>
  <c r="J50" i="183"/>
  <c r="I50" i="183"/>
  <c r="I51" i="183" s="1"/>
  <c r="G50" i="183"/>
  <c r="F50" i="183"/>
  <c r="E50" i="183"/>
  <c r="J38" i="183"/>
  <c r="J42" i="183" s="1"/>
  <c r="G38" i="183"/>
  <c r="G42" i="183" s="1"/>
  <c r="L25" i="183"/>
  <c r="L24" i="183"/>
  <c r="L23" i="183"/>
  <c r="R17" i="183"/>
  <c r="N17" i="183" s="1"/>
  <c r="M17" i="183"/>
  <c r="L17" i="183"/>
  <c r="K17" i="183"/>
  <c r="H17" i="183"/>
  <c r="R16" i="183"/>
  <c r="N16" i="183" s="1"/>
  <c r="M16" i="183"/>
  <c r="L16" i="183"/>
  <c r="K16" i="183"/>
  <c r="H16" i="183"/>
  <c r="R15" i="183"/>
  <c r="N15" i="183" s="1"/>
  <c r="M15" i="183"/>
  <c r="L15" i="183"/>
  <c r="K15" i="183"/>
  <c r="H15" i="183"/>
  <c r="R14" i="183"/>
  <c r="N14" i="183" s="1"/>
  <c r="M14" i="183"/>
  <c r="L14" i="183"/>
  <c r="K14" i="183"/>
  <c r="H14" i="183"/>
  <c r="R13" i="183"/>
  <c r="N13" i="183" s="1"/>
  <c r="M13" i="183"/>
  <c r="L13" i="183"/>
  <c r="K13" i="183"/>
  <c r="H13" i="183"/>
  <c r="R12" i="183"/>
  <c r="N12" i="183" s="1"/>
  <c r="M12" i="183"/>
  <c r="L12" i="183"/>
  <c r="K12" i="183"/>
  <c r="H12" i="183"/>
  <c r="R11" i="183"/>
  <c r="N11" i="183" s="1"/>
  <c r="M11" i="183"/>
  <c r="L11" i="183"/>
  <c r="K11" i="183"/>
  <c r="H11" i="183"/>
  <c r="R10" i="183"/>
  <c r="N10" i="183" s="1"/>
  <c r="M10" i="183"/>
  <c r="L10" i="183"/>
  <c r="K10" i="183"/>
  <c r="H10" i="183"/>
  <c r="J9" i="183"/>
  <c r="I9" i="183"/>
  <c r="I21" i="183" s="1"/>
  <c r="G9" i="183"/>
  <c r="G40" i="183" s="1"/>
  <c r="F9" i="183"/>
  <c r="F44" i="183" s="1"/>
  <c r="E9" i="183"/>
  <c r="E21" i="183" s="1"/>
  <c r="I38" i="183"/>
  <c r="A4" i="183"/>
  <c r="J44" i="183" l="1"/>
  <c r="M9" i="183"/>
  <c r="F21" i="183"/>
  <c r="H9" i="183"/>
  <c r="H21" i="183" s="1"/>
  <c r="K9" i="183"/>
  <c r="K21" i="183" s="1"/>
  <c r="L50" i="183"/>
  <c r="G18" i="183"/>
  <c r="H38" i="183"/>
  <c r="F48" i="183"/>
  <c r="R38" i="183"/>
  <c r="I42" i="183"/>
  <c r="I39" i="183"/>
  <c r="G22" i="183"/>
  <c r="G19" i="183"/>
  <c r="R51" i="183"/>
  <c r="K51" i="183"/>
  <c r="L9" i="183"/>
  <c r="L21" i="183" s="1"/>
  <c r="J21" i="183"/>
  <c r="M21" i="183" s="1"/>
  <c r="E44" i="183"/>
  <c r="I48" i="183"/>
  <c r="E38" i="183"/>
  <c r="E42" i="183" s="1"/>
  <c r="I40" i="183"/>
  <c r="J48" i="183"/>
  <c r="H50" i="183"/>
  <c r="M50" i="183" s="1"/>
  <c r="R9" i="183"/>
  <c r="N9" i="183" s="1"/>
  <c r="F38" i="183"/>
  <c r="F42" i="183" s="1"/>
  <c r="J40" i="183"/>
  <c r="G44" i="183"/>
  <c r="R50" i="183"/>
  <c r="K38" i="183"/>
  <c r="K42" i="183" s="1"/>
  <c r="G21" i="183"/>
  <c r="E40" i="183"/>
  <c r="L27" i="183"/>
  <c r="Q28" i="183" s="1"/>
  <c r="F40" i="183"/>
  <c r="I44" i="183"/>
  <c r="G48" i="183"/>
  <c r="K50" i="183"/>
  <c r="N50" i="183" s="1"/>
  <c r="H40" i="183" l="1"/>
  <c r="M40" i="183" s="1"/>
  <c r="K44" i="183"/>
  <c r="N44" i="183" s="1"/>
  <c r="H44" i="183"/>
  <c r="M44" i="183" s="1"/>
  <c r="N42" i="183"/>
  <c r="R21" i="183"/>
  <c r="N21" i="183" s="1"/>
  <c r="G20" i="183"/>
  <c r="L44" i="183"/>
  <c r="N38" i="183"/>
  <c r="H48" i="183"/>
  <c r="M48" i="183" s="1"/>
  <c r="L48" i="183"/>
  <c r="J20" i="183"/>
  <c r="L38" i="183"/>
  <c r="L42" i="183" s="1"/>
  <c r="K40" i="183"/>
  <c r="L40" i="183"/>
  <c r="I43" i="183"/>
  <c r="R42" i="183"/>
  <c r="F22" i="183"/>
  <c r="F19" i="183"/>
  <c r="I20" i="183"/>
  <c r="I49" i="183"/>
  <c r="R48" i="183"/>
  <c r="I45" i="183"/>
  <c r="R44" i="183"/>
  <c r="F20" i="183"/>
  <c r="F18" i="183"/>
  <c r="J22" i="183"/>
  <c r="J19" i="183"/>
  <c r="M38" i="183"/>
  <c r="H42" i="183"/>
  <c r="M42" i="183" s="1"/>
  <c r="E48" i="183"/>
  <c r="I41" i="183"/>
  <c r="R40" i="183"/>
  <c r="R39" i="183"/>
  <c r="K39" i="183"/>
  <c r="R20" i="183" l="1"/>
  <c r="R41" i="183"/>
  <c r="K41" i="183"/>
  <c r="E19" i="183"/>
  <c r="E22" i="183"/>
  <c r="H22" i="183"/>
  <c r="M22" i="183" s="1"/>
  <c r="H19" i="183"/>
  <c r="K48" i="183"/>
  <c r="N48" i="183" s="1"/>
  <c r="I18" i="183"/>
  <c r="I46" i="183"/>
  <c r="R43" i="183"/>
  <c r="K43" i="183"/>
  <c r="I22" i="183"/>
  <c r="R22" i="183" s="1"/>
  <c r="I19" i="183"/>
  <c r="R19" i="183" s="1"/>
  <c r="R45" i="183"/>
  <c r="K45" i="183"/>
  <c r="L20" i="183"/>
  <c r="L18" i="183"/>
  <c r="K19" i="183"/>
  <c r="K22" i="183"/>
  <c r="L22" i="183"/>
  <c r="L19" i="183"/>
  <c r="E20" i="183"/>
  <c r="E18" i="183"/>
  <c r="R49" i="183"/>
  <c r="K49" i="183"/>
  <c r="I47" i="183"/>
  <c r="J18" i="183"/>
  <c r="H18" i="183"/>
  <c r="H20" i="183"/>
  <c r="N20" i="183" l="1"/>
  <c r="R46" i="183"/>
  <c r="K46" i="183"/>
  <c r="N22" i="183"/>
  <c r="R18" i="183"/>
  <c r="N18" i="183" s="1"/>
  <c r="R47" i="183"/>
  <c r="K47" i="183"/>
  <c r="Q27" i="183"/>
  <c r="Q25" i="183"/>
  <c r="Q29" i="183"/>
  <c r="K20" i="183"/>
  <c r="K18" i="183"/>
  <c r="N19" i="183"/>
  <c r="J31" i="171" l="1"/>
  <c r="J32" i="171"/>
  <c r="J33" i="171"/>
  <c r="J30" i="171"/>
  <c r="J35" i="171" l="1"/>
  <c r="J36" i="171"/>
  <c r="J37" i="171"/>
  <c r="G37" i="171"/>
  <c r="L9" i="77" l="1"/>
  <c r="F44" i="77" l="1"/>
  <c r="F104" i="163"/>
  <c r="A3" i="170" l="1"/>
  <c r="B27" i="177" l="1"/>
  <c r="B28" i="177"/>
  <c r="B29" i="177"/>
  <c r="B41" i="182"/>
  <c r="B40" i="182"/>
  <c r="B39" i="182"/>
  <c r="B34" i="182"/>
  <c r="B33" i="182"/>
  <c r="B32" i="182"/>
  <c r="A25" i="182"/>
  <c r="A24" i="182"/>
  <c r="A23" i="182"/>
  <c r="A3" i="182"/>
  <c r="A2" i="182"/>
  <c r="A1" i="182"/>
  <c r="A3" i="177" l="1"/>
  <c r="A1" i="177"/>
  <c r="F102" i="141" l="1"/>
  <c r="G104" i="135" l="1"/>
  <c r="N14" i="139" l="1"/>
  <c r="E8" i="135" l="1"/>
  <c r="G104" i="180" l="1"/>
  <c r="G105" i="180" s="1"/>
  <c r="D104" i="180"/>
  <c r="D105" i="180" s="1"/>
  <c r="K103" i="180"/>
  <c r="J103" i="180"/>
  <c r="I103" i="180"/>
  <c r="F103" i="180"/>
  <c r="K102" i="180"/>
  <c r="J102" i="180"/>
  <c r="I102" i="180"/>
  <c r="F102" i="180"/>
  <c r="K101" i="180"/>
  <c r="J101" i="180"/>
  <c r="I101" i="180"/>
  <c r="F101" i="180"/>
  <c r="K100" i="180"/>
  <c r="J100" i="180"/>
  <c r="I100" i="180"/>
  <c r="F100" i="180"/>
  <c r="K99" i="180"/>
  <c r="J99" i="180"/>
  <c r="I99" i="180"/>
  <c r="F99" i="180"/>
  <c r="K98" i="180"/>
  <c r="J98" i="180"/>
  <c r="I98" i="180"/>
  <c r="F98" i="180"/>
  <c r="K97" i="180"/>
  <c r="J97" i="180"/>
  <c r="I97" i="180"/>
  <c r="F97" i="180"/>
  <c r="K96" i="180"/>
  <c r="J96" i="180"/>
  <c r="I96" i="180"/>
  <c r="F96" i="180"/>
  <c r="J95" i="180"/>
  <c r="H95" i="180"/>
  <c r="I95" i="180" s="1"/>
  <c r="E95" i="180"/>
  <c r="F95" i="180" s="1"/>
  <c r="K94" i="180"/>
  <c r="J94" i="180"/>
  <c r="I94" i="180"/>
  <c r="F94" i="180"/>
  <c r="K93" i="180"/>
  <c r="J93" i="180"/>
  <c r="I93" i="180"/>
  <c r="F93" i="180"/>
  <c r="K92" i="180"/>
  <c r="J92" i="180"/>
  <c r="I92" i="180"/>
  <c r="F92" i="180"/>
  <c r="K91" i="180"/>
  <c r="J91" i="180"/>
  <c r="I91" i="180"/>
  <c r="F91" i="180"/>
  <c r="K90" i="180"/>
  <c r="J90" i="180"/>
  <c r="I90" i="180"/>
  <c r="F90" i="180"/>
  <c r="K89" i="180"/>
  <c r="J89" i="180"/>
  <c r="I89" i="180"/>
  <c r="F89" i="180"/>
  <c r="K88" i="180"/>
  <c r="J88" i="180"/>
  <c r="I88" i="180"/>
  <c r="F88" i="180"/>
  <c r="K87" i="180"/>
  <c r="J87" i="180"/>
  <c r="I87" i="180"/>
  <c r="F87" i="180"/>
  <c r="K86" i="180"/>
  <c r="J86" i="180"/>
  <c r="I86" i="180"/>
  <c r="F86" i="180"/>
  <c r="K85" i="180"/>
  <c r="J85" i="180"/>
  <c r="I85" i="180"/>
  <c r="F85" i="180"/>
  <c r="K84" i="180"/>
  <c r="J84" i="180"/>
  <c r="L84" i="180" s="1"/>
  <c r="I84" i="180"/>
  <c r="F84" i="180"/>
  <c r="K83" i="180"/>
  <c r="J83" i="180"/>
  <c r="I83" i="180"/>
  <c r="F83" i="180"/>
  <c r="K82" i="180"/>
  <c r="J82" i="180"/>
  <c r="I82" i="180"/>
  <c r="F82" i="180"/>
  <c r="K81" i="180"/>
  <c r="J81" i="180"/>
  <c r="L81" i="180" s="1"/>
  <c r="I81" i="180"/>
  <c r="F81" i="180"/>
  <c r="K80" i="180"/>
  <c r="J80" i="180"/>
  <c r="I80" i="180"/>
  <c r="F80" i="180"/>
  <c r="K79" i="180"/>
  <c r="J79" i="180"/>
  <c r="I79" i="180"/>
  <c r="F79" i="180"/>
  <c r="K78" i="180"/>
  <c r="J78" i="180"/>
  <c r="L78" i="180" s="1"/>
  <c r="I78" i="180"/>
  <c r="F78" i="180"/>
  <c r="K77" i="180"/>
  <c r="J77" i="180"/>
  <c r="I77" i="180"/>
  <c r="F77" i="180"/>
  <c r="K76" i="180"/>
  <c r="J76" i="180"/>
  <c r="I76" i="180"/>
  <c r="F76" i="180"/>
  <c r="K75" i="180"/>
  <c r="J75" i="180"/>
  <c r="L75" i="180" s="1"/>
  <c r="I75" i="180"/>
  <c r="F75" i="180"/>
  <c r="K74" i="180"/>
  <c r="J74" i="180"/>
  <c r="L74" i="180" s="1"/>
  <c r="I74" i="180"/>
  <c r="F74" i="180"/>
  <c r="K73" i="180"/>
  <c r="J73" i="180"/>
  <c r="I73" i="180"/>
  <c r="F73" i="180"/>
  <c r="K72" i="180"/>
  <c r="J72" i="180"/>
  <c r="I72" i="180"/>
  <c r="F72" i="180"/>
  <c r="K71" i="180"/>
  <c r="J71" i="180"/>
  <c r="I71" i="180"/>
  <c r="F71" i="180"/>
  <c r="K70" i="180"/>
  <c r="J70" i="180"/>
  <c r="I70" i="180"/>
  <c r="F70" i="180"/>
  <c r="K69" i="180"/>
  <c r="J69" i="180"/>
  <c r="I69" i="180"/>
  <c r="F69" i="180"/>
  <c r="K68" i="180"/>
  <c r="J68" i="180"/>
  <c r="L68" i="180" s="1"/>
  <c r="I68" i="180"/>
  <c r="F68" i="180"/>
  <c r="K67" i="180"/>
  <c r="J67" i="180"/>
  <c r="I67" i="180"/>
  <c r="F67" i="180"/>
  <c r="K66" i="180"/>
  <c r="J66" i="180"/>
  <c r="I66" i="180"/>
  <c r="F66" i="180"/>
  <c r="K65" i="180"/>
  <c r="J65" i="180"/>
  <c r="L65" i="180" s="1"/>
  <c r="I65" i="180"/>
  <c r="F65" i="180"/>
  <c r="K64" i="180"/>
  <c r="J64" i="180"/>
  <c r="I64" i="180"/>
  <c r="F64" i="180"/>
  <c r="K63" i="180"/>
  <c r="J63" i="180"/>
  <c r="I63" i="180"/>
  <c r="F63" i="180"/>
  <c r="K62" i="180"/>
  <c r="J62" i="180"/>
  <c r="L62" i="180" s="1"/>
  <c r="I62" i="180"/>
  <c r="F62" i="180"/>
  <c r="J61" i="180"/>
  <c r="I61" i="180"/>
  <c r="E61" i="180"/>
  <c r="K61" i="180" s="1"/>
  <c r="K60" i="180"/>
  <c r="M60" i="180" s="1"/>
  <c r="J60" i="180"/>
  <c r="I60" i="180"/>
  <c r="F60" i="180"/>
  <c r="K59" i="180"/>
  <c r="J59" i="180"/>
  <c r="I59" i="180"/>
  <c r="F59" i="180"/>
  <c r="K58" i="180"/>
  <c r="J58" i="180"/>
  <c r="I58" i="180"/>
  <c r="F58" i="180"/>
  <c r="K57" i="180"/>
  <c r="J57" i="180"/>
  <c r="I57" i="180"/>
  <c r="F57" i="180"/>
  <c r="K56" i="180"/>
  <c r="J56" i="180"/>
  <c r="I56" i="180"/>
  <c r="F56" i="180"/>
  <c r="K55" i="180"/>
  <c r="J55" i="180"/>
  <c r="I55" i="180"/>
  <c r="F55" i="180"/>
  <c r="K54" i="180"/>
  <c r="J54" i="180"/>
  <c r="I54" i="180"/>
  <c r="F54" i="180"/>
  <c r="K53" i="180"/>
  <c r="J53" i="180"/>
  <c r="I53" i="180"/>
  <c r="F53" i="180"/>
  <c r="K52" i="180"/>
  <c r="J52" i="180"/>
  <c r="I52" i="180"/>
  <c r="F52" i="180"/>
  <c r="K51" i="180"/>
  <c r="J51" i="180"/>
  <c r="I51" i="180"/>
  <c r="F51" i="180"/>
  <c r="J50" i="180"/>
  <c r="H50" i="180"/>
  <c r="I50" i="180" s="1"/>
  <c r="E50" i="180"/>
  <c r="F50" i="180" s="1"/>
  <c r="K49" i="180"/>
  <c r="J49" i="180"/>
  <c r="I49" i="180"/>
  <c r="F49" i="180"/>
  <c r="K48" i="180"/>
  <c r="J48" i="180"/>
  <c r="I48" i="180"/>
  <c r="F48" i="180"/>
  <c r="K47" i="180"/>
  <c r="J47" i="180"/>
  <c r="I47" i="180"/>
  <c r="F47" i="180"/>
  <c r="K46" i="180"/>
  <c r="J46" i="180"/>
  <c r="L46" i="180" s="1"/>
  <c r="I46" i="180"/>
  <c r="F46" i="180"/>
  <c r="K45" i="180"/>
  <c r="J45" i="180"/>
  <c r="I45" i="180"/>
  <c r="F45" i="180"/>
  <c r="J44" i="180"/>
  <c r="I44" i="180"/>
  <c r="E44" i="180"/>
  <c r="F44" i="180" s="1"/>
  <c r="K43" i="180"/>
  <c r="J43" i="180"/>
  <c r="I43" i="180"/>
  <c r="F43" i="180"/>
  <c r="K42" i="180"/>
  <c r="J42" i="180"/>
  <c r="I42" i="180"/>
  <c r="F42" i="180"/>
  <c r="K41" i="180"/>
  <c r="J41" i="180"/>
  <c r="I41" i="180"/>
  <c r="F41" i="180"/>
  <c r="K40" i="180"/>
  <c r="J40" i="180"/>
  <c r="I40" i="180"/>
  <c r="F40" i="180"/>
  <c r="K39" i="180"/>
  <c r="J39" i="180"/>
  <c r="I39" i="180"/>
  <c r="F39" i="180"/>
  <c r="K38" i="180"/>
  <c r="J38" i="180"/>
  <c r="I38" i="180"/>
  <c r="F38" i="180"/>
  <c r="K37" i="180"/>
  <c r="J37" i="180"/>
  <c r="I37" i="180"/>
  <c r="F37" i="180"/>
  <c r="K36" i="180"/>
  <c r="J36" i="180"/>
  <c r="I36" i="180"/>
  <c r="F36" i="180"/>
  <c r="K35" i="180"/>
  <c r="J35" i="180"/>
  <c r="I35" i="180"/>
  <c r="F35" i="180"/>
  <c r="K34" i="180"/>
  <c r="J34" i="180"/>
  <c r="I34" i="180"/>
  <c r="F34" i="180"/>
  <c r="K33" i="180"/>
  <c r="J33" i="180"/>
  <c r="I33" i="180"/>
  <c r="F33" i="180"/>
  <c r="K32" i="180"/>
  <c r="J32" i="180"/>
  <c r="I32" i="180"/>
  <c r="F32" i="180"/>
  <c r="K31" i="180"/>
  <c r="J31" i="180"/>
  <c r="I31" i="180"/>
  <c r="F31" i="180"/>
  <c r="J30" i="180"/>
  <c r="H30" i="180"/>
  <c r="K30" i="180" s="1"/>
  <c r="M30" i="180" s="1"/>
  <c r="F30" i="180"/>
  <c r="K29" i="180"/>
  <c r="J29" i="180"/>
  <c r="L29" i="180" s="1"/>
  <c r="I29" i="180"/>
  <c r="F29" i="180"/>
  <c r="K28" i="180"/>
  <c r="J28" i="180"/>
  <c r="I28" i="180"/>
  <c r="F28" i="180"/>
  <c r="K27" i="180"/>
  <c r="J27" i="180"/>
  <c r="I27" i="180"/>
  <c r="F27" i="180"/>
  <c r="K26" i="180"/>
  <c r="J26" i="180"/>
  <c r="L26" i="180" s="1"/>
  <c r="I26" i="180"/>
  <c r="F26" i="180"/>
  <c r="K25" i="180"/>
  <c r="J25" i="180"/>
  <c r="I25" i="180"/>
  <c r="F25" i="180"/>
  <c r="K24" i="180"/>
  <c r="J24" i="180"/>
  <c r="I24" i="180"/>
  <c r="F24" i="180"/>
  <c r="K23" i="180"/>
  <c r="J23" i="180"/>
  <c r="I23" i="180"/>
  <c r="F23" i="180"/>
  <c r="K22" i="180"/>
  <c r="J22" i="180"/>
  <c r="I22" i="180"/>
  <c r="F22" i="180"/>
  <c r="K21" i="180"/>
  <c r="J21" i="180"/>
  <c r="I21" i="180"/>
  <c r="F21" i="180"/>
  <c r="K20" i="180"/>
  <c r="J20" i="180"/>
  <c r="I20" i="180"/>
  <c r="F20" i="180"/>
  <c r="K19" i="180"/>
  <c r="J19" i="180"/>
  <c r="I19" i="180"/>
  <c r="F19" i="180"/>
  <c r="K18" i="180"/>
  <c r="J18" i="180"/>
  <c r="I18" i="180"/>
  <c r="F18" i="180"/>
  <c r="K17" i="180"/>
  <c r="J17" i="180"/>
  <c r="L17" i="180" s="1"/>
  <c r="I17" i="180"/>
  <c r="F17" i="180"/>
  <c r="K16" i="180"/>
  <c r="J16" i="180"/>
  <c r="I16" i="180"/>
  <c r="F16" i="180"/>
  <c r="K15" i="180"/>
  <c r="J15" i="180"/>
  <c r="I15" i="180"/>
  <c r="F15" i="180"/>
  <c r="K14" i="180"/>
  <c r="J14" i="180"/>
  <c r="L14" i="180" s="1"/>
  <c r="I14" i="180"/>
  <c r="F14" i="180"/>
  <c r="K13" i="180"/>
  <c r="J13" i="180"/>
  <c r="L13" i="180" s="1"/>
  <c r="I13" i="180"/>
  <c r="F13" i="180"/>
  <c r="K12" i="180"/>
  <c r="J12" i="180"/>
  <c r="I12" i="180"/>
  <c r="F12" i="180"/>
  <c r="K11" i="180"/>
  <c r="J11" i="180"/>
  <c r="I11" i="180"/>
  <c r="F11" i="180"/>
  <c r="K10" i="180"/>
  <c r="J10" i="180"/>
  <c r="L10" i="180" s="1"/>
  <c r="I10" i="180"/>
  <c r="F10" i="180"/>
  <c r="K9" i="180"/>
  <c r="J9" i="180"/>
  <c r="I9" i="180"/>
  <c r="F9" i="180"/>
  <c r="K8" i="180"/>
  <c r="J8" i="180"/>
  <c r="I8" i="180"/>
  <c r="F8" i="180"/>
  <c r="L53" i="180" l="1"/>
  <c r="L59" i="180"/>
  <c r="M83" i="180"/>
  <c r="L41" i="180"/>
  <c r="L58" i="180"/>
  <c r="L90" i="180"/>
  <c r="L93" i="180"/>
  <c r="M32" i="180"/>
  <c r="L31" i="180"/>
  <c r="L34" i="180"/>
  <c r="L37" i="180"/>
  <c r="L40" i="180"/>
  <c r="L43" i="180"/>
  <c r="L51" i="180"/>
  <c r="M63" i="180"/>
  <c r="M69" i="180"/>
  <c r="L72" i="180"/>
  <c r="L77" i="180"/>
  <c r="L9" i="180"/>
  <c r="L15" i="180"/>
  <c r="L18" i="180"/>
  <c r="L24" i="180"/>
  <c r="L27" i="180"/>
  <c r="M39" i="180"/>
  <c r="L64" i="180"/>
  <c r="L67" i="180"/>
  <c r="L70" i="180"/>
  <c r="L73" i="180"/>
  <c r="L82" i="180"/>
  <c r="L85" i="180"/>
  <c r="L88" i="180"/>
  <c r="L91" i="180"/>
  <c r="M103" i="180"/>
  <c r="M35" i="180"/>
  <c r="M38" i="180"/>
  <c r="M58" i="180"/>
  <c r="M102" i="180"/>
  <c r="M81" i="180"/>
  <c r="M62" i="180"/>
  <c r="L80" i="180"/>
  <c r="M55" i="180"/>
  <c r="M19" i="180"/>
  <c r="L22" i="180"/>
  <c r="M28" i="180"/>
  <c r="L33" i="180"/>
  <c r="M92" i="180"/>
  <c r="L97" i="180"/>
  <c r="M45" i="180"/>
  <c r="M64" i="180"/>
  <c r="L94" i="180"/>
  <c r="M13" i="180"/>
  <c r="L47" i="180"/>
  <c r="L60" i="180"/>
  <c r="L63" i="180"/>
  <c r="L79" i="180"/>
  <c r="L96" i="180"/>
  <c r="L99" i="180"/>
  <c r="J104" i="180"/>
  <c r="J105" i="180" s="1"/>
  <c r="L11" i="180"/>
  <c r="L25" i="180"/>
  <c r="L28" i="180"/>
  <c r="L38" i="180"/>
  <c r="L42" i="180"/>
  <c r="L45" i="180"/>
  <c r="L48" i="180"/>
  <c r="L66" i="180"/>
  <c r="L69" i="180"/>
  <c r="L89" i="180"/>
  <c r="L92" i="180"/>
  <c r="L102" i="180"/>
  <c r="L103" i="180"/>
  <c r="I30" i="180"/>
  <c r="I104" i="180" s="1"/>
  <c r="I105" i="180" s="1"/>
  <c r="M51" i="180"/>
  <c r="L54" i="180"/>
  <c r="L57" i="180"/>
  <c r="F61" i="180"/>
  <c r="F104" i="180" s="1"/>
  <c r="F105" i="180" s="1"/>
  <c r="L101" i="180"/>
  <c r="M21" i="180"/>
  <c r="L30" i="180"/>
  <c r="M41" i="180"/>
  <c r="K44" i="180"/>
  <c r="M44" i="180" s="1"/>
  <c r="M47" i="180"/>
  <c r="M71" i="180"/>
  <c r="M91" i="180"/>
  <c r="M94" i="180"/>
  <c r="L100" i="180"/>
  <c r="M20" i="180"/>
  <c r="L36" i="180"/>
  <c r="K50" i="180"/>
  <c r="M50" i="180" s="1"/>
  <c r="M56" i="180"/>
  <c r="M77" i="180"/>
  <c r="L87" i="180"/>
  <c r="M96" i="180"/>
  <c r="M100" i="180"/>
  <c r="L23" i="180"/>
  <c r="M33" i="180"/>
  <c r="L12" i="180"/>
  <c r="L16" i="180"/>
  <c r="M26" i="180"/>
  <c r="L32" i="180"/>
  <c r="L39" i="180"/>
  <c r="M49" i="180"/>
  <c r="L52" i="180"/>
  <c r="L76" i="180"/>
  <c r="L83" i="180"/>
  <c r="L86" i="180"/>
  <c r="L98" i="180"/>
  <c r="M8" i="180"/>
  <c r="M61" i="180"/>
  <c r="L61" i="180"/>
  <c r="L20" i="180"/>
  <c r="M22" i="180"/>
  <c r="M54" i="180"/>
  <c r="K95" i="180"/>
  <c r="M95" i="180" s="1"/>
  <c r="E104" i="180"/>
  <c r="E105" i="180" s="1"/>
  <c r="L8" i="180"/>
  <c r="D110" i="180"/>
  <c r="H104" i="180"/>
  <c r="H105" i="180" s="1"/>
  <c r="L35" i="180"/>
  <c r="L49" i="180"/>
  <c r="L55" i="180"/>
  <c r="L56" i="180"/>
  <c r="L71" i="180"/>
  <c r="L19" i="180"/>
  <c r="L21" i="180"/>
  <c r="L44" i="180" l="1"/>
  <c r="K104" i="180"/>
  <c r="L50" i="180"/>
  <c r="L104" i="180" s="1"/>
  <c r="L105" i="180" s="1"/>
  <c r="K105" i="180"/>
  <c r="M105" i="180" s="1"/>
  <c r="M104" i="180"/>
  <c r="L95" i="180"/>
  <c r="E104" i="135" l="1"/>
  <c r="H104" i="135" l="1"/>
  <c r="J102" i="164" l="1"/>
  <c r="I102" i="164" s="1"/>
  <c r="J101" i="164"/>
  <c r="I101" i="164" s="1"/>
  <c r="J100" i="164"/>
  <c r="I100" i="164" s="1"/>
  <c r="J99" i="164"/>
  <c r="I99" i="164" s="1"/>
  <c r="J98" i="164"/>
  <c r="I98" i="164" s="1"/>
  <c r="J97" i="164"/>
  <c r="I97" i="164" s="1"/>
  <c r="J96" i="164"/>
  <c r="I96" i="164" s="1"/>
  <c r="J95" i="164"/>
  <c r="I95" i="164" s="1"/>
  <c r="J94" i="164"/>
  <c r="I94" i="164" s="1"/>
  <c r="J93" i="164"/>
  <c r="I93" i="164" s="1"/>
  <c r="J92" i="164"/>
  <c r="I92" i="164" s="1"/>
  <c r="J91" i="164"/>
  <c r="I91" i="164" s="1"/>
  <c r="J90" i="164"/>
  <c r="I90" i="164" s="1"/>
  <c r="J89" i="164"/>
  <c r="I89" i="164" s="1"/>
  <c r="J88" i="164"/>
  <c r="I88" i="164" s="1"/>
  <c r="J87" i="164"/>
  <c r="I87" i="164" s="1"/>
  <c r="J86" i="164"/>
  <c r="I86" i="164" s="1"/>
  <c r="J85" i="164"/>
  <c r="I85" i="164" s="1"/>
  <c r="J84" i="164"/>
  <c r="I84" i="164" s="1"/>
  <c r="J83" i="164"/>
  <c r="I83" i="164" s="1"/>
  <c r="J82" i="164"/>
  <c r="I82" i="164" s="1"/>
  <c r="J81" i="164"/>
  <c r="I81" i="164" s="1"/>
  <c r="J80" i="164"/>
  <c r="I80" i="164" s="1"/>
  <c r="J79" i="164"/>
  <c r="I79" i="164" s="1"/>
  <c r="J78" i="164"/>
  <c r="I78" i="164" s="1"/>
  <c r="J77" i="164"/>
  <c r="I77" i="164" s="1"/>
  <c r="J76" i="164"/>
  <c r="I76" i="164" s="1"/>
  <c r="J75" i="164"/>
  <c r="I75" i="164" s="1"/>
  <c r="J74" i="164"/>
  <c r="I74" i="164" s="1"/>
  <c r="J73" i="164"/>
  <c r="I73" i="164" s="1"/>
  <c r="J72" i="164"/>
  <c r="I72" i="164" s="1"/>
  <c r="J71" i="164"/>
  <c r="I71" i="164" s="1"/>
  <c r="J70" i="164"/>
  <c r="I70" i="164" s="1"/>
  <c r="J69" i="164"/>
  <c r="I69" i="164" s="1"/>
  <c r="J68" i="164"/>
  <c r="I68" i="164" s="1"/>
  <c r="J67" i="164"/>
  <c r="I67" i="164" s="1"/>
  <c r="J66" i="164"/>
  <c r="I66" i="164" s="1"/>
  <c r="J65" i="164"/>
  <c r="I65" i="164" s="1"/>
  <c r="J64" i="164"/>
  <c r="I64" i="164" s="1"/>
  <c r="J63" i="164"/>
  <c r="I63" i="164" s="1"/>
  <c r="J62" i="164"/>
  <c r="I62" i="164" s="1"/>
  <c r="J61" i="164"/>
  <c r="I61" i="164" s="1"/>
  <c r="J60" i="164"/>
  <c r="I60" i="164" s="1"/>
  <c r="J59" i="164"/>
  <c r="I59" i="164" s="1"/>
  <c r="J58" i="164"/>
  <c r="I58" i="164" s="1"/>
  <c r="J57" i="164"/>
  <c r="I57" i="164" s="1"/>
  <c r="J56" i="164"/>
  <c r="I56" i="164" s="1"/>
  <c r="J55" i="164"/>
  <c r="I55" i="164" s="1"/>
  <c r="J54" i="164"/>
  <c r="I54" i="164" s="1"/>
  <c r="J53" i="164"/>
  <c r="I53" i="164" s="1"/>
  <c r="J52" i="164"/>
  <c r="I52" i="164" s="1"/>
  <c r="J51" i="164"/>
  <c r="I51" i="164" s="1"/>
  <c r="J50" i="164"/>
  <c r="I50" i="164" s="1"/>
  <c r="J49" i="164"/>
  <c r="I49" i="164" s="1"/>
  <c r="J48" i="164"/>
  <c r="I48" i="164" s="1"/>
  <c r="J47" i="164"/>
  <c r="I47" i="164" s="1"/>
  <c r="J46" i="164"/>
  <c r="I46" i="164" s="1"/>
  <c r="J45" i="164"/>
  <c r="I45" i="164" s="1"/>
  <c r="J44" i="164"/>
  <c r="I44" i="164" s="1"/>
  <c r="J43" i="164"/>
  <c r="I43" i="164" s="1"/>
  <c r="J42" i="164"/>
  <c r="I42" i="164" s="1"/>
  <c r="J41" i="164"/>
  <c r="I41" i="164" s="1"/>
  <c r="J40" i="164"/>
  <c r="I40" i="164" s="1"/>
  <c r="J39" i="164"/>
  <c r="I39" i="164" s="1"/>
  <c r="J38" i="164"/>
  <c r="I38" i="164" s="1"/>
  <c r="J37" i="164"/>
  <c r="I37" i="164" s="1"/>
  <c r="J36" i="164"/>
  <c r="I36" i="164" s="1"/>
  <c r="J35" i="164"/>
  <c r="I35" i="164" s="1"/>
  <c r="J34" i="164"/>
  <c r="I34" i="164" s="1"/>
  <c r="J33" i="164"/>
  <c r="I33" i="164" s="1"/>
  <c r="J32" i="164"/>
  <c r="I32" i="164" s="1"/>
  <c r="J31" i="164"/>
  <c r="I31" i="164" s="1"/>
  <c r="J30" i="164"/>
  <c r="I30" i="164" s="1"/>
  <c r="J29" i="164"/>
  <c r="I29" i="164" s="1"/>
  <c r="J28" i="164"/>
  <c r="I28" i="164" s="1"/>
  <c r="J27" i="164"/>
  <c r="I27" i="164" s="1"/>
  <c r="J26" i="164"/>
  <c r="I26" i="164" s="1"/>
  <c r="J25" i="164"/>
  <c r="I25" i="164" s="1"/>
  <c r="J24" i="164"/>
  <c r="I24" i="164" s="1"/>
  <c r="J23" i="164"/>
  <c r="I23" i="164" s="1"/>
  <c r="J22" i="164"/>
  <c r="I22" i="164" s="1"/>
  <c r="J21" i="164"/>
  <c r="I21" i="164" s="1"/>
  <c r="J20" i="164"/>
  <c r="I20" i="164" s="1"/>
  <c r="J19" i="164"/>
  <c r="I19" i="164" s="1"/>
  <c r="J18" i="164"/>
  <c r="I18" i="164" s="1"/>
  <c r="J17" i="164"/>
  <c r="I17" i="164" s="1"/>
  <c r="J16" i="164"/>
  <c r="I16" i="164" s="1"/>
  <c r="J15" i="164"/>
  <c r="I15" i="164" s="1"/>
  <c r="J14" i="164"/>
  <c r="I14" i="164" s="1"/>
  <c r="J13" i="164"/>
  <c r="I13" i="164" s="1"/>
  <c r="J12" i="164"/>
  <c r="I12" i="164" s="1"/>
  <c r="J11" i="164"/>
  <c r="I11" i="164" s="1"/>
  <c r="J10" i="164"/>
  <c r="I10" i="164" s="1"/>
  <c r="J9" i="164"/>
  <c r="I9" i="164" s="1"/>
  <c r="J8" i="164"/>
  <c r="I8" i="164" s="1"/>
  <c r="J7" i="164"/>
  <c r="I7" i="164" s="1"/>
  <c r="L103" i="139"/>
  <c r="K103" i="139" s="1"/>
  <c r="L102" i="139"/>
  <c r="K102" i="139" s="1"/>
  <c r="L101" i="139"/>
  <c r="K101" i="139" s="1"/>
  <c r="L100" i="139"/>
  <c r="K100" i="139" s="1"/>
  <c r="L99" i="139"/>
  <c r="K99" i="139" s="1"/>
  <c r="L98" i="139"/>
  <c r="K98" i="139" s="1"/>
  <c r="L97" i="139"/>
  <c r="K97" i="139" s="1"/>
  <c r="L96" i="139"/>
  <c r="K96" i="139" s="1"/>
  <c r="L95" i="139"/>
  <c r="K95" i="139" s="1"/>
  <c r="L94" i="139"/>
  <c r="K94" i="139" s="1"/>
  <c r="L93" i="139"/>
  <c r="L92" i="139"/>
  <c r="K92" i="139" s="1"/>
  <c r="L91" i="139"/>
  <c r="K91" i="139" s="1"/>
  <c r="L90" i="139"/>
  <c r="K90" i="139" s="1"/>
  <c r="L89" i="139"/>
  <c r="L88" i="139"/>
  <c r="K88" i="139" s="1"/>
  <c r="L87" i="139"/>
  <c r="K87" i="139" s="1"/>
  <c r="L86" i="139"/>
  <c r="K86" i="139" s="1"/>
  <c r="L85" i="139"/>
  <c r="L84" i="139"/>
  <c r="K84" i="139" s="1"/>
  <c r="L83" i="139"/>
  <c r="L82" i="139"/>
  <c r="K82" i="139" s="1"/>
  <c r="L81" i="139"/>
  <c r="K81" i="139" s="1"/>
  <c r="L80" i="139"/>
  <c r="L79" i="139"/>
  <c r="K79" i="139" s="1"/>
  <c r="L78" i="139"/>
  <c r="K78" i="139" s="1"/>
  <c r="L77" i="139"/>
  <c r="K77" i="139" s="1"/>
  <c r="L76" i="139"/>
  <c r="K76" i="139" s="1"/>
  <c r="L75" i="139"/>
  <c r="K75" i="139" s="1"/>
  <c r="L74" i="139"/>
  <c r="K74" i="139" s="1"/>
  <c r="L73" i="139"/>
  <c r="K73" i="139" s="1"/>
  <c r="L72" i="139"/>
  <c r="K72" i="139" s="1"/>
  <c r="L71" i="139"/>
  <c r="K71" i="139" s="1"/>
  <c r="L70" i="139"/>
  <c r="K70" i="139" s="1"/>
  <c r="L69" i="139"/>
  <c r="K69" i="139" s="1"/>
  <c r="L68" i="139"/>
  <c r="L67" i="139"/>
  <c r="L66" i="139"/>
  <c r="K66" i="139" s="1"/>
  <c r="L65" i="139"/>
  <c r="K65" i="139" s="1"/>
  <c r="L64" i="139"/>
  <c r="K64" i="139" s="1"/>
  <c r="L63" i="139"/>
  <c r="K63" i="139" s="1"/>
  <c r="L62" i="139"/>
  <c r="K62" i="139" s="1"/>
  <c r="L61" i="139"/>
  <c r="K61" i="139" s="1"/>
  <c r="L60" i="139"/>
  <c r="K60" i="139" s="1"/>
  <c r="L59" i="139"/>
  <c r="K59" i="139" s="1"/>
  <c r="L58" i="139"/>
  <c r="K58" i="139" s="1"/>
  <c r="L57" i="139"/>
  <c r="L56" i="139"/>
  <c r="L55" i="139"/>
  <c r="K55" i="139" s="1"/>
  <c r="L54" i="139"/>
  <c r="K54" i="139" s="1"/>
  <c r="L53" i="139"/>
  <c r="L52" i="139"/>
  <c r="K52" i="139" s="1"/>
  <c r="L51" i="139"/>
  <c r="K51" i="139" s="1"/>
  <c r="L50" i="139"/>
  <c r="K50" i="139" s="1"/>
  <c r="L49" i="139"/>
  <c r="K49" i="139" s="1"/>
  <c r="L48" i="139"/>
  <c r="L47" i="139"/>
  <c r="L46" i="139"/>
  <c r="K46" i="139" s="1"/>
  <c r="L45" i="139"/>
  <c r="K45" i="139" s="1"/>
  <c r="L44" i="139"/>
  <c r="K44" i="139" s="1"/>
  <c r="L43" i="139"/>
  <c r="K43" i="139" s="1"/>
  <c r="L42" i="139"/>
  <c r="K42" i="139" s="1"/>
  <c r="L41" i="139"/>
  <c r="K41" i="139" s="1"/>
  <c r="L40" i="139"/>
  <c r="L39" i="139"/>
  <c r="K39" i="139" s="1"/>
  <c r="L38" i="139"/>
  <c r="L37" i="139"/>
  <c r="L36" i="139"/>
  <c r="K36" i="139" s="1"/>
  <c r="L35" i="139"/>
  <c r="K35" i="139" s="1"/>
  <c r="L34" i="139"/>
  <c r="L33" i="139"/>
  <c r="K33" i="139" s="1"/>
  <c r="L32" i="139"/>
  <c r="K32" i="139" s="1"/>
  <c r="L31" i="139"/>
  <c r="K31" i="139" s="1"/>
  <c r="L30" i="139"/>
  <c r="K30" i="139" s="1"/>
  <c r="L29" i="139"/>
  <c r="K29" i="139" s="1"/>
  <c r="L28" i="139"/>
  <c r="K28" i="139" s="1"/>
  <c r="L27" i="139"/>
  <c r="K27" i="139" s="1"/>
  <c r="L26" i="139"/>
  <c r="K26" i="139" s="1"/>
  <c r="L25" i="139"/>
  <c r="K25" i="139" s="1"/>
  <c r="L24" i="139"/>
  <c r="K24" i="139" s="1"/>
  <c r="L23" i="139"/>
  <c r="K23" i="139" s="1"/>
  <c r="L22" i="139"/>
  <c r="K22" i="139" s="1"/>
  <c r="L21" i="139"/>
  <c r="K21" i="139" s="1"/>
  <c r="L20" i="139"/>
  <c r="K20" i="139" s="1"/>
  <c r="L19" i="139"/>
  <c r="K19" i="139" s="1"/>
  <c r="L18" i="139"/>
  <c r="K18" i="139" s="1"/>
  <c r="L17" i="139"/>
  <c r="K17" i="139" s="1"/>
  <c r="L16" i="139"/>
  <c r="K16" i="139" s="1"/>
  <c r="L15" i="139"/>
  <c r="K15" i="139" s="1"/>
  <c r="L14" i="139"/>
  <c r="K14" i="139" s="1"/>
  <c r="L13" i="139"/>
  <c r="K13" i="139" s="1"/>
  <c r="L12" i="139"/>
  <c r="K12" i="139" s="1"/>
  <c r="L11" i="139"/>
  <c r="K11" i="139" s="1"/>
  <c r="L10" i="139"/>
  <c r="K10" i="139" s="1"/>
  <c r="L9" i="139"/>
  <c r="K9" i="139" s="1"/>
  <c r="L8" i="139"/>
  <c r="J9" i="163"/>
  <c r="I9" i="163" s="1"/>
  <c r="J10" i="163"/>
  <c r="I10" i="163" s="1"/>
  <c r="J11" i="163"/>
  <c r="I11" i="163" s="1"/>
  <c r="J12" i="163"/>
  <c r="I12" i="163" s="1"/>
  <c r="J13" i="163"/>
  <c r="I13" i="163" s="1"/>
  <c r="J14" i="163"/>
  <c r="I14" i="163" s="1"/>
  <c r="J15" i="163"/>
  <c r="I15" i="163" s="1"/>
  <c r="J16" i="163"/>
  <c r="I16" i="163" s="1"/>
  <c r="J17" i="163"/>
  <c r="I17" i="163" s="1"/>
  <c r="J18" i="163"/>
  <c r="I18" i="163" s="1"/>
  <c r="J19" i="163"/>
  <c r="I19" i="163" s="1"/>
  <c r="J20" i="163"/>
  <c r="I20" i="163" s="1"/>
  <c r="J21" i="163"/>
  <c r="I21" i="163" s="1"/>
  <c r="J22" i="163"/>
  <c r="I22" i="163" s="1"/>
  <c r="J23" i="163"/>
  <c r="I23" i="163" s="1"/>
  <c r="J24" i="163"/>
  <c r="I24" i="163" s="1"/>
  <c r="J25" i="163"/>
  <c r="I25" i="163" s="1"/>
  <c r="J26" i="163"/>
  <c r="I26" i="163" s="1"/>
  <c r="J27" i="163"/>
  <c r="I27" i="163" s="1"/>
  <c r="J28" i="163"/>
  <c r="I28" i="163" s="1"/>
  <c r="J29" i="163"/>
  <c r="I29" i="163" s="1"/>
  <c r="J30" i="163"/>
  <c r="I30" i="163" s="1"/>
  <c r="J31" i="163"/>
  <c r="I31" i="163" s="1"/>
  <c r="J32" i="163"/>
  <c r="I32" i="163" s="1"/>
  <c r="J33" i="163"/>
  <c r="I33" i="163" s="1"/>
  <c r="J34" i="163"/>
  <c r="I34" i="163" s="1"/>
  <c r="J35" i="163"/>
  <c r="I35" i="163" s="1"/>
  <c r="J36" i="163"/>
  <c r="I36" i="163" s="1"/>
  <c r="J37" i="163"/>
  <c r="I37" i="163" s="1"/>
  <c r="J38" i="163"/>
  <c r="I38" i="163" s="1"/>
  <c r="J39" i="163"/>
  <c r="I39" i="163" s="1"/>
  <c r="J40" i="163"/>
  <c r="I40" i="163" s="1"/>
  <c r="J41" i="163"/>
  <c r="I41" i="163" s="1"/>
  <c r="J42" i="163"/>
  <c r="I42" i="163" s="1"/>
  <c r="J43" i="163"/>
  <c r="I43" i="163" s="1"/>
  <c r="J44" i="163"/>
  <c r="I44" i="163" s="1"/>
  <c r="J45" i="163"/>
  <c r="I45" i="163" s="1"/>
  <c r="J46" i="163"/>
  <c r="I46" i="163" s="1"/>
  <c r="J47" i="163"/>
  <c r="I47" i="163" s="1"/>
  <c r="J48" i="163"/>
  <c r="I48" i="163" s="1"/>
  <c r="J49" i="163"/>
  <c r="I49" i="163" s="1"/>
  <c r="J50" i="163"/>
  <c r="I50" i="163" s="1"/>
  <c r="J51" i="163"/>
  <c r="I51" i="163" s="1"/>
  <c r="J52" i="163"/>
  <c r="I52" i="163" s="1"/>
  <c r="J53" i="163"/>
  <c r="I53" i="163" s="1"/>
  <c r="J54" i="163"/>
  <c r="I54" i="163" s="1"/>
  <c r="J55" i="163"/>
  <c r="I55" i="163" s="1"/>
  <c r="J56" i="163"/>
  <c r="I56" i="163" s="1"/>
  <c r="J57" i="163"/>
  <c r="I57" i="163" s="1"/>
  <c r="J58" i="163"/>
  <c r="I58" i="163" s="1"/>
  <c r="J59" i="163"/>
  <c r="I59" i="163" s="1"/>
  <c r="J60" i="163"/>
  <c r="I60" i="163" s="1"/>
  <c r="J61" i="163"/>
  <c r="I61" i="163" s="1"/>
  <c r="J62" i="163"/>
  <c r="I62" i="163" s="1"/>
  <c r="J63" i="163"/>
  <c r="I63" i="163" s="1"/>
  <c r="J64" i="163"/>
  <c r="I64" i="163" s="1"/>
  <c r="J65" i="163"/>
  <c r="I65" i="163" s="1"/>
  <c r="J66" i="163"/>
  <c r="I66" i="163" s="1"/>
  <c r="J67" i="163"/>
  <c r="I67" i="163" s="1"/>
  <c r="J68" i="163"/>
  <c r="I68" i="163" s="1"/>
  <c r="J69" i="163"/>
  <c r="I69" i="163" s="1"/>
  <c r="J70" i="163"/>
  <c r="I70" i="163" s="1"/>
  <c r="J71" i="163"/>
  <c r="I71" i="163" s="1"/>
  <c r="J72" i="163"/>
  <c r="I72" i="163" s="1"/>
  <c r="J73" i="163"/>
  <c r="I73" i="163" s="1"/>
  <c r="J74" i="163"/>
  <c r="I74" i="163" s="1"/>
  <c r="J75" i="163"/>
  <c r="I75" i="163" s="1"/>
  <c r="J76" i="163"/>
  <c r="I76" i="163" s="1"/>
  <c r="J77" i="163"/>
  <c r="I77" i="163" s="1"/>
  <c r="J78" i="163"/>
  <c r="I78" i="163" s="1"/>
  <c r="J79" i="163"/>
  <c r="I79" i="163" s="1"/>
  <c r="J80" i="163"/>
  <c r="I80" i="163" s="1"/>
  <c r="J81" i="163"/>
  <c r="I81" i="163" s="1"/>
  <c r="J82" i="163"/>
  <c r="I82" i="163" s="1"/>
  <c r="J83" i="163"/>
  <c r="I83" i="163" s="1"/>
  <c r="J84" i="163"/>
  <c r="I84" i="163" s="1"/>
  <c r="J85" i="163"/>
  <c r="I85" i="163" s="1"/>
  <c r="J86" i="163"/>
  <c r="I86" i="163" s="1"/>
  <c r="J87" i="163"/>
  <c r="I87" i="163" s="1"/>
  <c r="J88" i="163"/>
  <c r="I88" i="163" s="1"/>
  <c r="J89" i="163"/>
  <c r="I89" i="163" s="1"/>
  <c r="J90" i="163"/>
  <c r="I90" i="163" s="1"/>
  <c r="J91" i="163"/>
  <c r="I91" i="163" s="1"/>
  <c r="J92" i="163"/>
  <c r="I92" i="163" s="1"/>
  <c r="J93" i="163"/>
  <c r="I93" i="163" s="1"/>
  <c r="J94" i="163"/>
  <c r="I94" i="163" s="1"/>
  <c r="J95" i="163"/>
  <c r="I95" i="163" s="1"/>
  <c r="J96" i="163"/>
  <c r="I96" i="163" s="1"/>
  <c r="J97" i="163"/>
  <c r="I97" i="163" s="1"/>
  <c r="J98" i="163"/>
  <c r="I98" i="163" s="1"/>
  <c r="J99" i="163"/>
  <c r="I99" i="163" s="1"/>
  <c r="J100" i="163"/>
  <c r="I100" i="163" s="1"/>
  <c r="J101" i="163"/>
  <c r="I101" i="163" s="1"/>
  <c r="J102" i="163"/>
  <c r="I102" i="163" s="1"/>
  <c r="J103" i="163"/>
  <c r="I103" i="163" s="1"/>
  <c r="J8" i="163"/>
  <c r="I8" i="163" s="1"/>
  <c r="J21" i="171" l="1"/>
  <c r="I21" i="171"/>
  <c r="A3" i="172"/>
  <c r="H51" i="178"/>
  <c r="G42" i="178"/>
  <c r="F42" i="178"/>
  <c r="I34" i="178"/>
  <c r="H34" i="178"/>
  <c r="H33" i="178"/>
  <c r="G33" i="178"/>
  <c r="F33" i="178"/>
  <c r="G30" i="178"/>
  <c r="A3" i="178"/>
  <c r="I33" i="178" l="1"/>
  <c r="I42" i="178"/>
  <c r="H42" i="178"/>
  <c r="B36" i="177"/>
  <c r="B35" i="177"/>
  <c r="B34" i="177"/>
  <c r="D103" i="164" l="1"/>
  <c r="K7" i="164" l="1"/>
  <c r="I43" i="174"/>
  <c r="H43" i="174"/>
  <c r="I40" i="174"/>
  <c r="H40" i="174"/>
  <c r="I21" i="174"/>
  <c r="F43" i="178" l="1"/>
  <c r="F41" i="178" s="1"/>
  <c r="F44" i="178"/>
  <c r="G44" i="178"/>
  <c r="G43" i="178"/>
  <c r="G40" i="178"/>
  <c r="H44" i="178" l="1"/>
  <c r="I44" i="178"/>
  <c r="H43" i="178"/>
  <c r="H41" i="178" s="1"/>
  <c r="I43" i="178"/>
  <c r="G41" i="178"/>
  <c r="I41" i="178" s="1"/>
  <c r="H41" i="77" l="1"/>
  <c r="N41" i="77" s="1"/>
  <c r="L40" i="77"/>
  <c r="L36" i="77"/>
  <c r="G45" i="178"/>
  <c r="F21" i="171" l="1"/>
  <c r="A3" i="174" l="1"/>
  <c r="O12" i="131" l="1"/>
  <c r="O11" i="131" l="1"/>
  <c r="G54" i="170"/>
  <c r="D104" i="135"/>
  <c r="H43" i="176"/>
  <c r="K43" i="176" s="1"/>
  <c r="K42" i="176"/>
  <c r="J42" i="176"/>
  <c r="K41" i="176"/>
  <c r="J41" i="176"/>
  <c r="I40" i="176"/>
  <c r="H40" i="176"/>
  <c r="K39" i="176"/>
  <c r="J39" i="176"/>
  <c r="K38" i="176"/>
  <c r="J38" i="176"/>
  <c r="K37" i="176"/>
  <c r="J37" i="176"/>
  <c r="K36" i="176"/>
  <c r="J36" i="176"/>
  <c r="K35" i="176"/>
  <c r="J35" i="176"/>
  <c r="K34" i="176"/>
  <c r="J34" i="176"/>
  <c r="K33" i="176"/>
  <c r="J33" i="176"/>
  <c r="K32" i="176"/>
  <c r="J32" i="176"/>
  <c r="K31" i="176"/>
  <c r="J31" i="176"/>
  <c r="K30" i="176"/>
  <c r="J30" i="176"/>
  <c r="K29" i="176"/>
  <c r="J29" i="176"/>
  <c r="K28" i="176"/>
  <c r="J28" i="176"/>
  <c r="K27" i="176"/>
  <c r="J27" i="176"/>
  <c r="K26" i="176"/>
  <c r="J26" i="176"/>
  <c r="K25" i="176"/>
  <c r="J25" i="176"/>
  <c r="K24" i="176"/>
  <c r="J24" i="176"/>
  <c r="K23" i="176"/>
  <c r="J23" i="176"/>
  <c r="K22" i="176"/>
  <c r="J22" i="176"/>
  <c r="I21" i="176"/>
  <c r="K20" i="176"/>
  <c r="J20" i="176"/>
  <c r="K19" i="176"/>
  <c r="J19" i="176"/>
  <c r="K18" i="176"/>
  <c r="J18" i="176"/>
  <c r="K17" i="176"/>
  <c r="J17" i="176"/>
  <c r="K16" i="176"/>
  <c r="J16" i="176"/>
  <c r="K15" i="176"/>
  <c r="J15" i="176"/>
  <c r="K14" i="176"/>
  <c r="J14" i="176"/>
  <c r="K13" i="176"/>
  <c r="J13" i="176"/>
  <c r="H12" i="176"/>
  <c r="K12" i="176" s="1"/>
  <c r="K11" i="176"/>
  <c r="J11" i="176"/>
  <c r="K10" i="176"/>
  <c r="J10" i="176"/>
  <c r="K9" i="176"/>
  <c r="J9" i="176"/>
  <c r="K8" i="176"/>
  <c r="J8" i="176"/>
  <c r="K7" i="176"/>
  <c r="J7" i="176"/>
  <c r="K6" i="176"/>
  <c r="J6" i="176"/>
  <c r="I110" i="175"/>
  <c r="I105" i="175"/>
  <c r="O100" i="175"/>
  <c r="N100" i="175"/>
  <c r="I100" i="175"/>
  <c r="H100" i="175"/>
  <c r="F100" i="175"/>
  <c r="E100" i="175"/>
  <c r="D100" i="175"/>
  <c r="O99" i="175"/>
  <c r="N99" i="175"/>
  <c r="I99" i="175"/>
  <c r="H99" i="175"/>
  <c r="F99" i="175"/>
  <c r="E99" i="175"/>
  <c r="D99" i="175"/>
  <c r="J98" i="175"/>
  <c r="G98" i="175"/>
  <c r="J97" i="175"/>
  <c r="G97" i="175"/>
  <c r="J96" i="175"/>
  <c r="G96" i="175"/>
  <c r="J95" i="175"/>
  <c r="G95" i="175"/>
  <c r="N82" i="175"/>
  <c r="N90" i="175" s="1"/>
  <c r="L82" i="175"/>
  <c r="K82" i="175"/>
  <c r="K98" i="175" s="1"/>
  <c r="I82" i="175"/>
  <c r="I90" i="175" s="1"/>
  <c r="F82" i="175"/>
  <c r="F90" i="175" s="1"/>
  <c r="E82" i="175"/>
  <c r="E90" i="175" s="1"/>
  <c r="D82" i="175"/>
  <c r="D90" i="175" s="1"/>
  <c r="O81" i="175"/>
  <c r="O89" i="175" s="1"/>
  <c r="N81" i="175"/>
  <c r="N89" i="175" s="1"/>
  <c r="L81" i="175"/>
  <c r="K81" i="175"/>
  <c r="K97" i="175" s="1"/>
  <c r="I81" i="175"/>
  <c r="I89" i="175" s="1"/>
  <c r="F81" i="175"/>
  <c r="E81" i="175"/>
  <c r="E89" i="175" s="1"/>
  <c r="D81" i="175"/>
  <c r="D89" i="175" s="1"/>
  <c r="N80" i="175"/>
  <c r="N83" i="175" s="1"/>
  <c r="L80" i="175"/>
  <c r="L96" i="175" s="1"/>
  <c r="K80" i="175"/>
  <c r="K96" i="175" s="1"/>
  <c r="I80" i="175"/>
  <c r="F80" i="175"/>
  <c r="F88" i="175" s="1"/>
  <c r="E80" i="175"/>
  <c r="N79" i="175"/>
  <c r="N87" i="175" s="1"/>
  <c r="L79" i="175"/>
  <c r="L95" i="175" s="1"/>
  <c r="K79" i="175"/>
  <c r="K95" i="175" s="1"/>
  <c r="I79" i="175"/>
  <c r="I87" i="175" s="1"/>
  <c r="H79" i="175"/>
  <c r="F79" i="175"/>
  <c r="F87" i="175" s="1"/>
  <c r="E79" i="175"/>
  <c r="E87" i="175" s="1"/>
  <c r="N74" i="175"/>
  <c r="L74" i="175"/>
  <c r="K74" i="175"/>
  <c r="I74" i="175"/>
  <c r="F74" i="175"/>
  <c r="E74" i="175"/>
  <c r="D74" i="175"/>
  <c r="O73" i="175"/>
  <c r="N73" i="175"/>
  <c r="L73" i="175"/>
  <c r="K73" i="175"/>
  <c r="I73" i="175"/>
  <c r="F73" i="175"/>
  <c r="E73" i="175"/>
  <c r="D73" i="175"/>
  <c r="N72" i="175"/>
  <c r="L72" i="175"/>
  <c r="K72" i="175"/>
  <c r="M72" i="175" s="1"/>
  <c r="I72" i="175"/>
  <c r="F72" i="175"/>
  <c r="F76" i="175" s="1"/>
  <c r="E72" i="175"/>
  <c r="D72" i="175"/>
  <c r="O71" i="175"/>
  <c r="N71" i="175"/>
  <c r="L71" i="175"/>
  <c r="K71" i="175"/>
  <c r="M71" i="175" s="1"/>
  <c r="I71" i="175"/>
  <c r="H71" i="175"/>
  <c r="F71" i="175"/>
  <c r="E71" i="175"/>
  <c r="L70" i="175"/>
  <c r="K70" i="175"/>
  <c r="I70" i="175"/>
  <c r="L69" i="175"/>
  <c r="K69" i="175"/>
  <c r="I69" i="175"/>
  <c r="N68" i="175"/>
  <c r="L68" i="175"/>
  <c r="K68" i="175"/>
  <c r="I68" i="175"/>
  <c r="F68" i="175"/>
  <c r="E68" i="175"/>
  <c r="D68" i="175"/>
  <c r="N67" i="175"/>
  <c r="L67" i="175"/>
  <c r="K67" i="175"/>
  <c r="I67" i="175"/>
  <c r="F67" i="175"/>
  <c r="E67" i="175"/>
  <c r="D67" i="175"/>
  <c r="O66" i="175"/>
  <c r="M66" i="175"/>
  <c r="H66" i="175"/>
  <c r="G66" i="175"/>
  <c r="M65" i="175"/>
  <c r="H65" i="175"/>
  <c r="J65" i="175" s="1"/>
  <c r="G65" i="175"/>
  <c r="O64" i="175"/>
  <c r="M64" i="175"/>
  <c r="H64" i="175"/>
  <c r="J64" i="175" s="1"/>
  <c r="G64" i="175"/>
  <c r="M63" i="175"/>
  <c r="J63" i="175"/>
  <c r="D63" i="175"/>
  <c r="G63" i="175" s="1"/>
  <c r="L62" i="175"/>
  <c r="K62" i="175"/>
  <c r="I62" i="175"/>
  <c r="L61" i="175"/>
  <c r="K61" i="175"/>
  <c r="I61" i="175"/>
  <c r="O60" i="175"/>
  <c r="N60" i="175"/>
  <c r="L60" i="175"/>
  <c r="K60" i="175"/>
  <c r="I60" i="175"/>
  <c r="F60" i="175"/>
  <c r="E60" i="175"/>
  <c r="D60" i="175"/>
  <c r="O59" i="175"/>
  <c r="N59" i="175"/>
  <c r="L59" i="175"/>
  <c r="K59" i="175"/>
  <c r="I59" i="175"/>
  <c r="F59" i="175"/>
  <c r="E59" i="175"/>
  <c r="D59" i="175"/>
  <c r="M58" i="175"/>
  <c r="H58" i="175"/>
  <c r="G58" i="175"/>
  <c r="M57" i="175"/>
  <c r="H57" i="175"/>
  <c r="G57" i="175"/>
  <c r="M56" i="175"/>
  <c r="H56" i="175"/>
  <c r="G56" i="175"/>
  <c r="M55" i="175"/>
  <c r="J55" i="175"/>
  <c r="D55" i="175"/>
  <c r="H54" i="175"/>
  <c r="H53" i="175"/>
  <c r="O52" i="175"/>
  <c r="N52" i="175"/>
  <c r="L52" i="175"/>
  <c r="K52" i="175"/>
  <c r="I52" i="175"/>
  <c r="H52" i="175"/>
  <c r="F52" i="175"/>
  <c r="E52" i="175"/>
  <c r="D52" i="175"/>
  <c r="O51" i="175"/>
  <c r="N51" i="175"/>
  <c r="L51" i="175"/>
  <c r="K51" i="175"/>
  <c r="I51" i="175"/>
  <c r="H51" i="175"/>
  <c r="F51" i="175"/>
  <c r="E51" i="175"/>
  <c r="D51" i="175"/>
  <c r="M50" i="175"/>
  <c r="J50" i="175"/>
  <c r="G50" i="175"/>
  <c r="M49" i="175"/>
  <c r="J49" i="175"/>
  <c r="G49" i="175"/>
  <c r="M48" i="175"/>
  <c r="M51" i="175" s="1"/>
  <c r="J48" i="175"/>
  <c r="G48" i="175"/>
  <c r="M47" i="175"/>
  <c r="J47" i="175"/>
  <c r="G47" i="175"/>
  <c r="P47" i="175" s="1"/>
  <c r="N44" i="175"/>
  <c r="L44" i="175"/>
  <c r="K44" i="175"/>
  <c r="I44" i="175"/>
  <c r="H44" i="175"/>
  <c r="F44" i="175"/>
  <c r="E44" i="175"/>
  <c r="D44" i="175"/>
  <c r="N43" i="175"/>
  <c r="L43" i="175"/>
  <c r="K43" i="175"/>
  <c r="I43" i="175"/>
  <c r="H43" i="175"/>
  <c r="F43" i="175"/>
  <c r="E43" i="175"/>
  <c r="D43" i="175"/>
  <c r="O42" i="175"/>
  <c r="M42" i="175"/>
  <c r="J42" i="175"/>
  <c r="G42" i="175"/>
  <c r="M41" i="175"/>
  <c r="J41" i="175"/>
  <c r="G41" i="175"/>
  <c r="O40" i="175"/>
  <c r="M40" i="175"/>
  <c r="J40" i="175"/>
  <c r="G40" i="175"/>
  <c r="O39" i="175"/>
  <c r="M39" i="175"/>
  <c r="J39" i="175"/>
  <c r="G39" i="175"/>
  <c r="F38" i="175"/>
  <c r="E38" i="175"/>
  <c r="F37" i="175"/>
  <c r="E37" i="175"/>
  <c r="D37" i="175"/>
  <c r="O36" i="175"/>
  <c r="N36" i="175"/>
  <c r="L36" i="175"/>
  <c r="K36" i="175"/>
  <c r="I36" i="175"/>
  <c r="F36" i="175"/>
  <c r="E36" i="175"/>
  <c r="O35" i="175"/>
  <c r="N35" i="175"/>
  <c r="L35" i="175"/>
  <c r="K35" i="175"/>
  <c r="I35" i="175"/>
  <c r="F35" i="175"/>
  <c r="E35" i="175"/>
  <c r="M34" i="175"/>
  <c r="H34" i="175"/>
  <c r="H36" i="175" s="1"/>
  <c r="G34" i="175"/>
  <c r="M33" i="175"/>
  <c r="J33" i="175"/>
  <c r="G33" i="175"/>
  <c r="M32" i="175"/>
  <c r="M35" i="175" s="1"/>
  <c r="J32" i="175"/>
  <c r="D32" i="175"/>
  <c r="D38" i="175" s="1"/>
  <c r="O31" i="175"/>
  <c r="M31" i="175"/>
  <c r="J31" i="175"/>
  <c r="G31" i="175"/>
  <c r="I30" i="175"/>
  <c r="I29" i="175"/>
  <c r="O28" i="175"/>
  <c r="N28" i="175"/>
  <c r="L28" i="175"/>
  <c r="K28" i="175"/>
  <c r="I28" i="175"/>
  <c r="F28" i="175"/>
  <c r="E28" i="175"/>
  <c r="D28" i="175"/>
  <c r="O27" i="175"/>
  <c r="N27" i="175"/>
  <c r="L27" i="175"/>
  <c r="K27" i="175"/>
  <c r="I27" i="175"/>
  <c r="F27" i="175"/>
  <c r="E27" i="175"/>
  <c r="D27" i="175"/>
  <c r="M26" i="175"/>
  <c r="H26" i="175"/>
  <c r="H30" i="175" s="1"/>
  <c r="G26" i="175"/>
  <c r="Q25" i="175"/>
  <c r="M25" i="175"/>
  <c r="J25" i="175"/>
  <c r="G25" i="175"/>
  <c r="M24" i="175"/>
  <c r="J24" i="175"/>
  <c r="G24" i="175"/>
  <c r="M23" i="175"/>
  <c r="J23" i="175"/>
  <c r="G23" i="175"/>
  <c r="N20" i="175"/>
  <c r="L20" i="175"/>
  <c r="K20" i="175"/>
  <c r="I20" i="175"/>
  <c r="H20" i="175"/>
  <c r="F20" i="175"/>
  <c r="E20" i="175"/>
  <c r="D20" i="175"/>
  <c r="N19" i="175"/>
  <c r="L19" i="175"/>
  <c r="K19" i="175"/>
  <c r="I19" i="175"/>
  <c r="H19" i="175"/>
  <c r="F19" i="175"/>
  <c r="E19" i="175"/>
  <c r="D19" i="175"/>
  <c r="O18" i="175"/>
  <c r="M18" i="175"/>
  <c r="J18" i="175"/>
  <c r="G18" i="175"/>
  <c r="M17" i="175"/>
  <c r="J17" i="175"/>
  <c r="G17" i="175"/>
  <c r="O16" i="175"/>
  <c r="M16" i="175"/>
  <c r="M19" i="175" s="1"/>
  <c r="J16" i="175"/>
  <c r="G16" i="175"/>
  <c r="O15" i="175"/>
  <c r="M15" i="175"/>
  <c r="J15" i="175"/>
  <c r="G15" i="175"/>
  <c r="N12" i="175"/>
  <c r="L12" i="175"/>
  <c r="K12" i="175"/>
  <c r="I12" i="175"/>
  <c r="H12" i="175"/>
  <c r="F12" i="175"/>
  <c r="E12" i="175"/>
  <c r="D12" i="175"/>
  <c r="N11" i="175"/>
  <c r="L11" i="175"/>
  <c r="K11" i="175"/>
  <c r="I11" i="175"/>
  <c r="H11" i="175"/>
  <c r="F11" i="175"/>
  <c r="E11" i="175"/>
  <c r="D11" i="175"/>
  <c r="O10" i="175"/>
  <c r="M10" i="175"/>
  <c r="J10" i="175"/>
  <c r="G10" i="175"/>
  <c r="M9" i="175"/>
  <c r="J9" i="175"/>
  <c r="G9" i="175"/>
  <c r="O8" i="175"/>
  <c r="O12" i="175" s="1"/>
  <c r="M8" i="175"/>
  <c r="J8" i="175"/>
  <c r="G8" i="175"/>
  <c r="O7" i="175"/>
  <c r="M7" i="175"/>
  <c r="J7" i="175"/>
  <c r="G7" i="175"/>
  <c r="F103" i="164"/>
  <c r="O79" i="175" l="1"/>
  <c r="O87" i="175" s="1"/>
  <c r="K40" i="176"/>
  <c r="G19" i="175"/>
  <c r="G28" i="175"/>
  <c r="J79" i="175"/>
  <c r="M67" i="175"/>
  <c r="H70" i="175"/>
  <c r="G32" i="175"/>
  <c r="B28" i="175" s="1"/>
  <c r="B30" i="175" s="1"/>
  <c r="P9" i="175"/>
  <c r="O82" i="175"/>
  <c r="O19" i="175"/>
  <c r="J26" i="175"/>
  <c r="J30" i="175" s="1"/>
  <c r="J53" i="175"/>
  <c r="G11" i="175"/>
  <c r="K76" i="175"/>
  <c r="O46" i="175"/>
  <c r="G73" i="175"/>
  <c r="I86" i="175"/>
  <c r="I44" i="176"/>
  <c r="M95" i="175"/>
  <c r="G50" i="178"/>
  <c r="G49" i="178" s="1"/>
  <c r="F50" i="178"/>
  <c r="F54" i="170"/>
  <c r="F53" i="170" s="1"/>
  <c r="M20" i="175"/>
  <c r="O22" i="175"/>
  <c r="M27" i="175"/>
  <c r="I78" i="175"/>
  <c r="M11" i="175"/>
  <c r="M68" i="175"/>
  <c r="J40" i="176"/>
  <c r="P39" i="175"/>
  <c r="P48" i="175"/>
  <c r="P50" i="175"/>
  <c r="M62" i="175"/>
  <c r="P63" i="175"/>
  <c r="L76" i="175"/>
  <c r="G74" i="175"/>
  <c r="P8" i="175"/>
  <c r="J19" i="175"/>
  <c r="G37" i="175"/>
  <c r="O43" i="175"/>
  <c r="O45" i="175"/>
  <c r="D76" i="175"/>
  <c r="L84" i="175"/>
  <c r="J43" i="176"/>
  <c r="M61" i="175"/>
  <c r="E84" i="175"/>
  <c r="J12" i="176"/>
  <c r="J21" i="176" s="1"/>
  <c r="H21" i="176"/>
  <c r="J100" i="175"/>
  <c r="J12" i="175"/>
  <c r="P16" i="175"/>
  <c r="M28" i="175"/>
  <c r="J43" i="175"/>
  <c r="P42" i="175"/>
  <c r="P45" i="175" s="1"/>
  <c r="H68" i="175"/>
  <c r="H69" i="175"/>
  <c r="L78" i="175"/>
  <c r="H87" i="175"/>
  <c r="J87" i="175" s="1"/>
  <c r="G59" i="175"/>
  <c r="P17" i="175"/>
  <c r="G20" i="175"/>
  <c r="H28" i="175"/>
  <c r="H74" i="175"/>
  <c r="H77" i="175" s="1"/>
  <c r="J66" i="175"/>
  <c r="J69" i="175" s="1"/>
  <c r="N76" i="175"/>
  <c r="E75" i="175"/>
  <c r="D75" i="175"/>
  <c r="M81" i="175"/>
  <c r="P23" i="175"/>
  <c r="P24" i="175"/>
  <c r="G27" i="175"/>
  <c r="H29" i="175"/>
  <c r="M60" i="175"/>
  <c r="H61" i="175"/>
  <c r="H67" i="175"/>
  <c r="G72" i="175"/>
  <c r="F84" i="175"/>
  <c r="H27" i="175"/>
  <c r="M36" i="175"/>
  <c r="M52" i="175"/>
  <c r="M59" i="175"/>
  <c r="P64" i="175"/>
  <c r="E76" i="175"/>
  <c r="M73" i="175"/>
  <c r="I77" i="175"/>
  <c r="I76" i="175"/>
  <c r="G81" i="175"/>
  <c r="L86" i="175"/>
  <c r="P25" i="175"/>
  <c r="P49" i="175"/>
  <c r="P65" i="175"/>
  <c r="J71" i="175"/>
  <c r="M74" i="175"/>
  <c r="M75" i="175" s="1"/>
  <c r="M82" i="175"/>
  <c r="G38" i="175"/>
  <c r="M44" i="175"/>
  <c r="M43" i="175"/>
  <c r="G52" i="175"/>
  <c r="O13" i="175"/>
  <c r="O20" i="175"/>
  <c r="H37" i="175"/>
  <c r="H82" i="175"/>
  <c r="H38" i="175"/>
  <c r="J44" i="175"/>
  <c r="H60" i="175"/>
  <c r="H72" i="175"/>
  <c r="H80" i="175"/>
  <c r="H59" i="175"/>
  <c r="F91" i="175"/>
  <c r="J11" i="175"/>
  <c r="P18" i="175"/>
  <c r="J20" i="175"/>
  <c r="P32" i="175"/>
  <c r="H35" i="175"/>
  <c r="D71" i="175"/>
  <c r="G71" i="175" s="1"/>
  <c r="D79" i="175"/>
  <c r="J56" i="175"/>
  <c r="P56" i="175" s="1"/>
  <c r="H62" i="175"/>
  <c r="G68" i="175"/>
  <c r="K100" i="175"/>
  <c r="K99" i="175"/>
  <c r="K115" i="175"/>
  <c r="M96" i="175"/>
  <c r="M12" i="175"/>
  <c r="P15" i="175"/>
  <c r="J28" i="175"/>
  <c r="P26" i="175"/>
  <c r="P31" i="175"/>
  <c r="P33" i="175"/>
  <c r="P41" i="175"/>
  <c r="P53" i="175"/>
  <c r="G51" i="175"/>
  <c r="G55" i="175"/>
  <c r="P55" i="175" s="1"/>
  <c r="O68" i="175"/>
  <c r="O72" i="175"/>
  <c r="M69" i="175"/>
  <c r="M70" i="175"/>
  <c r="G67" i="175"/>
  <c r="L115" i="175"/>
  <c r="O80" i="175"/>
  <c r="O11" i="175"/>
  <c r="P10" i="175"/>
  <c r="J27" i="175"/>
  <c r="D35" i="175"/>
  <c r="D80" i="175"/>
  <c r="D36" i="175"/>
  <c r="G44" i="175"/>
  <c r="P40" i="175"/>
  <c r="P46" i="175" s="1"/>
  <c r="J54" i="175"/>
  <c r="J51" i="175"/>
  <c r="J52" i="175"/>
  <c r="J58" i="175"/>
  <c r="O70" i="175"/>
  <c r="O74" i="175"/>
  <c r="O69" i="175"/>
  <c r="O67" i="175"/>
  <c r="E93" i="175"/>
  <c r="P95" i="175"/>
  <c r="H81" i="175"/>
  <c r="H73" i="175"/>
  <c r="J73" i="175" s="1"/>
  <c r="F93" i="175"/>
  <c r="F94" i="175"/>
  <c r="P7" i="175"/>
  <c r="G60" i="175"/>
  <c r="G43" i="175"/>
  <c r="G12" i="175"/>
  <c r="O21" i="175"/>
  <c r="J57" i="175"/>
  <c r="P57" i="175" s="1"/>
  <c r="O90" i="175"/>
  <c r="O85" i="175"/>
  <c r="K101" i="175"/>
  <c r="K102" i="175"/>
  <c r="J34" i="175"/>
  <c r="L75" i="175"/>
  <c r="O44" i="175"/>
  <c r="N75" i="175"/>
  <c r="M80" i="175"/>
  <c r="I83" i="175"/>
  <c r="N84" i="175"/>
  <c r="I88" i="175"/>
  <c r="G90" i="175"/>
  <c r="L97" i="175"/>
  <c r="M97" i="175" s="1"/>
  <c r="P97" i="175" s="1"/>
  <c r="L98" i="175"/>
  <c r="M98" i="175" s="1"/>
  <c r="G99" i="175"/>
  <c r="I75" i="175"/>
  <c r="K77" i="175"/>
  <c r="I84" i="175"/>
  <c r="F89" i="175"/>
  <c r="F92" i="175" s="1"/>
  <c r="G100" i="175"/>
  <c r="L77" i="175"/>
  <c r="E83" i="175"/>
  <c r="K83" i="175"/>
  <c r="I85" i="175"/>
  <c r="E88" i="175"/>
  <c r="N88" i="175"/>
  <c r="I93" i="175"/>
  <c r="K75" i="175"/>
  <c r="K78" i="175"/>
  <c r="G82" i="175"/>
  <c r="F83" i="175"/>
  <c r="L83" i="175"/>
  <c r="K84" i="175"/>
  <c r="J99" i="175"/>
  <c r="E85" i="175"/>
  <c r="K85" i="175"/>
  <c r="E86" i="175"/>
  <c r="K86" i="175"/>
  <c r="F75" i="175"/>
  <c r="O14" i="175"/>
  <c r="M79" i="175"/>
  <c r="F85" i="175"/>
  <c r="L85" i="175"/>
  <c r="F86" i="175"/>
  <c r="G8" i="163"/>
  <c r="J29" i="175" l="1"/>
  <c r="Q16" i="175"/>
  <c r="P28" i="175"/>
  <c r="J44" i="176"/>
  <c r="P71" i="175"/>
  <c r="G35" i="175"/>
  <c r="G36" i="175"/>
  <c r="M76" i="175"/>
  <c r="P51" i="175"/>
  <c r="J67" i="175"/>
  <c r="G76" i="175"/>
  <c r="H54" i="170"/>
  <c r="I54" i="170"/>
  <c r="I50" i="178"/>
  <c r="H50" i="178"/>
  <c r="H49" i="178" s="1"/>
  <c r="F49" i="178"/>
  <c r="I49" i="178" s="1"/>
  <c r="J68" i="175"/>
  <c r="P52" i="175"/>
  <c r="G89" i="175"/>
  <c r="M78" i="175"/>
  <c r="H78" i="175"/>
  <c r="J74" i="175"/>
  <c r="J77" i="175" s="1"/>
  <c r="P19" i="175"/>
  <c r="M85" i="175"/>
  <c r="Q48" i="175"/>
  <c r="P66" i="175"/>
  <c r="P70" i="175" s="1"/>
  <c r="J70" i="175"/>
  <c r="P11" i="175"/>
  <c r="G75" i="175"/>
  <c r="P54" i="175"/>
  <c r="H44" i="176"/>
  <c r="K44" i="176" s="1"/>
  <c r="K21" i="176"/>
  <c r="Q40" i="175"/>
  <c r="P12" i="175"/>
  <c r="L99" i="175"/>
  <c r="Q24" i="175"/>
  <c r="Q64" i="175"/>
  <c r="P73" i="175"/>
  <c r="M77" i="175"/>
  <c r="M84" i="175"/>
  <c r="M83" i="175"/>
  <c r="J62" i="175"/>
  <c r="J61" i="175"/>
  <c r="O76" i="175"/>
  <c r="O75" i="175"/>
  <c r="P29" i="175"/>
  <c r="P30" i="175"/>
  <c r="H90" i="175"/>
  <c r="H86" i="175"/>
  <c r="H85" i="175"/>
  <c r="J82" i="175"/>
  <c r="P82" i="175" s="1"/>
  <c r="J37" i="175"/>
  <c r="P34" i="175"/>
  <c r="P36" i="175" s="1"/>
  <c r="J38" i="175"/>
  <c r="J35" i="175"/>
  <c r="J81" i="175"/>
  <c r="P81" i="175" s="1"/>
  <c r="H89" i="175"/>
  <c r="J89" i="175" s="1"/>
  <c r="O88" i="175"/>
  <c r="O94" i="175" s="1"/>
  <c r="O84" i="175"/>
  <c r="O83" i="175"/>
  <c r="M115" i="175"/>
  <c r="M100" i="175"/>
  <c r="M99" i="175"/>
  <c r="P58" i="175"/>
  <c r="P59" i="175" s="1"/>
  <c r="H88" i="175"/>
  <c r="H83" i="175"/>
  <c r="J80" i="175"/>
  <c r="H84" i="175"/>
  <c r="I92" i="175"/>
  <c r="I91" i="175"/>
  <c r="M102" i="175"/>
  <c r="M101" i="175"/>
  <c r="P98" i="175"/>
  <c r="D86" i="175"/>
  <c r="D84" i="175"/>
  <c r="D88" i="175"/>
  <c r="D83" i="175"/>
  <c r="G80" i="175"/>
  <c r="I94" i="175"/>
  <c r="J59" i="175"/>
  <c r="J60" i="175"/>
  <c r="P21" i="175"/>
  <c r="P22" i="175"/>
  <c r="J72" i="175"/>
  <c r="H76" i="175"/>
  <c r="H75" i="175"/>
  <c r="P27" i="175"/>
  <c r="N91" i="175"/>
  <c r="N92" i="175"/>
  <c r="M86" i="175"/>
  <c r="G79" i="175"/>
  <c r="P79" i="175" s="1"/>
  <c r="D87" i="175"/>
  <c r="D85" i="175"/>
  <c r="Q41" i="175"/>
  <c r="E91" i="175"/>
  <c r="E92" i="175"/>
  <c r="L102" i="175"/>
  <c r="L101" i="175"/>
  <c r="O86" i="175"/>
  <c r="P96" i="175"/>
  <c r="P74" i="175"/>
  <c r="E94" i="175"/>
  <c r="O77" i="175"/>
  <c r="O78" i="175"/>
  <c r="L100" i="175"/>
  <c r="J36" i="175"/>
  <c r="O93" i="175"/>
  <c r="P43" i="175"/>
  <c r="P44" i="175"/>
  <c r="P14" i="175"/>
  <c r="P13" i="175"/>
  <c r="Q56" i="175"/>
  <c r="P20" i="175"/>
  <c r="K42" i="174"/>
  <c r="J42" i="174"/>
  <c r="K41" i="174"/>
  <c r="J41" i="174"/>
  <c r="K25" i="174"/>
  <c r="J25" i="174"/>
  <c r="F31" i="170" s="1"/>
  <c r="K27" i="174"/>
  <c r="J27" i="174"/>
  <c r="K26" i="174"/>
  <c r="J26" i="174"/>
  <c r="K24" i="174"/>
  <c r="J24" i="174"/>
  <c r="K23" i="174"/>
  <c r="J23" i="174"/>
  <c r="K22" i="174"/>
  <c r="J22" i="174"/>
  <c r="K31" i="174"/>
  <c r="J31" i="174"/>
  <c r="F33" i="170" s="1"/>
  <c r="K30" i="174"/>
  <c r="J30" i="174"/>
  <c r="K29" i="174"/>
  <c r="K28" i="174"/>
  <c r="J28" i="174"/>
  <c r="K39" i="174"/>
  <c r="J39" i="174"/>
  <c r="K38" i="174"/>
  <c r="J38" i="174"/>
  <c r="K37" i="174"/>
  <c r="J37" i="174"/>
  <c r="K36" i="174"/>
  <c r="J36" i="174"/>
  <c r="K35" i="174"/>
  <c r="J35" i="174"/>
  <c r="F34" i="170" s="1"/>
  <c r="K34" i="174"/>
  <c r="J34" i="174"/>
  <c r="K33" i="174"/>
  <c r="J33" i="174"/>
  <c r="K32" i="174"/>
  <c r="J32" i="174"/>
  <c r="K12" i="174"/>
  <c r="J12" i="174"/>
  <c r="K17" i="174"/>
  <c r="J17" i="174"/>
  <c r="K11" i="174"/>
  <c r="J11" i="174"/>
  <c r="K10" i="174"/>
  <c r="J10" i="174"/>
  <c r="K9" i="174"/>
  <c r="J9" i="174"/>
  <c r="K16" i="174"/>
  <c r="J16" i="174"/>
  <c r="K8" i="174"/>
  <c r="J8" i="174"/>
  <c r="K19" i="174"/>
  <c r="J19" i="174"/>
  <c r="K6" i="174"/>
  <c r="J6" i="174"/>
  <c r="K18" i="174"/>
  <c r="J18" i="174"/>
  <c r="K13" i="174"/>
  <c r="J13" i="174"/>
  <c r="K20" i="174"/>
  <c r="J20" i="174"/>
  <c r="K15" i="174"/>
  <c r="J15" i="174"/>
  <c r="K14" i="174"/>
  <c r="J14" i="174"/>
  <c r="K43" i="174"/>
  <c r="H7" i="174"/>
  <c r="H21" i="174" s="1"/>
  <c r="H33" i="170" l="1"/>
  <c r="I33" i="170"/>
  <c r="I31" i="170"/>
  <c r="F30" i="170"/>
  <c r="H34" i="170"/>
  <c r="I34" i="170"/>
  <c r="P69" i="175"/>
  <c r="P89" i="175"/>
  <c r="P68" i="175"/>
  <c r="F40" i="178"/>
  <c r="P60" i="175"/>
  <c r="P67" i="175"/>
  <c r="J43" i="174"/>
  <c r="J40" i="174"/>
  <c r="Q49" i="175"/>
  <c r="Q57" i="175" s="1"/>
  <c r="Q65" i="175" s="1"/>
  <c r="P35" i="175"/>
  <c r="J7" i="174"/>
  <c r="J21" i="174" s="1"/>
  <c r="K40" i="174"/>
  <c r="K7" i="174"/>
  <c r="I44" i="174"/>
  <c r="P101" i="175"/>
  <c r="P102" i="175"/>
  <c r="H94" i="175"/>
  <c r="J90" i="175"/>
  <c r="H93" i="175"/>
  <c r="J76" i="175"/>
  <c r="J75" i="175"/>
  <c r="P72" i="175"/>
  <c r="P78" i="175" s="1"/>
  <c r="G84" i="175"/>
  <c r="G83" i="175"/>
  <c r="P80" i="175"/>
  <c r="P86" i="175" s="1"/>
  <c r="G87" i="175"/>
  <c r="D93" i="175"/>
  <c r="J84" i="175"/>
  <c r="J83" i="175"/>
  <c r="P85" i="175"/>
  <c r="D92" i="175"/>
  <c r="G88" i="175"/>
  <c r="D91" i="175"/>
  <c r="D94" i="175"/>
  <c r="J86" i="175"/>
  <c r="J85" i="175"/>
  <c r="G85" i="175"/>
  <c r="P77" i="175"/>
  <c r="H91" i="175"/>
  <c r="H92" i="175"/>
  <c r="J88" i="175"/>
  <c r="P37" i="175"/>
  <c r="P38" i="175"/>
  <c r="G86" i="175"/>
  <c r="P100" i="175"/>
  <c r="P99" i="175"/>
  <c r="J78" i="175"/>
  <c r="P62" i="175"/>
  <c r="P61" i="175"/>
  <c r="O91" i="175"/>
  <c r="O92" i="175"/>
  <c r="J29" i="167"/>
  <c r="I30" i="170" l="1"/>
  <c r="F35" i="170"/>
  <c r="I35" i="170" s="1"/>
  <c r="F45" i="178"/>
  <c r="I45" i="178" s="1"/>
  <c r="I40" i="178"/>
  <c r="H40" i="178"/>
  <c r="H45" i="178" s="1"/>
  <c r="K21" i="174"/>
  <c r="H44" i="174"/>
  <c r="K44" i="174" s="1"/>
  <c r="J44" i="174"/>
  <c r="J93" i="175"/>
  <c r="J94" i="175"/>
  <c r="P90" i="175"/>
  <c r="P76" i="175"/>
  <c r="P75" i="175"/>
  <c r="G91" i="175"/>
  <c r="P88" i="175"/>
  <c r="G92" i="175"/>
  <c r="G94" i="175"/>
  <c r="P87" i="175"/>
  <c r="G93" i="175"/>
  <c r="J92" i="175"/>
  <c r="J91" i="175"/>
  <c r="P84" i="175"/>
  <c r="P83" i="175"/>
  <c r="R80" i="175"/>
  <c r="P93" i="175" l="1"/>
  <c r="P94" i="175"/>
  <c r="P91" i="175"/>
  <c r="P92" i="175"/>
  <c r="K32" i="167"/>
  <c r="D1" i="173"/>
  <c r="C1" i="173"/>
  <c r="C2" i="173" s="1"/>
  <c r="C3" i="173" l="1"/>
  <c r="C4" i="173" s="1"/>
  <c r="D2" i="173"/>
  <c r="H104" i="139" l="1"/>
  <c r="N36" i="77" l="1"/>
  <c r="M36" i="77" s="1"/>
  <c r="D10" i="178" l="1"/>
  <c r="D10" i="170"/>
  <c r="E104" i="163"/>
  <c r="E103" i="164"/>
  <c r="F104" i="137"/>
  <c r="F229" i="137" s="1"/>
  <c r="J103" i="164" l="1"/>
  <c r="I103" i="164" s="1"/>
  <c r="E111" i="164"/>
  <c r="J104" i="163"/>
  <c r="K29" i="167"/>
  <c r="F31" i="178" l="1"/>
  <c r="G55" i="170"/>
  <c r="I31" i="178" l="1"/>
  <c r="H31" i="178"/>
  <c r="I55" i="170"/>
  <c r="H55" i="170"/>
  <c r="H53" i="170" s="1"/>
  <c r="G53" i="170"/>
  <c r="I53" i="170" s="1"/>
  <c r="D26" i="141"/>
  <c r="D27" i="141"/>
  <c r="D28" i="141"/>
  <c r="D29" i="141"/>
  <c r="D30" i="141"/>
  <c r="D31" i="141"/>
  <c r="D32" i="141"/>
  <c r="D110" i="135" l="1"/>
  <c r="G104" i="139" l="1"/>
  <c r="J97" i="131"/>
  <c r="F72" i="131"/>
  <c r="N90" i="131"/>
  <c r="N89" i="131"/>
  <c r="N87" i="131"/>
  <c r="D11" i="170"/>
  <c r="B11" i="170"/>
  <c r="B10" i="170"/>
  <c r="H87" i="131"/>
  <c r="I89" i="131"/>
  <c r="I87" i="131"/>
  <c r="E87" i="131"/>
  <c r="F87" i="131"/>
  <c r="F88" i="131"/>
  <c r="E89" i="131"/>
  <c r="F89" i="131"/>
  <c r="D88" i="131"/>
  <c r="E71" i="131"/>
  <c r="F71" i="131"/>
  <c r="E72" i="131"/>
  <c r="E73" i="131"/>
  <c r="F73" i="131"/>
  <c r="G73" i="131" s="1"/>
  <c r="E74" i="131"/>
  <c r="F74" i="131"/>
  <c r="D74" i="131"/>
  <c r="D73" i="131"/>
  <c r="D72" i="131"/>
  <c r="D75" i="131" s="1"/>
  <c r="A2" i="171"/>
  <c r="A1" i="171"/>
  <c r="Q25" i="131"/>
  <c r="D12" i="170"/>
  <c r="C11" i="177" s="1"/>
  <c r="D11" i="177" s="1"/>
  <c r="E11" i="131"/>
  <c r="H103" i="164"/>
  <c r="K8" i="135"/>
  <c r="B8" i="160"/>
  <c r="B12" i="160" s="1"/>
  <c r="B22" i="160" s="1"/>
  <c r="K9" i="141"/>
  <c r="A2" i="163"/>
  <c r="A2" i="139" s="1"/>
  <c r="A2" i="164" s="1"/>
  <c r="A5" i="163"/>
  <c r="H8" i="163"/>
  <c r="G377" i="160"/>
  <c r="G376" i="160"/>
  <c r="K99" i="141"/>
  <c r="K9" i="167"/>
  <c r="L33" i="167"/>
  <c r="J28" i="167"/>
  <c r="K28" i="167" s="1"/>
  <c r="K12" i="167"/>
  <c r="J30" i="167"/>
  <c r="L30" i="167" s="1"/>
  <c r="F377" i="160"/>
  <c r="F376" i="160"/>
  <c r="D71" i="131"/>
  <c r="G71" i="131" s="1"/>
  <c r="J39" i="167"/>
  <c r="G383" i="160" s="1"/>
  <c r="I38" i="167"/>
  <c r="K38" i="167" s="1"/>
  <c r="I37" i="167"/>
  <c r="K37" i="167" s="1"/>
  <c r="L36" i="167"/>
  <c r="K36" i="167"/>
  <c r="I34" i="167"/>
  <c r="K33" i="167"/>
  <c r="L32" i="167"/>
  <c r="L31" i="167"/>
  <c r="K31" i="167"/>
  <c r="L29" i="167"/>
  <c r="J27" i="167"/>
  <c r="I27" i="167"/>
  <c r="L26" i="167"/>
  <c r="K26" i="167"/>
  <c r="L25" i="167"/>
  <c r="K25" i="167"/>
  <c r="L24" i="167"/>
  <c r="K24" i="167"/>
  <c r="L23" i="167"/>
  <c r="K23" i="167"/>
  <c r="L22" i="167"/>
  <c r="K22" i="167"/>
  <c r="L21" i="167"/>
  <c r="K21" i="167"/>
  <c r="L20" i="167"/>
  <c r="K20" i="167"/>
  <c r="L19" i="167"/>
  <c r="K19" i="167"/>
  <c r="L18" i="167"/>
  <c r="K18" i="167"/>
  <c r="L17" i="167"/>
  <c r="K17" i="167"/>
  <c r="L16" i="167"/>
  <c r="K16" i="167"/>
  <c r="L15" i="167"/>
  <c r="K15" i="167"/>
  <c r="L14" i="167"/>
  <c r="K14" i="167"/>
  <c r="L13" i="167"/>
  <c r="K13" i="167"/>
  <c r="L12" i="167"/>
  <c r="J11" i="167"/>
  <c r="G379" i="160" s="1"/>
  <c r="L10" i="167"/>
  <c r="K10" i="167"/>
  <c r="L9" i="167"/>
  <c r="L8" i="167"/>
  <c r="K8" i="167"/>
  <c r="L7" i="167"/>
  <c r="K7" i="167"/>
  <c r="L6" i="167"/>
  <c r="K6" i="167"/>
  <c r="I5" i="167"/>
  <c r="I11" i="167" s="1"/>
  <c r="M11" i="167" s="1"/>
  <c r="A5" i="136"/>
  <c r="A3" i="141" s="1"/>
  <c r="A4" i="164"/>
  <c r="A5" i="139"/>
  <c r="N9" i="141"/>
  <c r="N24" i="141"/>
  <c r="N27" i="141"/>
  <c r="N35" i="141"/>
  <c r="N58" i="141"/>
  <c r="N89" i="141"/>
  <c r="N100" i="141"/>
  <c r="A5" i="137"/>
  <c r="I8" i="135"/>
  <c r="F8" i="135"/>
  <c r="D104" i="139"/>
  <c r="J8" i="135"/>
  <c r="F81" i="160"/>
  <c r="H105" i="135"/>
  <c r="G82" i="160"/>
  <c r="A31" i="160"/>
  <c r="I78" i="160"/>
  <c r="H78" i="160"/>
  <c r="I77" i="160"/>
  <c r="H77" i="160"/>
  <c r="I76" i="160"/>
  <c r="H76" i="160"/>
  <c r="G75" i="160"/>
  <c r="F75" i="160"/>
  <c r="I74" i="160"/>
  <c r="I73" i="160"/>
  <c r="I72" i="160"/>
  <c r="H73" i="160"/>
  <c r="H74" i="160"/>
  <c r="H72" i="160"/>
  <c r="G71" i="160"/>
  <c r="F71" i="160"/>
  <c r="D17" i="160"/>
  <c r="D21" i="160" s="1"/>
  <c r="H7" i="164"/>
  <c r="G7" i="164"/>
  <c r="O7" i="164" s="1"/>
  <c r="C10" i="160"/>
  <c r="G72" i="131"/>
  <c r="N12" i="131"/>
  <c r="N11" i="131"/>
  <c r="L12" i="131"/>
  <c r="K12" i="131"/>
  <c r="L11" i="131"/>
  <c r="K11" i="131"/>
  <c r="I12" i="131"/>
  <c r="H12" i="131"/>
  <c r="I11" i="131"/>
  <c r="F12" i="131"/>
  <c r="F11" i="131"/>
  <c r="E12" i="131"/>
  <c r="D12" i="131"/>
  <c r="D11" i="131"/>
  <c r="C44" i="147"/>
  <c r="C38" i="147"/>
  <c r="D38" i="147"/>
  <c r="E38" i="147"/>
  <c r="F38" i="147"/>
  <c r="B38" i="147"/>
  <c r="C32" i="147"/>
  <c r="D32" i="147"/>
  <c r="E32" i="147"/>
  <c r="B32" i="147"/>
  <c r="F29" i="147"/>
  <c r="F30" i="147"/>
  <c r="F31" i="147"/>
  <c r="F28" i="147"/>
  <c r="P62" i="141"/>
  <c r="O59" i="141"/>
  <c r="D8" i="141"/>
  <c r="E8" i="141"/>
  <c r="F8" i="141"/>
  <c r="I8" i="141"/>
  <c r="J8" i="141"/>
  <c r="K8" i="141"/>
  <c r="O8" i="141"/>
  <c r="P8" i="141"/>
  <c r="S8" i="141"/>
  <c r="T8" i="141"/>
  <c r="U8" i="141"/>
  <c r="D9" i="141"/>
  <c r="E9" i="141"/>
  <c r="F9" i="141"/>
  <c r="I9" i="141"/>
  <c r="J9" i="141"/>
  <c r="O9" i="141"/>
  <c r="P9" i="141"/>
  <c r="S9" i="141"/>
  <c r="T9" i="141"/>
  <c r="U9" i="141"/>
  <c r="D10" i="141"/>
  <c r="E10" i="141"/>
  <c r="F10" i="141"/>
  <c r="I10" i="141"/>
  <c r="J10" i="141"/>
  <c r="K10" i="141"/>
  <c r="O10" i="141"/>
  <c r="P10" i="141"/>
  <c r="S10" i="141"/>
  <c r="T10" i="141"/>
  <c r="U10" i="141"/>
  <c r="D11" i="141"/>
  <c r="E11" i="141"/>
  <c r="F11" i="141"/>
  <c r="I11" i="141"/>
  <c r="J11" i="141"/>
  <c r="K11" i="141"/>
  <c r="O11" i="141"/>
  <c r="P11" i="141"/>
  <c r="S11" i="141"/>
  <c r="T11" i="141"/>
  <c r="U11" i="141"/>
  <c r="D12" i="141"/>
  <c r="E12" i="141"/>
  <c r="F12" i="141"/>
  <c r="I12" i="141"/>
  <c r="J12" i="141"/>
  <c r="K12" i="141"/>
  <c r="O12" i="141"/>
  <c r="P12" i="141"/>
  <c r="S12" i="141"/>
  <c r="T12" i="141"/>
  <c r="U12" i="141"/>
  <c r="D13" i="141"/>
  <c r="E13" i="141"/>
  <c r="F13" i="141"/>
  <c r="I13" i="141"/>
  <c r="J13" i="141"/>
  <c r="K13" i="141"/>
  <c r="O13" i="141"/>
  <c r="P13" i="141"/>
  <c r="S13" i="141"/>
  <c r="T13" i="141"/>
  <c r="U13" i="141"/>
  <c r="D14" i="141"/>
  <c r="E14" i="141"/>
  <c r="F14" i="141"/>
  <c r="I14" i="141"/>
  <c r="J14" i="141"/>
  <c r="K14" i="141"/>
  <c r="O14" i="141"/>
  <c r="P14" i="141"/>
  <c r="S14" i="141"/>
  <c r="T14" i="141"/>
  <c r="U14" i="141"/>
  <c r="D15" i="141"/>
  <c r="E15" i="141"/>
  <c r="F15" i="141"/>
  <c r="I15" i="141"/>
  <c r="J15" i="141"/>
  <c r="K15" i="141"/>
  <c r="O15" i="141"/>
  <c r="P15" i="141"/>
  <c r="S15" i="141"/>
  <c r="T15" i="141"/>
  <c r="U15" i="141"/>
  <c r="D16" i="141"/>
  <c r="E16" i="141"/>
  <c r="F16" i="141"/>
  <c r="I16" i="141"/>
  <c r="J16" i="141"/>
  <c r="K16" i="141"/>
  <c r="O16" i="141"/>
  <c r="P16" i="141"/>
  <c r="S16" i="141"/>
  <c r="T16" i="141"/>
  <c r="U16" i="141"/>
  <c r="D17" i="141"/>
  <c r="E17" i="141"/>
  <c r="F17" i="141"/>
  <c r="I17" i="141"/>
  <c r="J17" i="141"/>
  <c r="K17" i="141"/>
  <c r="O17" i="141"/>
  <c r="P17" i="141"/>
  <c r="S17" i="141"/>
  <c r="T17" i="141"/>
  <c r="U17" i="141"/>
  <c r="D18" i="141"/>
  <c r="E18" i="141"/>
  <c r="F18" i="141"/>
  <c r="I18" i="141"/>
  <c r="J18" i="141"/>
  <c r="K18" i="141"/>
  <c r="N18" i="141"/>
  <c r="O18" i="141"/>
  <c r="P18" i="141"/>
  <c r="S18" i="141"/>
  <c r="T18" i="141"/>
  <c r="U18" i="141"/>
  <c r="D19" i="141"/>
  <c r="E19" i="141"/>
  <c r="F19" i="141"/>
  <c r="I19" i="141"/>
  <c r="J19" i="141"/>
  <c r="K19" i="141"/>
  <c r="O19" i="141"/>
  <c r="P19" i="141"/>
  <c r="S19" i="141"/>
  <c r="T19" i="141"/>
  <c r="U19" i="141"/>
  <c r="D20" i="141"/>
  <c r="E20" i="141"/>
  <c r="F20" i="141"/>
  <c r="I20" i="141"/>
  <c r="J20" i="141"/>
  <c r="K20" i="141"/>
  <c r="O20" i="141"/>
  <c r="P20" i="141"/>
  <c r="S20" i="141"/>
  <c r="T20" i="141"/>
  <c r="U20" i="141"/>
  <c r="D21" i="141"/>
  <c r="E21" i="141"/>
  <c r="F21" i="141"/>
  <c r="I21" i="141"/>
  <c r="J21" i="141"/>
  <c r="K21" i="141"/>
  <c r="O21" i="141"/>
  <c r="P21" i="141"/>
  <c r="S21" i="141"/>
  <c r="T21" i="141"/>
  <c r="U21" i="141"/>
  <c r="D22" i="141"/>
  <c r="E22" i="141"/>
  <c r="F22" i="141"/>
  <c r="I22" i="141"/>
  <c r="J22" i="141"/>
  <c r="K22" i="141"/>
  <c r="O22" i="141"/>
  <c r="P22" i="141"/>
  <c r="S22" i="141"/>
  <c r="T22" i="141"/>
  <c r="U22" i="141"/>
  <c r="D23" i="141"/>
  <c r="E23" i="141"/>
  <c r="F23" i="141"/>
  <c r="I23" i="141"/>
  <c r="J23" i="141"/>
  <c r="K23" i="141"/>
  <c r="O23" i="141"/>
  <c r="P23" i="141"/>
  <c r="S23" i="141"/>
  <c r="T23" i="141"/>
  <c r="U23" i="141"/>
  <c r="D24" i="141"/>
  <c r="E24" i="141"/>
  <c r="F24" i="141"/>
  <c r="I24" i="141"/>
  <c r="J24" i="141"/>
  <c r="K24" i="141"/>
  <c r="O24" i="141"/>
  <c r="P24" i="141"/>
  <c r="S24" i="141"/>
  <c r="T24" i="141"/>
  <c r="U24" i="141"/>
  <c r="D25" i="141"/>
  <c r="E25" i="141"/>
  <c r="F25" i="141"/>
  <c r="I25" i="141"/>
  <c r="J25" i="141"/>
  <c r="K25" i="141"/>
  <c r="O25" i="141"/>
  <c r="P25" i="141"/>
  <c r="S25" i="141"/>
  <c r="T25" i="141"/>
  <c r="U25" i="141"/>
  <c r="E26" i="141"/>
  <c r="F26" i="141"/>
  <c r="I26" i="141"/>
  <c r="J26" i="141"/>
  <c r="K26" i="141"/>
  <c r="O26" i="141"/>
  <c r="P26" i="141"/>
  <c r="S26" i="141"/>
  <c r="T26" i="141"/>
  <c r="U26" i="141"/>
  <c r="E27" i="141"/>
  <c r="F27" i="141"/>
  <c r="I27" i="141"/>
  <c r="J27" i="141"/>
  <c r="K27" i="141"/>
  <c r="O27" i="141"/>
  <c r="P27" i="141"/>
  <c r="S27" i="141"/>
  <c r="T27" i="141"/>
  <c r="U27" i="141"/>
  <c r="E28" i="141"/>
  <c r="F28" i="141"/>
  <c r="I28" i="141"/>
  <c r="J28" i="141"/>
  <c r="K28" i="141"/>
  <c r="O28" i="141"/>
  <c r="P28" i="141"/>
  <c r="S28" i="141"/>
  <c r="T28" i="141"/>
  <c r="U28" i="141"/>
  <c r="E29" i="141"/>
  <c r="F29" i="141"/>
  <c r="I29" i="141"/>
  <c r="J29" i="141"/>
  <c r="K29" i="141"/>
  <c r="O29" i="141"/>
  <c r="P29" i="141"/>
  <c r="S29" i="141"/>
  <c r="T29" i="141"/>
  <c r="U29" i="141"/>
  <c r="E30" i="141"/>
  <c r="F30" i="141"/>
  <c r="I30" i="141"/>
  <c r="J30" i="141"/>
  <c r="K30" i="141"/>
  <c r="O30" i="141"/>
  <c r="P30" i="141"/>
  <c r="S30" i="141"/>
  <c r="T30" i="141"/>
  <c r="U30" i="141"/>
  <c r="E31" i="141"/>
  <c r="F31" i="141"/>
  <c r="I31" i="141"/>
  <c r="J31" i="141"/>
  <c r="K31" i="141"/>
  <c r="O31" i="141"/>
  <c r="P31" i="141"/>
  <c r="S31" i="141"/>
  <c r="T31" i="141"/>
  <c r="U31" i="141"/>
  <c r="E32" i="141"/>
  <c r="F32" i="141"/>
  <c r="I32" i="141"/>
  <c r="J32" i="141"/>
  <c r="K32" i="141"/>
  <c r="O32" i="141"/>
  <c r="P32" i="141"/>
  <c r="S32" i="141"/>
  <c r="T32" i="141"/>
  <c r="U32" i="141"/>
  <c r="D33" i="141"/>
  <c r="E33" i="141"/>
  <c r="F33" i="141"/>
  <c r="I33" i="141"/>
  <c r="J33" i="141"/>
  <c r="K33" i="141"/>
  <c r="O33" i="141"/>
  <c r="P33" i="141"/>
  <c r="S33" i="141"/>
  <c r="T33" i="141"/>
  <c r="U33" i="141"/>
  <c r="D34" i="141"/>
  <c r="E34" i="141"/>
  <c r="F34" i="141"/>
  <c r="I34" i="141"/>
  <c r="J34" i="141"/>
  <c r="K34" i="141"/>
  <c r="O34" i="141"/>
  <c r="P34" i="141"/>
  <c r="S34" i="141"/>
  <c r="T34" i="141"/>
  <c r="U34" i="141"/>
  <c r="D35" i="141"/>
  <c r="E35" i="141"/>
  <c r="F35" i="141"/>
  <c r="I35" i="141"/>
  <c r="J35" i="141"/>
  <c r="K35" i="141"/>
  <c r="O35" i="141"/>
  <c r="P35" i="141"/>
  <c r="S35" i="141"/>
  <c r="T35" i="141"/>
  <c r="U35" i="141"/>
  <c r="D36" i="141"/>
  <c r="E36" i="141"/>
  <c r="F36" i="141"/>
  <c r="I36" i="141"/>
  <c r="J36" i="141"/>
  <c r="K36" i="141"/>
  <c r="O36" i="141"/>
  <c r="P36" i="141"/>
  <c r="S36" i="141"/>
  <c r="T36" i="141"/>
  <c r="U36" i="141"/>
  <c r="D37" i="141"/>
  <c r="E37" i="141"/>
  <c r="F37" i="141"/>
  <c r="I37" i="141"/>
  <c r="J37" i="141"/>
  <c r="K37" i="141"/>
  <c r="O37" i="141"/>
  <c r="P37" i="141"/>
  <c r="S37" i="141"/>
  <c r="T37" i="141"/>
  <c r="U37" i="141"/>
  <c r="D38" i="141"/>
  <c r="E38" i="141"/>
  <c r="F38" i="141"/>
  <c r="I38" i="141"/>
  <c r="J38" i="141"/>
  <c r="K38" i="141"/>
  <c r="O38" i="141"/>
  <c r="P38" i="141"/>
  <c r="S38" i="141"/>
  <c r="T38" i="141"/>
  <c r="U38" i="141"/>
  <c r="D39" i="141"/>
  <c r="E39" i="141"/>
  <c r="F39" i="141"/>
  <c r="I39" i="141"/>
  <c r="J39" i="141"/>
  <c r="K39" i="141"/>
  <c r="O39" i="141"/>
  <c r="P39" i="141"/>
  <c r="S39" i="141"/>
  <c r="T39" i="141"/>
  <c r="U39" i="141"/>
  <c r="D40" i="141"/>
  <c r="E40" i="141"/>
  <c r="F40" i="141"/>
  <c r="I40" i="141"/>
  <c r="J40" i="141"/>
  <c r="K40" i="141"/>
  <c r="O40" i="141"/>
  <c r="P40" i="141"/>
  <c r="S40" i="141"/>
  <c r="T40" i="141"/>
  <c r="U40" i="141"/>
  <c r="D41" i="141"/>
  <c r="E41" i="141"/>
  <c r="F41" i="141"/>
  <c r="I41" i="141"/>
  <c r="J41" i="141"/>
  <c r="K41" i="141"/>
  <c r="O41" i="141"/>
  <c r="P41" i="141"/>
  <c r="S41" i="141"/>
  <c r="T41" i="141"/>
  <c r="U41" i="141"/>
  <c r="D42" i="141"/>
  <c r="E42" i="141"/>
  <c r="F42" i="141"/>
  <c r="I42" i="141"/>
  <c r="J42" i="141"/>
  <c r="K42" i="141"/>
  <c r="O42" i="141"/>
  <c r="P42" i="141"/>
  <c r="S42" i="141"/>
  <c r="T42" i="141"/>
  <c r="U42" i="141"/>
  <c r="D43" i="141"/>
  <c r="E43" i="141"/>
  <c r="F43" i="141"/>
  <c r="I43" i="141"/>
  <c r="J43" i="141"/>
  <c r="K43" i="141"/>
  <c r="O43" i="141"/>
  <c r="P43" i="141"/>
  <c r="S43" i="141"/>
  <c r="T43" i="141"/>
  <c r="U43" i="141"/>
  <c r="D44" i="141"/>
  <c r="E44" i="141"/>
  <c r="F44" i="141"/>
  <c r="I44" i="141"/>
  <c r="J44" i="141"/>
  <c r="K44" i="141"/>
  <c r="O44" i="141"/>
  <c r="P44" i="141"/>
  <c r="S44" i="141"/>
  <c r="T44" i="141"/>
  <c r="U44" i="141"/>
  <c r="D45" i="141"/>
  <c r="E45" i="141"/>
  <c r="F45" i="141"/>
  <c r="I45" i="141"/>
  <c r="J45" i="141"/>
  <c r="K45" i="141"/>
  <c r="O45" i="141"/>
  <c r="P45" i="141"/>
  <c r="S45" i="141"/>
  <c r="T45" i="141"/>
  <c r="U45" i="141"/>
  <c r="D46" i="141"/>
  <c r="E46" i="141"/>
  <c r="F46" i="141"/>
  <c r="I46" i="141"/>
  <c r="J46" i="141"/>
  <c r="K46" i="141"/>
  <c r="O46" i="141"/>
  <c r="P46" i="141"/>
  <c r="S46" i="141"/>
  <c r="T46" i="141"/>
  <c r="U46" i="141"/>
  <c r="D47" i="141"/>
  <c r="E47" i="141"/>
  <c r="F47" i="141"/>
  <c r="I47" i="141"/>
  <c r="J47" i="141"/>
  <c r="K47" i="141"/>
  <c r="O47" i="141"/>
  <c r="P47" i="141"/>
  <c r="S47" i="141"/>
  <c r="T47" i="141"/>
  <c r="U47" i="141"/>
  <c r="D48" i="141"/>
  <c r="E48" i="141"/>
  <c r="F48" i="141"/>
  <c r="I48" i="141"/>
  <c r="J48" i="141"/>
  <c r="K48" i="141"/>
  <c r="O48" i="141"/>
  <c r="P48" i="141"/>
  <c r="S48" i="141"/>
  <c r="T48" i="141"/>
  <c r="U48" i="141"/>
  <c r="D49" i="141"/>
  <c r="E49" i="141"/>
  <c r="F49" i="141"/>
  <c r="I49" i="141"/>
  <c r="J49" i="141"/>
  <c r="K49" i="141"/>
  <c r="O49" i="141"/>
  <c r="P49" i="141"/>
  <c r="S49" i="141"/>
  <c r="T49" i="141"/>
  <c r="U49" i="141"/>
  <c r="D50" i="141"/>
  <c r="E50" i="141"/>
  <c r="F50" i="141"/>
  <c r="I50" i="141"/>
  <c r="J50" i="141"/>
  <c r="K50" i="141"/>
  <c r="O50" i="141"/>
  <c r="P50" i="141"/>
  <c r="S50" i="141"/>
  <c r="T50" i="141"/>
  <c r="U50" i="141"/>
  <c r="D51" i="141"/>
  <c r="E51" i="141"/>
  <c r="F51" i="141"/>
  <c r="I51" i="141"/>
  <c r="J51" i="141"/>
  <c r="K51" i="141"/>
  <c r="O51" i="141"/>
  <c r="P51" i="141"/>
  <c r="S51" i="141"/>
  <c r="T51" i="141"/>
  <c r="U51" i="141"/>
  <c r="D52" i="141"/>
  <c r="E52" i="141"/>
  <c r="F52" i="141"/>
  <c r="I52" i="141"/>
  <c r="J52" i="141"/>
  <c r="K52" i="141"/>
  <c r="O52" i="141"/>
  <c r="P52" i="141"/>
  <c r="S52" i="141"/>
  <c r="T52" i="141"/>
  <c r="U52" i="141"/>
  <c r="D53" i="141"/>
  <c r="E53" i="141"/>
  <c r="F53" i="141"/>
  <c r="I53" i="141"/>
  <c r="J53" i="141"/>
  <c r="K53" i="141"/>
  <c r="O53" i="141"/>
  <c r="P53" i="141"/>
  <c r="S53" i="141"/>
  <c r="T53" i="141"/>
  <c r="U53" i="141"/>
  <c r="D54" i="141"/>
  <c r="E54" i="141"/>
  <c r="F54" i="141"/>
  <c r="I54" i="141"/>
  <c r="J54" i="141"/>
  <c r="K54" i="141"/>
  <c r="O54" i="141"/>
  <c r="P54" i="141"/>
  <c r="S54" i="141"/>
  <c r="T54" i="141"/>
  <c r="U54" i="141"/>
  <c r="D55" i="141"/>
  <c r="E55" i="141"/>
  <c r="F55" i="141"/>
  <c r="I55" i="141"/>
  <c r="J55" i="141"/>
  <c r="K55" i="141"/>
  <c r="N55" i="141"/>
  <c r="O55" i="141"/>
  <c r="P55" i="141"/>
  <c r="S55" i="141"/>
  <c r="T55" i="141"/>
  <c r="U55" i="141"/>
  <c r="D56" i="141"/>
  <c r="E56" i="141"/>
  <c r="F56" i="141"/>
  <c r="I56" i="141"/>
  <c r="J56" i="141"/>
  <c r="K56" i="141"/>
  <c r="O56" i="141"/>
  <c r="P56" i="141"/>
  <c r="S56" i="141"/>
  <c r="T56" i="141"/>
  <c r="U56" i="141"/>
  <c r="D57" i="141"/>
  <c r="E57" i="141"/>
  <c r="F57" i="141"/>
  <c r="I57" i="141"/>
  <c r="J57" i="141"/>
  <c r="K57" i="141"/>
  <c r="O57" i="141"/>
  <c r="P57" i="141"/>
  <c r="S57" i="141"/>
  <c r="T57" i="141"/>
  <c r="U57" i="141"/>
  <c r="D58" i="141"/>
  <c r="E58" i="141"/>
  <c r="F58" i="141"/>
  <c r="I58" i="141"/>
  <c r="J58" i="141"/>
  <c r="K58" i="141"/>
  <c r="O58" i="141"/>
  <c r="P58" i="141"/>
  <c r="S58" i="141"/>
  <c r="T58" i="141"/>
  <c r="U58" i="141"/>
  <c r="D59" i="141"/>
  <c r="E59" i="141"/>
  <c r="F59" i="141"/>
  <c r="I59" i="141"/>
  <c r="J59" i="141"/>
  <c r="K59" i="141"/>
  <c r="P59" i="141"/>
  <c r="S59" i="141"/>
  <c r="T59" i="141"/>
  <c r="U59" i="141"/>
  <c r="D60" i="141"/>
  <c r="E60" i="141"/>
  <c r="F60" i="141"/>
  <c r="I60" i="141"/>
  <c r="J60" i="141"/>
  <c r="K60" i="141"/>
  <c r="O60" i="141"/>
  <c r="P60" i="141"/>
  <c r="S60" i="141"/>
  <c r="T60" i="141"/>
  <c r="U60" i="141"/>
  <c r="D61" i="141"/>
  <c r="E61" i="141"/>
  <c r="F61" i="141"/>
  <c r="I61" i="141"/>
  <c r="J61" i="141"/>
  <c r="K61" i="141"/>
  <c r="O61" i="141"/>
  <c r="P61" i="141"/>
  <c r="S61" i="141"/>
  <c r="T61" i="141"/>
  <c r="U61" i="141"/>
  <c r="D62" i="141"/>
  <c r="E62" i="141"/>
  <c r="F62" i="141"/>
  <c r="I62" i="141"/>
  <c r="J62" i="141"/>
  <c r="K62" i="141"/>
  <c r="O62" i="141"/>
  <c r="S62" i="141"/>
  <c r="T62" i="141"/>
  <c r="U62" i="141"/>
  <c r="D63" i="141"/>
  <c r="E63" i="141"/>
  <c r="F63" i="141"/>
  <c r="I63" i="141"/>
  <c r="J63" i="141"/>
  <c r="K63" i="141"/>
  <c r="O63" i="141"/>
  <c r="P63" i="141"/>
  <c r="S63" i="141"/>
  <c r="T63" i="141"/>
  <c r="U63" i="141"/>
  <c r="D64" i="141"/>
  <c r="E64" i="141"/>
  <c r="F64" i="141"/>
  <c r="I64" i="141"/>
  <c r="J64" i="141"/>
  <c r="K64" i="141"/>
  <c r="O64" i="141"/>
  <c r="P64" i="141"/>
  <c r="S64" i="141"/>
  <c r="T64" i="141"/>
  <c r="U64" i="141"/>
  <c r="D65" i="141"/>
  <c r="E65" i="141"/>
  <c r="F65" i="141"/>
  <c r="I65" i="141"/>
  <c r="J65" i="141"/>
  <c r="K65" i="141"/>
  <c r="O65" i="141"/>
  <c r="P65" i="141"/>
  <c r="S65" i="141"/>
  <c r="T65" i="141"/>
  <c r="U65" i="141"/>
  <c r="D66" i="141"/>
  <c r="E66" i="141"/>
  <c r="F66" i="141"/>
  <c r="I66" i="141"/>
  <c r="J66" i="141"/>
  <c r="K66" i="141"/>
  <c r="N66" i="141"/>
  <c r="O66" i="141"/>
  <c r="P66" i="141"/>
  <c r="S66" i="141"/>
  <c r="T66" i="141"/>
  <c r="U66" i="141"/>
  <c r="D67" i="141"/>
  <c r="E67" i="141"/>
  <c r="F67" i="141"/>
  <c r="I67" i="141"/>
  <c r="J67" i="141"/>
  <c r="K67" i="141"/>
  <c r="O67" i="141"/>
  <c r="P67" i="141"/>
  <c r="S67" i="141"/>
  <c r="T67" i="141"/>
  <c r="U67" i="141"/>
  <c r="D68" i="141"/>
  <c r="E68" i="141"/>
  <c r="F68" i="141"/>
  <c r="I68" i="141"/>
  <c r="J68" i="141"/>
  <c r="K68" i="141"/>
  <c r="O68" i="141"/>
  <c r="P68" i="141"/>
  <c r="S68" i="141"/>
  <c r="T68" i="141"/>
  <c r="U68" i="141"/>
  <c r="D69" i="141"/>
  <c r="E69" i="141"/>
  <c r="F69" i="141"/>
  <c r="I69" i="141"/>
  <c r="J69" i="141"/>
  <c r="K69" i="141"/>
  <c r="O69" i="141"/>
  <c r="P69" i="141"/>
  <c r="S69" i="141"/>
  <c r="T69" i="141"/>
  <c r="U69" i="141"/>
  <c r="D70" i="141"/>
  <c r="E70" i="141"/>
  <c r="F70" i="141"/>
  <c r="I70" i="141"/>
  <c r="J70" i="141"/>
  <c r="K70" i="141"/>
  <c r="O70" i="141"/>
  <c r="P70" i="141"/>
  <c r="S70" i="141"/>
  <c r="T70" i="141"/>
  <c r="U70" i="141"/>
  <c r="D71" i="141"/>
  <c r="E71" i="141"/>
  <c r="F71" i="141"/>
  <c r="I71" i="141"/>
  <c r="J71" i="141"/>
  <c r="K71" i="141"/>
  <c r="O71" i="141"/>
  <c r="P71" i="141"/>
  <c r="S71" i="141"/>
  <c r="T71" i="141"/>
  <c r="U71" i="141"/>
  <c r="D72" i="141"/>
  <c r="E72" i="141"/>
  <c r="F72" i="141"/>
  <c r="I72" i="141"/>
  <c r="J72" i="141"/>
  <c r="K72" i="141"/>
  <c r="O72" i="141"/>
  <c r="P72" i="141"/>
  <c r="S72" i="141"/>
  <c r="T72" i="141"/>
  <c r="U72" i="141"/>
  <c r="D73" i="141"/>
  <c r="E73" i="141"/>
  <c r="F73" i="141"/>
  <c r="I73" i="141"/>
  <c r="J73" i="141"/>
  <c r="K73" i="141"/>
  <c r="O73" i="141"/>
  <c r="P73" i="141"/>
  <c r="S73" i="141"/>
  <c r="T73" i="141"/>
  <c r="U73" i="141"/>
  <c r="D74" i="141"/>
  <c r="E74" i="141"/>
  <c r="F74" i="141"/>
  <c r="I74" i="141"/>
  <c r="J74" i="141"/>
  <c r="K74" i="141"/>
  <c r="O74" i="141"/>
  <c r="P74" i="141"/>
  <c r="S74" i="141"/>
  <c r="T74" i="141"/>
  <c r="U74" i="141"/>
  <c r="D75" i="141"/>
  <c r="E75" i="141"/>
  <c r="F75" i="141"/>
  <c r="I75" i="141"/>
  <c r="J75" i="141"/>
  <c r="K75" i="141"/>
  <c r="O75" i="141"/>
  <c r="P75" i="141"/>
  <c r="S75" i="141"/>
  <c r="T75" i="141"/>
  <c r="U75" i="141"/>
  <c r="D76" i="141"/>
  <c r="E76" i="141"/>
  <c r="F76" i="141"/>
  <c r="I76" i="141"/>
  <c r="J76" i="141"/>
  <c r="K76" i="141"/>
  <c r="O76" i="141"/>
  <c r="P76" i="141"/>
  <c r="S76" i="141"/>
  <c r="T76" i="141"/>
  <c r="U76" i="141"/>
  <c r="D77" i="141"/>
  <c r="E77" i="141"/>
  <c r="F77" i="141"/>
  <c r="I77" i="141"/>
  <c r="J77" i="141"/>
  <c r="K77" i="141"/>
  <c r="O77" i="141"/>
  <c r="P77" i="141"/>
  <c r="S77" i="141"/>
  <c r="T77" i="141"/>
  <c r="U77" i="141"/>
  <c r="D78" i="141"/>
  <c r="E78" i="141"/>
  <c r="F78" i="141"/>
  <c r="I78" i="141"/>
  <c r="J78" i="141"/>
  <c r="K78" i="141"/>
  <c r="O78" i="141"/>
  <c r="P78" i="141"/>
  <c r="S78" i="141"/>
  <c r="T78" i="141"/>
  <c r="U78" i="141"/>
  <c r="D79" i="141"/>
  <c r="E79" i="141"/>
  <c r="F79" i="141"/>
  <c r="I79" i="141"/>
  <c r="J79" i="141"/>
  <c r="K79" i="141"/>
  <c r="O79" i="141"/>
  <c r="P79" i="141"/>
  <c r="S79" i="141"/>
  <c r="T79" i="141"/>
  <c r="U79" i="141"/>
  <c r="D80" i="141"/>
  <c r="E80" i="141"/>
  <c r="F80" i="141"/>
  <c r="I80" i="141"/>
  <c r="J80" i="141"/>
  <c r="K80" i="141"/>
  <c r="O80" i="141"/>
  <c r="P80" i="141"/>
  <c r="S80" i="141"/>
  <c r="T80" i="141"/>
  <c r="U80" i="141"/>
  <c r="D81" i="141"/>
  <c r="E81" i="141"/>
  <c r="F81" i="141"/>
  <c r="I81" i="141"/>
  <c r="J81" i="141"/>
  <c r="K81" i="141"/>
  <c r="O81" i="141"/>
  <c r="P81" i="141"/>
  <c r="S81" i="141"/>
  <c r="T81" i="141"/>
  <c r="U81" i="141"/>
  <c r="D82" i="141"/>
  <c r="E82" i="141"/>
  <c r="F82" i="141"/>
  <c r="I82" i="141"/>
  <c r="J82" i="141"/>
  <c r="K82" i="141"/>
  <c r="O82" i="141"/>
  <c r="P82" i="141"/>
  <c r="S82" i="141"/>
  <c r="T82" i="141"/>
  <c r="U82" i="141"/>
  <c r="D83" i="141"/>
  <c r="E83" i="141"/>
  <c r="F83" i="141"/>
  <c r="I83" i="141"/>
  <c r="J83" i="141"/>
  <c r="K83" i="141"/>
  <c r="O83" i="141"/>
  <c r="P83" i="141"/>
  <c r="S83" i="141"/>
  <c r="T83" i="141"/>
  <c r="U83" i="141"/>
  <c r="D84" i="141"/>
  <c r="E84" i="141"/>
  <c r="F84" i="141"/>
  <c r="I84" i="141"/>
  <c r="J84" i="141"/>
  <c r="K84" i="141"/>
  <c r="O84" i="141"/>
  <c r="P84" i="141"/>
  <c r="S84" i="141"/>
  <c r="T84" i="141"/>
  <c r="U84" i="141"/>
  <c r="D85" i="141"/>
  <c r="E85" i="141"/>
  <c r="F85" i="141"/>
  <c r="I85" i="141"/>
  <c r="J85" i="141"/>
  <c r="K85" i="141"/>
  <c r="O85" i="141"/>
  <c r="P85" i="141"/>
  <c r="S85" i="141"/>
  <c r="T85" i="141"/>
  <c r="U85" i="141"/>
  <c r="D86" i="141"/>
  <c r="E86" i="141"/>
  <c r="F86" i="141"/>
  <c r="I86" i="141"/>
  <c r="J86" i="141"/>
  <c r="K86" i="141"/>
  <c r="N86" i="141"/>
  <c r="O86" i="141"/>
  <c r="P86" i="141"/>
  <c r="S86" i="141"/>
  <c r="T86" i="141"/>
  <c r="U86" i="141"/>
  <c r="D87" i="141"/>
  <c r="E87" i="141"/>
  <c r="F87" i="141"/>
  <c r="I87" i="141"/>
  <c r="J87" i="141"/>
  <c r="K87" i="141"/>
  <c r="O87" i="141"/>
  <c r="P87" i="141"/>
  <c r="S87" i="141"/>
  <c r="T87" i="141"/>
  <c r="U87" i="141"/>
  <c r="D88" i="141"/>
  <c r="E88" i="141"/>
  <c r="F88" i="141"/>
  <c r="I88" i="141"/>
  <c r="J88" i="141"/>
  <c r="K88" i="141"/>
  <c r="O88" i="141"/>
  <c r="P88" i="141"/>
  <c r="S88" i="141"/>
  <c r="T88" i="141"/>
  <c r="U88" i="141"/>
  <c r="D89" i="141"/>
  <c r="E89" i="141"/>
  <c r="F89" i="141"/>
  <c r="I89" i="141"/>
  <c r="J89" i="141"/>
  <c r="K89" i="141"/>
  <c r="O89" i="141"/>
  <c r="P89" i="141"/>
  <c r="S89" i="141"/>
  <c r="T89" i="141"/>
  <c r="U89" i="141"/>
  <c r="D90" i="141"/>
  <c r="E90" i="141"/>
  <c r="F90" i="141"/>
  <c r="I90" i="141"/>
  <c r="J90" i="141"/>
  <c r="K90" i="141"/>
  <c r="N90" i="141"/>
  <c r="O90" i="141"/>
  <c r="P90" i="141"/>
  <c r="S90" i="141"/>
  <c r="T90" i="141"/>
  <c r="U90" i="141"/>
  <c r="D91" i="141"/>
  <c r="E91" i="141"/>
  <c r="F91" i="141"/>
  <c r="I91" i="141"/>
  <c r="J91" i="141"/>
  <c r="K91" i="141"/>
  <c r="O91" i="141"/>
  <c r="P91" i="141"/>
  <c r="S91" i="141"/>
  <c r="T91" i="141"/>
  <c r="U91" i="141"/>
  <c r="D92" i="141"/>
  <c r="E92" i="141"/>
  <c r="F92" i="141"/>
  <c r="I92" i="141"/>
  <c r="J92" i="141"/>
  <c r="K92" i="141"/>
  <c r="O92" i="141"/>
  <c r="P92" i="141"/>
  <c r="S92" i="141"/>
  <c r="T92" i="141"/>
  <c r="U92" i="141"/>
  <c r="D93" i="141"/>
  <c r="E93" i="141"/>
  <c r="F93" i="141"/>
  <c r="I93" i="141"/>
  <c r="J93" i="141"/>
  <c r="K93" i="141"/>
  <c r="O93" i="141"/>
  <c r="P93" i="141"/>
  <c r="S93" i="141"/>
  <c r="T93" i="141"/>
  <c r="U93" i="141"/>
  <c r="D94" i="141"/>
  <c r="E94" i="141"/>
  <c r="F94" i="141"/>
  <c r="I94" i="141"/>
  <c r="J94" i="141"/>
  <c r="K94" i="141"/>
  <c r="O94" i="141"/>
  <c r="P94" i="141"/>
  <c r="S94" i="141"/>
  <c r="T94" i="141"/>
  <c r="U94" i="141"/>
  <c r="D95" i="141"/>
  <c r="E95" i="141"/>
  <c r="F95" i="141"/>
  <c r="I95" i="141"/>
  <c r="J95" i="141"/>
  <c r="K95" i="141"/>
  <c r="O95" i="141"/>
  <c r="P95" i="141"/>
  <c r="S95" i="141"/>
  <c r="T95" i="141"/>
  <c r="U95" i="141"/>
  <c r="D96" i="141"/>
  <c r="E96" i="141"/>
  <c r="F96" i="141"/>
  <c r="I96" i="141"/>
  <c r="J96" i="141"/>
  <c r="K96" i="141"/>
  <c r="O96" i="141"/>
  <c r="P96" i="141"/>
  <c r="S96" i="141"/>
  <c r="T96" i="141"/>
  <c r="U96" i="141"/>
  <c r="D97" i="141"/>
  <c r="E97" i="141"/>
  <c r="F97" i="141"/>
  <c r="I97" i="141"/>
  <c r="J97" i="141"/>
  <c r="K97" i="141"/>
  <c r="O97" i="141"/>
  <c r="P97" i="141"/>
  <c r="S97" i="141"/>
  <c r="T97" i="141"/>
  <c r="U97" i="141"/>
  <c r="D98" i="141"/>
  <c r="E98" i="141"/>
  <c r="F98" i="141"/>
  <c r="I98" i="141"/>
  <c r="J98" i="141"/>
  <c r="K98" i="141"/>
  <c r="O98" i="141"/>
  <c r="P98" i="141"/>
  <c r="S98" i="141"/>
  <c r="T98" i="141"/>
  <c r="U98" i="141"/>
  <c r="D99" i="141"/>
  <c r="E99" i="141"/>
  <c r="F99" i="141"/>
  <c r="I99" i="141"/>
  <c r="J99" i="141"/>
  <c r="O99" i="141"/>
  <c r="P99" i="141"/>
  <c r="S99" i="141"/>
  <c r="T99" i="141"/>
  <c r="U99" i="141"/>
  <c r="D100" i="141"/>
  <c r="E100" i="141"/>
  <c r="F100" i="141"/>
  <c r="I100" i="141"/>
  <c r="J100" i="141"/>
  <c r="K100" i="141"/>
  <c r="O100" i="141"/>
  <c r="P100" i="141"/>
  <c r="S100" i="141"/>
  <c r="T100" i="141"/>
  <c r="U100" i="141"/>
  <c r="D101" i="141"/>
  <c r="E101" i="141"/>
  <c r="F101" i="141"/>
  <c r="I101" i="141"/>
  <c r="J101" i="141"/>
  <c r="K101" i="141"/>
  <c r="O101" i="141"/>
  <c r="P101" i="141"/>
  <c r="S101" i="141"/>
  <c r="T101" i="141"/>
  <c r="U101" i="141"/>
  <c r="D102" i="141"/>
  <c r="E102" i="141"/>
  <c r="I102" i="141"/>
  <c r="J102" i="141"/>
  <c r="K102" i="141"/>
  <c r="O102" i="141"/>
  <c r="P102" i="141"/>
  <c r="S102" i="141"/>
  <c r="T102" i="141"/>
  <c r="U102" i="141"/>
  <c r="U7" i="141"/>
  <c r="T7" i="141"/>
  <c r="S7" i="141"/>
  <c r="P7" i="141"/>
  <c r="O7" i="141"/>
  <c r="K7" i="141"/>
  <c r="J7" i="141"/>
  <c r="I7" i="141"/>
  <c r="F7" i="141"/>
  <c r="E7" i="141"/>
  <c r="D7" i="141"/>
  <c r="F3" i="147"/>
  <c r="F4" i="147"/>
  <c r="F5" i="147"/>
  <c r="F6" i="147"/>
  <c r="F7" i="147"/>
  <c r="F8" i="147"/>
  <c r="F9" i="147"/>
  <c r="F10" i="147"/>
  <c r="F11" i="147"/>
  <c r="F12" i="147"/>
  <c r="C15" i="147"/>
  <c r="C16" i="147" s="1"/>
  <c r="D15" i="147"/>
  <c r="D16" i="147" s="1"/>
  <c r="D33" i="147" s="1"/>
  <c r="D39" i="147" s="1"/>
  <c r="D41" i="147" s="1"/>
  <c r="D43" i="147" s="1"/>
  <c r="E15" i="147"/>
  <c r="E16" i="147" s="1"/>
  <c r="E33" i="147" s="1"/>
  <c r="E104" i="137"/>
  <c r="A3" i="160"/>
  <c r="N54" i="141"/>
  <c r="F8" i="139"/>
  <c r="N50" i="141"/>
  <c r="O100" i="131"/>
  <c r="N100" i="131"/>
  <c r="I100" i="131"/>
  <c r="H100" i="131"/>
  <c r="F100" i="131"/>
  <c r="E100" i="131"/>
  <c r="D100" i="131"/>
  <c r="O99" i="131"/>
  <c r="N99" i="131"/>
  <c r="I99" i="131"/>
  <c r="H99" i="131"/>
  <c r="F99" i="131"/>
  <c r="E99" i="131"/>
  <c r="D99" i="131"/>
  <c r="J98" i="131"/>
  <c r="G98" i="131"/>
  <c r="G97" i="131"/>
  <c r="J96" i="131"/>
  <c r="G96" i="131"/>
  <c r="J95" i="131"/>
  <c r="G95" i="131"/>
  <c r="C24" i="147"/>
  <c r="B24" i="147"/>
  <c r="D25" i="147"/>
  <c r="B25" i="147"/>
  <c r="E25" i="147"/>
  <c r="J10" i="131"/>
  <c r="A4" i="77"/>
  <c r="A4" i="171" s="1"/>
  <c r="A3" i="186" s="1"/>
  <c r="B15" i="147"/>
  <c r="B16" i="147" s="1"/>
  <c r="B33" i="147" s="1"/>
  <c r="F2" i="147"/>
  <c r="M8" i="131"/>
  <c r="M80" i="131" s="1"/>
  <c r="G10" i="131"/>
  <c r="G9" i="131"/>
  <c r="G81" i="131" s="1"/>
  <c r="G8" i="131"/>
  <c r="G80" i="131" s="1"/>
  <c r="G7" i="131"/>
  <c r="G79" i="131" s="1"/>
  <c r="F14" i="147"/>
  <c r="E104" i="139"/>
  <c r="J8" i="131"/>
  <c r="J80" i="131" s="1"/>
  <c r="M9" i="131"/>
  <c r="M81" i="131" s="1"/>
  <c r="I110" i="131"/>
  <c r="I105" i="131"/>
  <c r="M10" i="131"/>
  <c r="J9" i="131"/>
  <c r="J81" i="131" s="1"/>
  <c r="M7" i="131"/>
  <c r="M79" i="131" s="1"/>
  <c r="J7" i="131"/>
  <c r="J79" i="131" s="1"/>
  <c r="D104" i="137"/>
  <c r="D24" i="147"/>
  <c r="H8" i="137"/>
  <c r="G8" i="137"/>
  <c r="G81" i="160"/>
  <c r="E105" i="135"/>
  <c r="B39" i="147" l="1"/>
  <c r="B41" i="147" s="1"/>
  <c r="B43" i="147" s="1"/>
  <c r="G102" i="131"/>
  <c r="G101" i="131"/>
  <c r="E77" i="131"/>
  <c r="E78" i="131"/>
  <c r="J102" i="131"/>
  <c r="J101" i="131"/>
  <c r="G14" i="131"/>
  <c r="G13" i="131"/>
  <c r="G82" i="131"/>
  <c r="G85" i="131" s="1"/>
  <c r="N93" i="131"/>
  <c r="J14" i="131"/>
  <c r="J13" i="131"/>
  <c r="J82" i="131"/>
  <c r="J86" i="131" s="1"/>
  <c r="M14" i="131"/>
  <c r="M13" i="131"/>
  <c r="M82" i="131"/>
  <c r="D77" i="131"/>
  <c r="D78" i="131"/>
  <c r="F78" i="131"/>
  <c r="F77" i="131"/>
  <c r="D76" i="131"/>
  <c r="G74" i="131"/>
  <c r="N82" i="141"/>
  <c r="R82" i="141" s="1"/>
  <c r="D89" i="131"/>
  <c r="G89" i="131" s="1"/>
  <c r="E112" i="139"/>
  <c r="E113" i="139" s="1"/>
  <c r="N34" i="141"/>
  <c r="R34" i="141" s="1"/>
  <c r="F75" i="131"/>
  <c r="I104" i="135"/>
  <c r="N8" i="141"/>
  <c r="R8" i="141" s="1"/>
  <c r="I75" i="160"/>
  <c r="N84" i="131"/>
  <c r="E39" i="147"/>
  <c r="E41" i="147" s="1"/>
  <c r="E43" i="147" s="1"/>
  <c r="N22" i="141"/>
  <c r="R22" i="141" s="1"/>
  <c r="D112" i="139"/>
  <c r="L104" i="139"/>
  <c r="F110" i="139"/>
  <c r="F111" i="139" s="1"/>
  <c r="J8" i="137"/>
  <c r="K8" i="137" s="1"/>
  <c r="D226" i="137"/>
  <c r="M8" i="139"/>
  <c r="I35" i="167"/>
  <c r="B10" i="178"/>
  <c r="L95" i="131"/>
  <c r="B11" i="178"/>
  <c r="J104" i="135"/>
  <c r="F104" i="135"/>
  <c r="F105" i="135" s="1"/>
  <c r="K104" i="135"/>
  <c r="N14" i="141"/>
  <c r="X14" i="141" s="1"/>
  <c r="N20" i="141"/>
  <c r="A5" i="135"/>
  <c r="A5" i="180"/>
  <c r="E10" i="160"/>
  <c r="D10" i="160" s="1"/>
  <c r="D11" i="178"/>
  <c r="W36" i="141"/>
  <c r="I8" i="139"/>
  <c r="K8" i="139"/>
  <c r="N15" i="139"/>
  <c r="N94" i="141"/>
  <c r="X94" i="141" s="1"/>
  <c r="N16" i="141"/>
  <c r="N75" i="141"/>
  <c r="X75" i="141" s="1"/>
  <c r="N39" i="141"/>
  <c r="Q39" i="141" s="1"/>
  <c r="N56" i="141"/>
  <c r="N32" i="141"/>
  <c r="R32" i="141" s="1"/>
  <c r="N79" i="141"/>
  <c r="X79" i="141" s="1"/>
  <c r="N67" i="141"/>
  <c r="R67" i="141" s="1"/>
  <c r="N36" i="141"/>
  <c r="R36" i="141" s="1"/>
  <c r="N11" i="141"/>
  <c r="E11" i="160"/>
  <c r="D12" i="178"/>
  <c r="G10" i="160"/>
  <c r="F11" i="178"/>
  <c r="C9" i="172"/>
  <c r="E11" i="170"/>
  <c r="E11" i="178"/>
  <c r="K97" i="131"/>
  <c r="E10" i="178"/>
  <c r="K98" i="131"/>
  <c r="F10" i="178"/>
  <c r="O89" i="131"/>
  <c r="E12" i="178"/>
  <c r="W40" i="141"/>
  <c r="N15" i="141"/>
  <c r="X15" i="141" s="1"/>
  <c r="D16" i="136" s="1"/>
  <c r="N81" i="141"/>
  <c r="X81" i="141" s="1"/>
  <c r="N63" i="141"/>
  <c r="N62" i="141"/>
  <c r="R62" i="141" s="1"/>
  <c r="N57" i="141"/>
  <c r="R57" i="141" s="1"/>
  <c r="N51" i="141"/>
  <c r="Q51" i="141" s="1"/>
  <c r="H40" i="141"/>
  <c r="I105" i="135"/>
  <c r="C33" i="147"/>
  <c r="C39" i="147" s="1"/>
  <c r="C41" i="147" s="1"/>
  <c r="C43" i="147" s="1"/>
  <c r="C20" i="147"/>
  <c r="C26" i="147" s="1"/>
  <c r="P10" i="131"/>
  <c r="L38" i="167"/>
  <c r="F15" i="147"/>
  <c r="F16" i="147" s="1"/>
  <c r="I71" i="160"/>
  <c r="F32" i="147"/>
  <c r="K30" i="167"/>
  <c r="J99" i="131"/>
  <c r="G12" i="131"/>
  <c r="E83" i="131"/>
  <c r="C9" i="160"/>
  <c r="N13" i="141"/>
  <c r="Q13" i="141" s="1"/>
  <c r="N19" i="141"/>
  <c r="N97" i="141"/>
  <c r="R97" i="141" s="1"/>
  <c r="N31" i="141"/>
  <c r="N61" i="141"/>
  <c r="Q61" i="141" s="1"/>
  <c r="N101" i="141"/>
  <c r="Q101" i="141" s="1"/>
  <c r="N74" i="141"/>
  <c r="X74" i="141" s="1"/>
  <c r="N65" i="141"/>
  <c r="Q65" i="141" s="1"/>
  <c r="N52" i="141"/>
  <c r="Q52" i="141" s="1"/>
  <c r="N59" i="141"/>
  <c r="X59" i="141" s="1"/>
  <c r="N23" i="141"/>
  <c r="R23" i="141" s="1"/>
  <c r="G99" i="131"/>
  <c r="N38" i="77"/>
  <c r="J12" i="131"/>
  <c r="P7" i="131"/>
  <c r="P79" i="131" s="1"/>
  <c r="H75" i="160"/>
  <c r="K5" i="167"/>
  <c r="K11" i="167" s="1"/>
  <c r="G381" i="160"/>
  <c r="N75" i="131"/>
  <c r="O75" i="131"/>
  <c r="G11" i="131"/>
  <c r="H71" i="160"/>
  <c r="L5" i="167"/>
  <c r="K27" i="167"/>
  <c r="H381" i="160" s="1"/>
  <c r="J34" i="167"/>
  <c r="L34" i="167" s="1"/>
  <c r="M11" i="131"/>
  <c r="L28" i="167"/>
  <c r="C19" i="160"/>
  <c r="E19" i="160" s="1"/>
  <c r="M46" i="141"/>
  <c r="W22" i="141"/>
  <c r="M9" i="141"/>
  <c r="M39" i="141"/>
  <c r="W47" i="141"/>
  <c r="F19" i="160"/>
  <c r="F10" i="160"/>
  <c r="F18" i="160"/>
  <c r="K95" i="131"/>
  <c r="E75" i="131"/>
  <c r="J87" i="131"/>
  <c r="D84" i="131"/>
  <c r="B8" i="170"/>
  <c r="P8" i="131"/>
  <c r="P80" i="131" s="1"/>
  <c r="P9" i="131"/>
  <c r="P81" i="131" s="1"/>
  <c r="G100" i="131"/>
  <c r="J11" i="131"/>
  <c r="J100" i="131"/>
  <c r="B12" i="170"/>
  <c r="N76" i="131"/>
  <c r="G75" i="131"/>
  <c r="F76" i="131"/>
  <c r="W14" i="141"/>
  <c r="G103" i="164"/>
  <c r="N99" i="141"/>
  <c r="X99" i="141" s="1"/>
  <c r="W41" i="141"/>
  <c r="A69" i="160"/>
  <c r="A60" i="160" s="1"/>
  <c r="A3" i="167"/>
  <c r="L27" i="167"/>
  <c r="K34" i="167"/>
  <c r="K35" i="167" s="1"/>
  <c r="G19" i="160"/>
  <c r="W60" i="141"/>
  <c r="L97" i="131"/>
  <c r="N93" i="141"/>
  <c r="Q93" i="141" s="1"/>
  <c r="N42" i="141"/>
  <c r="Q42" i="141" s="1"/>
  <c r="N10" i="141"/>
  <c r="X10" i="141" s="1"/>
  <c r="D11" i="136" s="1"/>
  <c r="H38" i="141"/>
  <c r="M74" i="141"/>
  <c r="W45" i="141"/>
  <c r="W38" i="141"/>
  <c r="G56" i="141"/>
  <c r="M62" i="141"/>
  <c r="V47" i="141"/>
  <c r="M45" i="141"/>
  <c r="W44" i="141"/>
  <c r="H44" i="141"/>
  <c r="W42" i="141"/>
  <c r="W17" i="141"/>
  <c r="F11" i="170"/>
  <c r="I11" i="170" s="1"/>
  <c r="H45" i="141"/>
  <c r="M16" i="141"/>
  <c r="M43" i="141"/>
  <c r="Y59" i="141"/>
  <c r="E60" i="136" s="1"/>
  <c r="V82" i="141"/>
  <c r="N49" i="141"/>
  <c r="R49" i="141" s="1"/>
  <c r="N102" i="141"/>
  <c r="R102" i="141" s="1"/>
  <c r="R56" i="141"/>
  <c r="N98" i="141"/>
  <c r="Q98" i="141" s="1"/>
  <c r="N85" i="141"/>
  <c r="Q85" i="141" s="1"/>
  <c r="N73" i="141"/>
  <c r="Q73" i="141" s="1"/>
  <c r="N78" i="141"/>
  <c r="R78" i="141" s="1"/>
  <c r="N70" i="141"/>
  <c r="R70" i="141" s="1"/>
  <c r="N77" i="141"/>
  <c r="R77" i="141" s="1"/>
  <c r="N69" i="141"/>
  <c r="R69" i="141" s="1"/>
  <c r="N64" i="141"/>
  <c r="Q64" i="141" s="1"/>
  <c r="N53" i="141"/>
  <c r="R53" i="141" s="1"/>
  <c r="N26" i="141"/>
  <c r="X26" i="141" s="1"/>
  <c r="D27" i="136" s="1"/>
  <c r="N30" i="141"/>
  <c r="X30" i="141" s="1"/>
  <c r="D31" i="136" s="1"/>
  <c r="N28" i="141"/>
  <c r="Q28" i="141" s="1"/>
  <c r="N45" i="141"/>
  <c r="X45" i="141" s="1"/>
  <c r="N41" i="141"/>
  <c r="R41" i="141" s="1"/>
  <c r="N33" i="141"/>
  <c r="R33" i="141" s="1"/>
  <c r="N29" i="141"/>
  <c r="R29" i="141" s="1"/>
  <c r="N25" i="141"/>
  <c r="Q25" i="141" s="1"/>
  <c r="N37" i="141"/>
  <c r="Q37" i="141" s="1"/>
  <c r="N21" i="141"/>
  <c r="Q21" i="141" s="1"/>
  <c r="N17" i="141"/>
  <c r="X17" i="141" s="1"/>
  <c r="M11" i="141"/>
  <c r="M97" i="141"/>
  <c r="M78" i="141"/>
  <c r="M41" i="141"/>
  <c r="M37" i="141"/>
  <c r="M36" i="141"/>
  <c r="M33" i="141"/>
  <c r="M30" i="141"/>
  <c r="L28" i="141"/>
  <c r="G21" i="141"/>
  <c r="Y44" i="141"/>
  <c r="E45" i="136" s="1"/>
  <c r="Z8" i="141"/>
  <c r="F9" i="136" s="1"/>
  <c r="L75" i="131"/>
  <c r="L96" i="131"/>
  <c r="D10" i="172"/>
  <c r="V62" i="141"/>
  <c r="L60" i="141"/>
  <c r="G54" i="141"/>
  <c r="V41" i="141"/>
  <c r="V34" i="141"/>
  <c r="Z33" i="141"/>
  <c r="F34" i="136" s="1"/>
  <c r="H26" i="141"/>
  <c r="H22" i="141"/>
  <c r="G18" i="141"/>
  <c r="H16" i="141"/>
  <c r="Z22" i="141"/>
  <c r="F23" i="136" s="1"/>
  <c r="G71" i="141"/>
  <c r="Y66" i="141"/>
  <c r="E67" i="136" s="1"/>
  <c r="L64" i="141"/>
  <c r="Y63" i="141"/>
  <c r="E64" i="136" s="1"/>
  <c r="G61" i="141"/>
  <c r="M57" i="141"/>
  <c r="V56" i="141"/>
  <c r="M55" i="141"/>
  <c r="H54" i="141"/>
  <c r="H51" i="141"/>
  <c r="M47" i="141"/>
  <c r="V45" i="141"/>
  <c r="G45" i="141"/>
  <c r="V44" i="141"/>
  <c r="G44" i="141"/>
  <c r="L42" i="141"/>
  <c r="L41" i="141"/>
  <c r="V38" i="141"/>
  <c r="W37" i="141"/>
  <c r="H37" i="141"/>
  <c r="L36" i="141"/>
  <c r="H36" i="141"/>
  <c r="G32" i="141"/>
  <c r="H31" i="141"/>
  <c r="R27" i="141"/>
  <c r="L25" i="141"/>
  <c r="L23" i="141"/>
  <c r="H20" i="141"/>
  <c r="Y19" i="141"/>
  <c r="E20" i="136" s="1"/>
  <c r="G19" i="141"/>
  <c r="L17" i="141"/>
  <c r="G16" i="141"/>
  <c r="M14" i="141"/>
  <c r="V12" i="141"/>
  <c r="Y11" i="141"/>
  <c r="E12" i="136" s="1"/>
  <c r="H11" i="141"/>
  <c r="G10" i="141"/>
  <c r="Z99" i="141"/>
  <c r="F100" i="136" s="1"/>
  <c r="Y60" i="141"/>
  <c r="E61" i="136" s="1"/>
  <c r="V93" i="141"/>
  <c r="G84" i="141"/>
  <c r="V78" i="141"/>
  <c r="G68" i="141"/>
  <c r="L62" i="141"/>
  <c r="L61" i="141"/>
  <c r="G58" i="141"/>
  <c r="V40" i="141"/>
  <c r="V31" i="141"/>
  <c r="V30" i="141"/>
  <c r="V27" i="141"/>
  <c r="V25" i="141"/>
  <c r="V17" i="141"/>
  <c r="V67" i="141"/>
  <c r="V15" i="141"/>
  <c r="R11" i="141"/>
  <c r="Z39" i="141"/>
  <c r="F40" i="136" s="1"/>
  <c r="Y38" i="141"/>
  <c r="E39" i="136" s="1"/>
  <c r="Y12" i="141"/>
  <c r="E13" i="136" s="1"/>
  <c r="F20" i="160"/>
  <c r="F11" i="160"/>
  <c r="M94" i="141"/>
  <c r="H7" i="141"/>
  <c r="Q100" i="141"/>
  <c r="G99" i="141"/>
  <c r="G98" i="141"/>
  <c r="G97" i="141"/>
  <c r="W95" i="141"/>
  <c r="Q94" i="141"/>
  <c r="Z92" i="141"/>
  <c r="F93" i="136" s="1"/>
  <c r="H91" i="141"/>
  <c r="R90" i="141"/>
  <c r="H90" i="141"/>
  <c r="M88" i="141"/>
  <c r="W87" i="141"/>
  <c r="R86" i="141"/>
  <c r="H86" i="141"/>
  <c r="Z85" i="141"/>
  <c r="F86" i="136" s="1"/>
  <c r="Z84" i="141"/>
  <c r="F85" i="136" s="1"/>
  <c r="W83" i="141"/>
  <c r="Y83" i="141"/>
  <c r="E84" i="136" s="1"/>
  <c r="G82" i="141"/>
  <c r="H81" i="141"/>
  <c r="L80" i="141"/>
  <c r="W79" i="141"/>
  <c r="G79" i="141"/>
  <c r="H78" i="141"/>
  <c r="Z76" i="141"/>
  <c r="F77" i="136" s="1"/>
  <c r="V75" i="141"/>
  <c r="Y75" i="141"/>
  <c r="E76" i="136" s="1"/>
  <c r="G75" i="141"/>
  <c r="R74" i="141"/>
  <c r="G73" i="141"/>
  <c r="L72" i="141"/>
  <c r="W71" i="141"/>
  <c r="Z68" i="141"/>
  <c r="F69" i="136" s="1"/>
  <c r="Y67" i="141"/>
  <c r="E68" i="136" s="1"/>
  <c r="H67" i="141"/>
  <c r="R66" i="141"/>
  <c r="G66" i="141"/>
  <c r="H65" i="141"/>
  <c r="M64" i="141"/>
  <c r="W63" i="141"/>
  <c r="H63" i="141"/>
  <c r="H62" i="141"/>
  <c r="H61" i="141"/>
  <c r="W59" i="141"/>
  <c r="M59" i="141"/>
  <c r="W58" i="141"/>
  <c r="M58" i="141"/>
  <c r="V57" i="141"/>
  <c r="Y57" i="141"/>
  <c r="E58" i="136" s="1"/>
  <c r="W56" i="141"/>
  <c r="X55" i="141"/>
  <c r="D56" i="136" s="1"/>
  <c r="Y55" i="141"/>
  <c r="E56" i="136" s="1"/>
  <c r="W54" i="141"/>
  <c r="Y54" i="141"/>
  <c r="E55" i="136" s="1"/>
  <c r="Y53" i="141"/>
  <c r="E54" i="136" s="1"/>
  <c r="G53" i="141"/>
  <c r="G52" i="141"/>
  <c r="L50" i="141"/>
  <c r="V49" i="141"/>
  <c r="M49" i="141"/>
  <c r="W48" i="141"/>
  <c r="H48" i="141"/>
  <c r="Z47" i="141"/>
  <c r="F48" i="136" s="1"/>
  <c r="W46" i="141"/>
  <c r="G46" i="141"/>
  <c r="Z45" i="141"/>
  <c r="F46" i="136" s="1"/>
  <c r="Z44" i="141"/>
  <c r="F45" i="136" s="1"/>
  <c r="Y43" i="141"/>
  <c r="E44" i="136" s="1"/>
  <c r="Y41" i="141"/>
  <c r="E42" i="136" s="1"/>
  <c r="Z40" i="141"/>
  <c r="F41" i="136" s="1"/>
  <c r="M38" i="141"/>
  <c r="V37" i="141"/>
  <c r="Y37" i="141"/>
  <c r="E38" i="136" s="1"/>
  <c r="G37" i="141"/>
  <c r="G36" i="141"/>
  <c r="R35" i="141"/>
  <c r="H35" i="141"/>
  <c r="H34" i="141"/>
  <c r="G33" i="141"/>
  <c r="H32" i="141"/>
  <c r="R31" i="141"/>
  <c r="G31" i="141"/>
  <c r="G30" i="141"/>
  <c r="H29" i="141"/>
  <c r="H28" i="141"/>
  <c r="Q27" i="141"/>
  <c r="G27" i="141"/>
  <c r="G26" i="141"/>
  <c r="G25" i="141"/>
  <c r="R24" i="141"/>
  <c r="H24" i="141"/>
  <c r="H23" i="141"/>
  <c r="Q22" i="141"/>
  <c r="G22" i="141"/>
  <c r="H21" i="141"/>
  <c r="R20" i="141"/>
  <c r="Z20" i="141"/>
  <c r="F21" i="136" s="1"/>
  <c r="R19" i="141"/>
  <c r="H19" i="141"/>
  <c r="R18" i="141"/>
  <c r="H18" i="141"/>
  <c r="H17" i="141"/>
  <c r="R16" i="141"/>
  <c r="R15" i="141"/>
  <c r="H15" i="141"/>
  <c r="L14" i="141"/>
  <c r="V13" i="141"/>
  <c r="H13" i="141"/>
  <c r="Z12" i="141"/>
  <c r="F13" i="136" s="1"/>
  <c r="M12" i="141"/>
  <c r="W11" i="141"/>
  <c r="G12" i="141"/>
  <c r="J103" i="141"/>
  <c r="H102" i="141"/>
  <c r="M96" i="141"/>
  <c r="H94" i="141"/>
  <c r="W91" i="141"/>
  <c r="H377" i="160"/>
  <c r="G11" i="141"/>
  <c r="H10" i="141"/>
  <c r="R9" i="141"/>
  <c r="W8" i="141"/>
  <c r="H8" i="141"/>
  <c r="M28" i="141"/>
  <c r="W25" i="141"/>
  <c r="Y14" i="141"/>
  <c r="E15" i="136" s="1"/>
  <c r="Z87" i="141"/>
  <c r="F88" i="136" s="1"/>
  <c r="G81" i="141"/>
  <c r="V91" i="141"/>
  <c r="V83" i="141"/>
  <c r="H12" i="141"/>
  <c r="C8" i="160"/>
  <c r="C23" i="160" s="1"/>
  <c r="H79" i="141"/>
  <c r="H66" i="141"/>
  <c r="M76" i="141"/>
  <c r="L9" i="141"/>
  <c r="G9" i="160"/>
  <c r="L98" i="131"/>
  <c r="G18" i="160"/>
  <c r="G80" i="160"/>
  <c r="G79" i="160" s="1"/>
  <c r="G83" i="160" s="1"/>
  <c r="X31" i="141"/>
  <c r="D32" i="136" s="1"/>
  <c r="V48" i="141"/>
  <c r="Z59" i="141"/>
  <c r="F60" i="136" s="1"/>
  <c r="G67" i="141"/>
  <c r="Y62" i="141"/>
  <c r="E63" i="136" s="1"/>
  <c r="H73" i="141"/>
  <c r="G17" i="141"/>
  <c r="V54" i="141"/>
  <c r="G29" i="141"/>
  <c r="Z73" i="141"/>
  <c r="F74" i="136" s="1"/>
  <c r="Z17" i="141"/>
  <c r="F18" i="136" s="1"/>
  <c r="H27" i="141"/>
  <c r="H53" i="141"/>
  <c r="H52" i="141"/>
  <c r="G20" i="141"/>
  <c r="G62" i="141"/>
  <c r="P103" i="141"/>
  <c r="H46" i="141"/>
  <c r="G23" i="141"/>
  <c r="H33" i="141"/>
  <c r="H75" i="141"/>
  <c r="V55" i="141"/>
  <c r="G24" i="141"/>
  <c r="V11" i="141"/>
  <c r="W49" i="141"/>
  <c r="G7" i="141"/>
  <c r="M7" i="141"/>
  <c r="M102" i="141"/>
  <c r="V101" i="141"/>
  <c r="W98" i="141"/>
  <c r="W96" i="141"/>
  <c r="Y96" i="141"/>
  <c r="E97" i="136" s="1"/>
  <c r="V95" i="141"/>
  <c r="Z93" i="141"/>
  <c r="Y93" i="141"/>
  <c r="E94" i="136" s="1"/>
  <c r="Z91" i="141"/>
  <c r="F92" i="136" s="1"/>
  <c r="L91" i="141"/>
  <c r="W90" i="141"/>
  <c r="Q90" i="141"/>
  <c r="M90" i="141"/>
  <c r="W89" i="141"/>
  <c r="Q89" i="141"/>
  <c r="Y88" i="141"/>
  <c r="E89" i="136" s="1"/>
  <c r="V87" i="141"/>
  <c r="Y86" i="141"/>
  <c r="E87" i="136" s="1"/>
  <c r="V85" i="141"/>
  <c r="Y85" i="141"/>
  <c r="E86" i="136" s="1"/>
  <c r="H84" i="141"/>
  <c r="Z83" i="141"/>
  <c r="F84" i="136" s="1"/>
  <c r="L82" i="141"/>
  <c r="Y81" i="141"/>
  <c r="E82" i="136" s="1"/>
  <c r="W80" i="141"/>
  <c r="V79" i="141"/>
  <c r="W78" i="141"/>
  <c r="W73" i="141"/>
  <c r="Y72" i="141"/>
  <c r="E73" i="136" s="1"/>
  <c r="V71" i="141"/>
  <c r="M71" i="141"/>
  <c r="L68" i="141"/>
  <c r="H68" i="141"/>
  <c r="W65" i="141"/>
  <c r="Y65" i="141"/>
  <c r="E66" i="136" s="1"/>
  <c r="Y64" i="141"/>
  <c r="E65" i="136" s="1"/>
  <c r="V63" i="141"/>
  <c r="V60" i="141"/>
  <c r="V59" i="141"/>
  <c r="L59" i="141"/>
  <c r="X58" i="141"/>
  <c r="D59" i="136" s="1"/>
  <c r="L57" i="141"/>
  <c r="H56" i="141"/>
  <c r="L55" i="141"/>
  <c r="H55" i="141"/>
  <c r="M54" i="141"/>
  <c r="M52" i="141"/>
  <c r="V50" i="141"/>
  <c r="Y50" i="141"/>
  <c r="E51" i="136" s="1"/>
  <c r="L43" i="141"/>
  <c r="M42" i="141"/>
  <c r="F375" i="160"/>
  <c r="G35" i="141"/>
  <c r="Z14" i="141"/>
  <c r="F15" i="136" s="1"/>
  <c r="X56" i="141"/>
  <c r="D57" i="136" s="1"/>
  <c r="Z61" i="141"/>
  <c r="F62" i="136" s="1"/>
  <c r="V58" i="141"/>
  <c r="Q86" i="141"/>
  <c r="G90" i="141"/>
  <c r="Z21" i="141"/>
  <c r="F22" i="136" s="1"/>
  <c r="G65" i="141"/>
  <c r="Q9" i="141"/>
  <c r="Q18" i="141"/>
  <c r="Z25" i="141"/>
  <c r="F26" i="136" s="1"/>
  <c r="V46" i="141"/>
  <c r="G85" i="141"/>
  <c r="G34" i="141"/>
  <c r="W13" i="141"/>
  <c r="G28" i="141"/>
  <c r="W57" i="141"/>
  <c r="M50" i="141"/>
  <c r="W55" i="141"/>
  <c r="L38" i="141"/>
  <c r="Z37" i="141"/>
  <c r="F38" i="136" s="1"/>
  <c r="Q19" i="141"/>
  <c r="V14" i="141"/>
  <c r="L12" i="141"/>
  <c r="Z11" i="141"/>
  <c r="F12" i="136" s="1"/>
  <c r="G55" i="141"/>
  <c r="H25" i="141"/>
  <c r="Q24" i="141"/>
  <c r="G8" i="141"/>
  <c r="H100" i="141"/>
  <c r="H98" i="141"/>
  <c r="H97" i="141"/>
  <c r="H95" i="141"/>
  <c r="L88" i="141"/>
  <c r="H87" i="141"/>
  <c r="H85" i="141"/>
  <c r="M80" i="141"/>
  <c r="H77" i="141"/>
  <c r="H71" i="141"/>
  <c r="H70" i="141"/>
  <c r="M68" i="141"/>
  <c r="G63" i="141"/>
  <c r="M56" i="141"/>
  <c r="Z100" i="141"/>
  <c r="F101" i="136" s="1"/>
  <c r="Z77" i="141"/>
  <c r="F78" i="136" s="1"/>
  <c r="Q66" i="141"/>
  <c r="Z63" i="141"/>
  <c r="F64" i="136" s="1"/>
  <c r="Y49" i="141"/>
  <c r="E50" i="136" s="1"/>
  <c r="N46" i="141"/>
  <c r="Q46" i="141" s="1"/>
  <c r="N38" i="141"/>
  <c r="R38" i="141" s="1"/>
  <c r="J8" i="139"/>
  <c r="W7" i="141"/>
  <c r="V8" i="141"/>
  <c r="V22" i="141"/>
  <c r="X9" i="141"/>
  <c r="D10" i="136" s="1"/>
  <c r="Z7" i="141"/>
  <c r="F8" i="136" s="1"/>
  <c r="Z88" i="141"/>
  <c r="F89" i="136" s="1"/>
  <c r="L96" i="141"/>
  <c r="M72" i="141"/>
  <c r="Y101" i="141"/>
  <c r="E102" i="136" s="1"/>
  <c r="L37" i="141"/>
  <c r="Y28" i="141"/>
  <c r="E29" i="136" s="1"/>
  <c r="Y27" i="141"/>
  <c r="E28" i="136" s="1"/>
  <c r="Y25" i="141"/>
  <c r="E26" i="136" s="1"/>
  <c r="Y24" i="141"/>
  <c r="E25" i="136" s="1"/>
  <c r="Y23" i="141"/>
  <c r="E24" i="136" s="1"/>
  <c r="Y22" i="141"/>
  <c r="E23" i="136" s="1"/>
  <c r="Y18" i="141"/>
  <c r="E19" i="136" s="1"/>
  <c r="Y17" i="141"/>
  <c r="E18" i="136" s="1"/>
  <c r="M82" i="141"/>
  <c r="M91" i="141"/>
  <c r="L54" i="141"/>
  <c r="M84" i="141"/>
  <c r="H99" i="141"/>
  <c r="H96" i="141"/>
  <c r="H72" i="141"/>
  <c r="G64" i="141"/>
  <c r="G42" i="141"/>
  <c r="G41" i="141"/>
  <c r="G104" i="137"/>
  <c r="G91" i="141"/>
  <c r="H89" i="141"/>
  <c r="G83" i="141"/>
  <c r="H82" i="141"/>
  <c r="H74" i="141"/>
  <c r="G51" i="141"/>
  <c r="G15" i="141"/>
  <c r="H101" i="141"/>
  <c r="X97" i="141"/>
  <c r="D98" i="136" s="1"/>
  <c r="G95" i="141"/>
  <c r="G87" i="141"/>
  <c r="G74" i="141"/>
  <c r="D103" i="141"/>
  <c r="H80" i="141"/>
  <c r="L76" i="131"/>
  <c r="W67" i="141"/>
  <c r="L97" i="141"/>
  <c r="M100" i="141"/>
  <c r="Y99" i="141"/>
  <c r="E100" i="136" s="1"/>
  <c r="Y91" i="141"/>
  <c r="E92" i="136" s="1"/>
  <c r="Z90" i="141"/>
  <c r="F91" i="136" s="1"/>
  <c r="G89" i="141"/>
  <c r="M81" i="141"/>
  <c r="W62" i="141"/>
  <c r="L49" i="141"/>
  <c r="I377" i="160"/>
  <c r="Z62" i="141"/>
  <c r="F63" i="136" s="1"/>
  <c r="Q11" i="141"/>
  <c r="I75" i="131"/>
  <c r="E84" i="131"/>
  <c r="V102" i="141"/>
  <c r="W102" i="141"/>
  <c r="F25" i="147"/>
  <c r="V96" i="141"/>
  <c r="G86" i="141"/>
  <c r="M77" i="141"/>
  <c r="Y97" i="141"/>
  <c r="E98" i="136" s="1"/>
  <c r="Z102" i="141"/>
  <c r="F103" i="136" s="1"/>
  <c r="W93" i="141"/>
  <c r="Y68" i="141"/>
  <c r="E69" i="136" s="1"/>
  <c r="H58" i="141"/>
  <c r="H376" i="160"/>
  <c r="G375" i="160"/>
  <c r="V73" i="141"/>
  <c r="Y98" i="141"/>
  <c r="E99" i="136" s="1"/>
  <c r="Y95" i="141"/>
  <c r="E96" i="136" s="1"/>
  <c r="Y90" i="141"/>
  <c r="E91" i="136" s="1"/>
  <c r="L100" i="141"/>
  <c r="M61" i="141"/>
  <c r="Q50" i="141"/>
  <c r="R50" i="141"/>
  <c r="Y7" i="141"/>
  <c r="E8" i="136" s="1"/>
  <c r="E103" i="141"/>
  <c r="K103" i="141"/>
  <c r="L7" i="141"/>
  <c r="T103" i="141"/>
  <c r="V7" i="141"/>
  <c r="G102" i="141"/>
  <c r="Y102" i="141"/>
  <c r="E103" i="136" s="1"/>
  <c r="Z101" i="141"/>
  <c r="F102" i="136" s="1"/>
  <c r="L101" i="141"/>
  <c r="M101" i="141"/>
  <c r="W100" i="141"/>
  <c r="V100" i="141"/>
  <c r="Y100" i="141"/>
  <c r="E101" i="136" s="1"/>
  <c r="G100" i="141"/>
  <c r="W99" i="141"/>
  <c r="V99" i="141"/>
  <c r="L99" i="141"/>
  <c r="M99" i="141"/>
  <c r="L98" i="141"/>
  <c r="X98" i="141"/>
  <c r="D99" i="136" s="1"/>
  <c r="M98" i="141"/>
  <c r="W97" i="141"/>
  <c r="V97" i="141"/>
  <c r="Z97" i="141"/>
  <c r="Z96" i="141"/>
  <c r="F97" i="136" s="1"/>
  <c r="G96" i="141"/>
  <c r="M95" i="141"/>
  <c r="Z95" i="141"/>
  <c r="F96" i="136" s="1"/>
  <c r="L95" i="141"/>
  <c r="V94" i="141"/>
  <c r="Z94" i="141"/>
  <c r="L94" i="141"/>
  <c r="Y94" i="141"/>
  <c r="E95" i="136" s="1"/>
  <c r="G94" i="141"/>
  <c r="L93" i="141"/>
  <c r="M93" i="141"/>
  <c r="V92" i="141"/>
  <c r="W92" i="141"/>
  <c r="L92" i="141"/>
  <c r="Y92" i="141"/>
  <c r="E93" i="136" s="1"/>
  <c r="H92" i="141"/>
  <c r="G92" i="141"/>
  <c r="X90" i="141"/>
  <c r="L90" i="141"/>
  <c r="V89" i="141"/>
  <c r="Z89" i="141"/>
  <c r="X89" i="141"/>
  <c r="D90" i="136" s="1"/>
  <c r="L89" i="141"/>
  <c r="M89" i="141"/>
  <c r="W88" i="141"/>
  <c r="V88" i="141"/>
  <c r="G88" i="141"/>
  <c r="H88" i="141"/>
  <c r="M87" i="141"/>
  <c r="L87" i="141"/>
  <c r="V86" i="141"/>
  <c r="W86" i="141"/>
  <c r="X86" i="141"/>
  <c r="Z86" i="141"/>
  <c r="M86" i="141"/>
  <c r="L86" i="141"/>
  <c r="W85" i="141"/>
  <c r="L85" i="141"/>
  <c r="M85" i="141"/>
  <c r="V84" i="141"/>
  <c r="W84" i="141"/>
  <c r="Y84" i="141"/>
  <c r="E85" i="136" s="1"/>
  <c r="L84" i="141"/>
  <c r="L83" i="141"/>
  <c r="M83" i="141"/>
  <c r="W82" i="141"/>
  <c r="Z82" i="141"/>
  <c r="Y82" i="141"/>
  <c r="E83" i="136" s="1"/>
  <c r="W81" i="141"/>
  <c r="Z81" i="141"/>
  <c r="V81" i="141"/>
  <c r="L81" i="141"/>
  <c r="Z80" i="141"/>
  <c r="F81" i="136" s="1"/>
  <c r="G80" i="141"/>
  <c r="M79" i="141"/>
  <c r="Z79" i="141"/>
  <c r="L79" i="141"/>
  <c r="Z78" i="141"/>
  <c r="L78" i="141"/>
  <c r="Y78" i="141"/>
  <c r="E79" i="136" s="1"/>
  <c r="G78" i="141"/>
  <c r="W77" i="141"/>
  <c r="V77" i="141"/>
  <c r="Y77" i="141"/>
  <c r="E78" i="136" s="1"/>
  <c r="G77" i="141"/>
  <c r="W76" i="141"/>
  <c r="V76" i="141"/>
  <c r="Y76" i="141"/>
  <c r="E77" i="136" s="1"/>
  <c r="L76" i="141"/>
  <c r="H76" i="141"/>
  <c r="G76" i="141"/>
  <c r="Z75" i="141"/>
  <c r="F76" i="136" s="1"/>
  <c r="M75" i="141"/>
  <c r="L75" i="141"/>
  <c r="V74" i="141"/>
  <c r="Z74" i="141"/>
  <c r="W74" i="141"/>
  <c r="Y74" i="141"/>
  <c r="E75" i="136" s="1"/>
  <c r="L74" i="141"/>
  <c r="Y73" i="141"/>
  <c r="E74" i="136" s="1"/>
  <c r="L73" i="141"/>
  <c r="M73" i="141"/>
  <c r="W72" i="141"/>
  <c r="V72" i="141"/>
  <c r="Z72" i="141"/>
  <c r="F73" i="136" s="1"/>
  <c r="G72" i="141"/>
  <c r="Z71" i="141"/>
  <c r="F72" i="136" s="1"/>
  <c r="L71" i="141"/>
  <c r="V70" i="141"/>
  <c r="L70" i="141"/>
  <c r="Z70" i="141"/>
  <c r="M70" i="141"/>
  <c r="Y70" i="141"/>
  <c r="E71" i="136" s="1"/>
  <c r="G70" i="141"/>
  <c r="W69" i="141"/>
  <c r="V69" i="141"/>
  <c r="M69" i="141"/>
  <c r="L69" i="141"/>
  <c r="Z69" i="141"/>
  <c r="Y69" i="141"/>
  <c r="E70" i="136" s="1"/>
  <c r="G69" i="141"/>
  <c r="W68" i="141"/>
  <c r="V68" i="141"/>
  <c r="Z67" i="141"/>
  <c r="F68" i="136" s="1"/>
  <c r="M67" i="141"/>
  <c r="L67" i="141"/>
  <c r="X67" i="141"/>
  <c r="D68" i="136" s="1"/>
  <c r="W66" i="141"/>
  <c r="V66" i="141"/>
  <c r="Z66" i="141"/>
  <c r="X66" i="141"/>
  <c r="L66" i="141"/>
  <c r="M66" i="141"/>
  <c r="Z65" i="141"/>
  <c r="V65" i="141"/>
  <c r="M65" i="141"/>
  <c r="L65" i="141"/>
  <c r="V64" i="141"/>
  <c r="W64" i="141"/>
  <c r="H64" i="141"/>
  <c r="Z64" i="141"/>
  <c r="F65" i="136" s="1"/>
  <c r="L63" i="141"/>
  <c r="M63" i="141"/>
  <c r="W61" i="141"/>
  <c r="V61" i="141"/>
  <c r="Y61" i="141"/>
  <c r="Z60" i="141"/>
  <c r="F61" i="136" s="1"/>
  <c r="H60" i="141"/>
  <c r="G60" i="141"/>
  <c r="H59" i="141"/>
  <c r="G59" i="141"/>
  <c r="Z58" i="141"/>
  <c r="R58" i="141"/>
  <c r="Q58" i="141"/>
  <c r="L58" i="141"/>
  <c r="Y58" i="141"/>
  <c r="Z57" i="141"/>
  <c r="G57" i="141"/>
  <c r="H57" i="141"/>
  <c r="Q56" i="141"/>
  <c r="Z56" i="141"/>
  <c r="Y56" i="141"/>
  <c r="E57" i="136" s="1"/>
  <c r="L56" i="141"/>
  <c r="R55" i="141"/>
  <c r="Z55" i="141"/>
  <c r="Q55" i="141"/>
  <c r="Z54" i="141"/>
  <c r="F55" i="136" s="1"/>
  <c r="Q54" i="141"/>
  <c r="Z53" i="141"/>
  <c r="F54" i="136" s="1"/>
  <c r="W53" i="141"/>
  <c r="V53" i="141"/>
  <c r="M53" i="141"/>
  <c r="L53" i="141"/>
  <c r="Z52" i="141"/>
  <c r="W52" i="141"/>
  <c r="V52" i="141"/>
  <c r="Y52" i="141"/>
  <c r="E53" i="136" s="1"/>
  <c r="L52" i="141"/>
  <c r="Z51" i="141"/>
  <c r="F52" i="136" s="1"/>
  <c r="V51" i="141"/>
  <c r="Y51" i="141"/>
  <c r="E52" i="136" s="1"/>
  <c r="L51" i="141"/>
  <c r="M51" i="141"/>
  <c r="G50" i="141"/>
  <c r="H50" i="141"/>
  <c r="Z50" i="141"/>
  <c r="F51" i="136" s="1"/>
  <c r="G49" i="141"/>
  <c r="H49" i="141"/>
  <c r="Z49" i="141"/>
  <c r="M48" i="141"/>
  <c r="Z48" i="141"/>
  <c r="F49" i="136" s="1"/>
  <c r="L48" i="141"/>
  <c r="G48" i="141"/>
  <c r="Y48" i="141"/>
  <c r="E49" i="136" s="1"/>
  <c r="L47" i="141"/>
  <c r="Y47" i="141"/>
  <c r="E48" i="136" s="1"/>
  <c r="G47" i="141"/>
  <c r="H47" i="141"/>
  <c r="Z46" i="141"/>
  <c r="Y46" i="141"/>
  <c r="E47" i="136" s="1"/>
  <c r="L46" i="141"/>
  <c r="Y45" i="141"/>
  <c r="E46" i="136" s="1"/>
  <c r="L45" i="141"/>
  <c r="L44" i="141"/>
  <c r="M44" i="141"/>
  <c r="V43" i="141"/>
  <c r="W43" i="141"/>
  <c r="Z43" i="141"/>
  <c r="F44" i="136" s="1"/>
  <c r="H43" i="141"/>
  <c r="Y42" i="141"/>
  <c r="E43" i="136" s="1"/>
  <c r="V42" i="141"/>
  <c r="H42" i="141"/>
  <c r="Z42" i="141"/>
  <c r="F43" i="136" s="1"/>
  <c r="H41" i="141"/>
  <c r="Z41" i="141"/>
  <c r="L40" i="141"/>
  <c r="M40" i="141"/>
  <c r="Y40" i="141"/>
  <c r="E41" i="136" s="1"/>
  <c r="G40" i="141"/>
  <c r="W39" i="141"/>
  <c r="V39" i="141"/>
  <c r="Y39" i="141"/>
  <c r="E40" i="136" s="1"/>
  <c r="L39" i="141"/>
  <c r="H39" i="141"/>
  <c r="G39" i="141"/>
  <c r="Z38" i="141"/>
  <c r="F39" i="136" s="1"/>
  <c r="G38" i="141"/>
  <c r="V36" i="141"/>
  <c r="Z36" i="141"/>
  <c r="Y36" i="141"/>
  <c r="E37" i="136" s="1"/>
  <c r="Q36" i="141"/>
  <c r="W35" i="141"/>
  <c r="V35" i="141"/>
  <c r="Z35" i="141"/>
  <c r="Q35" i="141"/>
  <c r="Y35" i="141"/>
  <c r="E36" i="136" s="1"/>
  <c r="M35" i="141"/>
  <c r="L35" i="141"/>
  <c r="X35" i="141"/>
  <c r="Z34" i="141"/>
  <c r="W34" i="141"/>
  <c r="Q34" i="141"/>
  <c r="Y34" i="141"/>
  <c r="E35" i="136" s="1"/>
  <c r="L34" i="141"/>
  <c r="M34" i="141"/>
  <c r="V33" i="141"/>
  <c r="W33" i="141"/>
  <c r="Y33" i="141"/>
  <c r="E34" i="136" s="1"/>
  <c r="L33" i="141"/>
  <c r="W32" i="141"/>
  <c r="Z32" i="141"/>
  <c r="V32" i="141"/>
  <c r="Y32" i="141"/>
  <c r="E33" i="136" s="1"/>
  <c r="L32" i="141"/>
  <c r="M32" i="141"/>
  <c r="W31" i="141"/>
  <c r="Z31" i="141"/>
  <c r="Y31" i="141"/>
  <c r="E32" i="136" s="1"/>
  <c r="Q31" i="141"/>
  <c r="M31" i="141"/>
  <c r="L31" i="141"/>
  <c r="Z30" i="141"/>
  <c r="W30" i="141"/>
  <c r="Y30" i="141"/>
  <c r="E31" i="136" s="1"/>
  <c r="L30" i="141"/>
  <c r="W29" i="141"/>
  <c r="Z29" i="141"/>
  <c r="V29" i="141"/>
  <c r="Y29" i="141"/>
  <c r="E30" i="136" s="1"/>
  <c r="M29" i="141"/>
  <c r="L29" i="141"/>
  <c r="W28" i="141"/>
  <c r="Z28" i="141"/>
  <c r="F29" i="136" s="1"/>
  <c r="V28" i="141"/>
  <c r="W27" i="141"/>
  <c r="Z27" i="141"/>
  <c r="F28" i="136" s="1"/>
  <c r="X27" i="141"/>
  <c r="D28" i="136" s="1"/>
  <c r="L27" i="141"/>
  <c r="M27" i="141"/>
  <c r="W26" i="141"/>
  <c r="Z26" i="141"/>
  <c r="V26" i="141"/>
  <c r="Y26" i="141"/>
  <c r="E27" i="136" s="1"/>
  <c r="L26" i="141"/>
  <c r="M26" i="141"/>
  <c r="M25" i="141"/>
  <c r="Z24" i="141"/>
  <c r="W24" i="141"/>
  <c r="V24" i="141"/>
  <c r="X24" i="141"/>
  <c r="M24" i="141"/>
  <c r="L24" i="141"/>
  <c r="Z23" i="141"/>
  <c r="W23" i="141"/>
  <c r="V23" i="141"/>
  <c r="M23" i="141"/>
  <c r="M22" i="141"/>
  <c r="L22" i="141"/>
  <c r="V21" i="141"/>
  <c r="W21" i="141"/>
  <c r="Y21" i="141"/>
  <c r="E22" i="136" s="1"/>
  <c r="M21" i="141"/>
  <c r="L21" i="141"/>
  <c r="V20" i="141"/>
  <c r="W20" i="141"/>
  <c r="Q20" i="141"/>
  <c r="Y20" i="141"/>
  <c r="E21" i="136" s="1"/>
  <c r="L20" i="141"/>
  <c r="X20" i="141"/>
  <c r="M20" i="141"/>
  <c r="V19" i="141"/>
  <c r="W19" i="141"/>
  <c r="Z19" i="141"/>
  <c r="X19" i="141"/>
  <c r="M19" i="141"/>
  <c r="L19" i="141"/>
  <c r="W18" i="141"/>
  <c r="V18" i="141"/>
  <c r="Z18" i="141"/>
  <c r="F19" i="136" s="1"/>
  <c r="M18" i="141"/>
  <c r="X18" i="141"/>
  <c r="L18" i="141"/>
  <c r="M17" i="141"/>
  <c r="V16" i="141"/>
  <c r="W16" i="141"/>
  <c r="Z16" i="141"/>
  <c r="F17" i="136" s="1"/>
  <c r="Y16" i="141"/>
  <c r="E17" i="136" s="1"/>
  <c r="Q16" i="141"/>
  <c r="L16" i="141"/>
  <c r="X16" i="141"/>
  <c r="W15" i="141"/>
  <c r="Z15" i="141"/>
  <c r="Q15" i="141"/>
  <c r="Y15" i="141"/>
  <c r="E16" i="136" s="1"/>
  <c r="M15" i="141"/>
  <c r="L15" i="141"/>
  <c r="H14" i="141"/>
  <c r="G14" i="141"/>
  <c r="Z13" i="141"/>
  <c r="L13" i="141"/>
  <c r="M13" i="141"/>
  <c r="G13" i="141"/>
  <c r="Y13" i="141"/>
  <c r="E14" i="136" s="1"/>
  <c r="S103" i="141"/>
  <c r="W12" i="141"/>
  <c r="X11" i="141"/>
  <c r="L11" i="141"/>
  <c r="Z10" i="141"/>
  <c r="W10" i="141"/>
  <c r="V10" i="141"/>
  <c r="Y10" i="141"/>
  <c r="E11" i="136" s="1"/>
  <c r="L10" i="141"/>
  <c r="I103" i="141"/>
  <c r="U103" i="141"/>
  <c r="W9" i="141"/>
  <c r="V9" i="141"/>
  <c r="O103" i="141"/>
  <c r="Y9" i="141"/>
  <c r="H9" i="141"/>
  <c r="G9" i="141"/>
  <c r="Z9" i="141"/>
  <c r="F103" i="141"/>
  <c r="L8" i="141"/>
  <c r="M8" i="141"/>
  <c r="Y79" i="141"/>
  <c r="E80" i="136" s="1"/>
  <c r="Y71" i="141"/>
  <c r="E72" i="136" s="1"/>
  <c r="Y8" i="141"/>
  <c r="L102" i="141"/>
  <c r="W101" i="141"/>
  <c r="V98" i="141"/>
  <c r="Z98" i="141"/>
  <c r="F99" i="136" s="1"/>
  <c r="V90" i="141"/>
  <c r="Y80" i="141"/>
  <c r="E81" i="136" s="1"/>
  <c r="L77" i="141"/>
  <c r="W51" i="141"/>
  <c r="W50" i="141"/>
  <c r="G43" i="141"/>
  <c r="M10" i="141"/>
  <c r="X54" i="141"/>
  <c r="H30" i="141"/>
  <c r="N95" i="141"/>
  <c r="N91" i="141"/>
  <c r="N87" i="141"/>
  <c r="N83" i="141"/>
  <c r="N71" i="141"/>
  <c r="N47" i="141"/>
  <c r="N43" i="141"/>
  <c r="F379" i="160"/>
  <c r="H379" i="160" s="1"/>
  <c r="C20" i="160"/>
  <c r="E20" i="160" s="1"/>
  <c r="O88" i="131"/>
  <c r="N7" i="141"/>
  <c r="Y89" i="141"/>
  <c r="G93" i="141"/>
  <c r="M92" i="141"/>
  <c r="Y87" i="141"/>
  <c r="E88" i="136" s="1"/>
  <c r="W75" i="141"/>
  <c r="M60" i="141"/>
  <c r="F82" i="160"/>
  <c r="F80" i="160" s="1"/>
  <c r="F79" i="160" s="1"/>
  <c r="F83" i="160" s="1"/>
  <c r="N96" i="141"/>
  <c r="N92" i="141"/>
  <c r="X92" i="141" s="1"/>
  <c r="N88" i="141"/>
  <c r="N84" i="141"/>
  <c r="N80" i="141"/>
  <c r="R80" i="141" s="1"/>
  <c r="N76" i="141"/>
  <c r="N72" i="141"/>
  <c r="N68" i="141"/>
  <c r="N60" i="141"/>
  <c r="N48" i="141"/>
  <c r="N44" i="141"/>
  <c r="N40" i="141"/>
  <c r="N12" i="141"/>
  <c r="K39" i="167"/>
  <c r="H104" i="137"/>
  <c r="M12" i="131"/>
  <c r="F104" i="139"/>
  <c r="F113" i="139" s="1"/>
  <c r="X100" i="141"/>
  <c r="G76" i="131"/>
  <c r="F381" i="160"/>
  <c r="I381" i="160" s="1"/>
  <c r="W94" i="141"/>
  <c r="W70" i="141"/>
  <c r="G105" i="135"/>
  <c r="I39" i="167"/>
  <c r="F382" i="160"/>
  <c r="I376" i="160"/>
  <c r="L84" i="131"/>
  <c r="E90" i="131"/>
  <c r="E93" i="131" s="1"/>
  <c r="E76" i="131"/>
  <c r="D7" i="170"/>
  <c r="C8" i="177" s="1"/>
  <c r="O76" i="131"/>
  <c r="E88" i="131"/>
  <c r="E12" i="170"/>
  <c r="N88" i="131"/>
  <c r="N94" i="131" s="1"/>
  <c r="L83" i="131"/>
  <c r="N83" i="131"/>
  <c r="R100" i="141"/>
  <c r="H93" i="141"/>
  <c r="R89" i="141"/>
  <c r="H83" i="141"/>
  <c r="V80" i="141"/>
  <c r="H69" i="141"/>
  <c r="L37" i="167"/>
  <c r="H81" i="160"/>
  <c r="D105" i="135"/>
  <c r="I81" i="160"/>
  <c r="M8" i="135"/>
  <c r="L8" i="135"/>
  <c r="F10" i="170"/>
  <c r="I10" i="170" s="1"/>
  <c r="E10" i="170"/>
  <c r="F9" i="160"/>
  <c r="K76" i="131"/>
  <c r="I76" i="131"/>
  <c r="K75" i="131"/>
  <c r="F90" i="131"/>
  <c r="F92" i="131" s="1"/>
  <c r="D83" i="131"/>
  <c r="F84" i="131"/>
  <c r="F83" i="131"/>
  <c r="F7" i="178"/>
  <c r="D90" i="131"/>
  <c r="D94" i="131" s="1"/>
  <c r="Q63" i="141"/>
  <c r="R63" i="141"/>
  <c r="X63" i="141"/>
  <c r="G101" i="141"/>
  <c r="B23" i="160"/>
  <c r="X50" i="141"/>
  <c r="R54" i="141"/>
  <c r="Q82" i="141" l="1"/>
  <c r="R81" i="141"/>
  <c r="X82" i="141"/>
  <c r="D83" i="136" s="1"/>
  <c r="X36" i="141"/>
  <c r="D37" i="136" s="1"/>
  <c r="X22" i="141"/>
  <c r="D23" i="136" s="1"/>
  <c r="H23" i="136" s="1"/>
  <c r="X8" i="141"/>
  <c r="D9" i="136" s="1"/>
  <c r="H9" i="136" s="1"/>
  <c r="K10" i="170"/>
  <c r="J10" i="170" s="1"/>
  <c r="K11" i="170"/>
  <c r="J11" i="170" s="1"/>
  <c r="J85" i="131"/>
  <c r="F93" i="131"/>
  <c r="L102" i="131"/>
  <c r="L101" i="131"/>
  <c r="K101" i="131"/>
  <c r="G78" i="131"/>
  <c r="G77" i="131"/>
  <c r="G86" i="131"/>
  <c r="M85" i="131"/>
  <c r="M86" i="131"/>
  <c r="F94" i="131"/>
  <c r="X34" i="141"/>
  <c r="AB34" i="141" s="1"/>
  <c r="G88" i="131"/>
  <c r="E94" i="131"/>
  <c r="I44" i="77"/>
  <c r="H43" i="77"/>
  <c r="N43" i="77" s="1"/>
  <c r="H44" i="77"/>
  <c r="H39" i="77"/>
  <c r="N39" i="77" s="1"/>
  <c r="P82" i="131"/>
  <c r="P86" i="131" s="1"/>
  <c r="P13" i="131"/>
  <c r="P14" i="131"/>
  <c r="P71" i="131"/>
  <c r="R75" i="141"/>
  <c r="Q67" i="141"/>
  <c r="Q75" i="141"/>
  <c r="R17" i="141"/>
  <c r="R64" i="141"/>
  <c r="Q14" i="141"/>
  <c r="Q8" i="141"/>
  <c r="H10" i="170"/>
  <c r="J76" i="136"/>
  <c r="H11" i="170"/>
  <c r="G11" i="170"/>
  <c r="G10" i="170"/>
  <c r="J12" i="136"/>
  <c r="E7" i="178"/>
  <c r="E7" i="170"/>
  <c r="R13" i="141"/>
  <c r="X57" i="141"/>
  <c r="AB57" i="141" s="1"/>
  <c r="Q97" i="141"/>
  <c r="R94" i="141"/>
  <c r="Q57" i="141"/>
  <c r="D107" i="164"/>
  <c r="M95" i="131"/>
  <c r="P95" i="131" s="1"/>
  <c r="Q79" i="141"/>
  <c r="R79" i="141"/>
  <c r="Q74" i="141"/>
  <c r="L115" i="131"/>
  <c r="I10" i="160"/>
  <c r="J61" i="136"/>
  <c r="J55" i="136"/>
  <c r="G8" i="160"/>
  <c r="G23" i="160" s="1"/>
  <c r="J73" i="136"/>
  <c r="J97" i="136"/>
  <c r="J15" i="136"/>
  <c r="J45" i="136"/>
  <c r="R14" i="141"/>
  <c r="J84" i="136"/>
  <c r="J63" i="136"/>
  <c r="J39" i="136"/>
  <c r="X93" i="141"/>
  <c r="D94" i="136" s="1"/>
  <c r="R93" i="141"/>
  <c r="B8" i="178"/>
  <c r="F32" i="178"/>
  <c r="B9" i="178"/>
  <c r="B15" i="178" s="1"/>
  <c r="C10" i="178"/>
  <c r="O87" i="131"/>
  <c r="B12" i="178"/>
  <c r="C12" i="178" s="1"/>
  <c r="D6" i="172"/>
  <c r="D7" i="178"/>
  <c r="I7" i="178" s="1"/>
  <c r="F33" i="147"/>
  <c r="F39" i="147" s="1"/>
  <c r="L104" i="135"/>
  <c r="L105" i="135" s="1"/>
  <c r="J19" i="136"/>
  <c r="J99" i="136"/>
  <c r="I99" i="136" s="1"/>
  <c r="J89" i="136"/>
  <c r="J102" i="136"/>
  <c r="J44" i="136"/>
  <c r="J54" i="136"/>
  <c r="J51" i="136"/>
  <c r="Q81" i="141"/>
  <c r="X52" i="141"/>
  <c r="D53" i="136" s="1"/>
  <c r="R52" i="141"/>
  <c r="X32" i="141"/>
  <c r="AB32" i="141" s="1"/>
  <c r="H10" i="160"/>
  <c r="H11" i="178"/>
  <c r="P11" i="131"/>
  <c r="E44" i="77"/>
  <c r="C11" i="178"/>
  <c r="D9" i="178"/>
  <c r="D15" i="178" s="1"/>
  <c r="J26" i="136"/>
  <c r="J13" i="136"/>
  <c r="J64" i="136"/>
  <c r="X13" i="141"/>
  <c r="D14" i="136" s="1"/>
  <c r="X101" i="141"/>
  <c r="D102" i="136" s="1"/>
  <c r="H102" i="136" s="1"/>
  <c r="R101" i="141"/>
  <c r="X51" i="141"/>
  <c r="AB51" i="141" s="1"/>
  <c r="R51" i="141"/>
  <c r="X39" i="141"/>
  <c r="AB39" i="141" s="1"/>
  <c r="R39" i="141"/>
  <c r="Q32" i="141"/>
  <c r="Q26" i="141"/>
  <c r="J104" i="139"/>
  <c r="K104" i="139"/>
  <c r="J68" i="136"/>
  <c r="I68" i="136" s="1"/>
  <c r="J28" i="136"/>
  <c r="I28" i="136" s="1"/>
  <c r="J8" i="136"/>
  <c r="J101" i="136"/>
  <c r="J103" i="136"/>
  <c r="J100" i="136"/>
  <c r="J74" i="136"/>
  <c r="J88" i="136"/>
  <c r="J86" i="136"/>
  <c r="J49" i="136"/>
  <c r="J60" i="136"/>
  <c r="J46" i="136"/>
  <c r="J77" i="136"/>
  <c r="J72" i="136"/>
  <c r="J96" i="136"/>
  <c r="J93" i="136"/>
  <c r="J43" i="136"/>
  <c r="J52" i="136"/>
  <c r="J65" i="136"/>
  <c r="J81" i="136"/>
  <c r="J78" i="136"/>
  <c r="J38" i="136"/>
  <c r="J92" i="136"/>
  <c r="J41" i="136"/>
  <c r="J40" i="136"/>
  <c r="J34" i="136"/>
  <c r="J91" i="136"/>
  <c r="J21" i="136"/>
  <c r="J48" i="136"/>
  <c r="J23" i="136"/>
  <c r="J17" i="136"/>
  <c r="J29" i="136"/>
  <c r="J22" i="136"/>
  <c r="J18" i="136"/>
  <c r="J69" i="136"/>
  <c r="J85" i="136"/>
  <c r="I104" i="163"/>
  <c r="G11" i="178"/>
  <c r="I11" i="178"/>
  <c r="F8" i="160"/>
  <c r="F23" i="160" s="1"/>
  <c r="E9" i="178"/>
  <c r="E15" i="178" s="1"/>
  <c r="G104" i="163"/>
  <c r="E10" i="172"/>
  <c r="G10" i="172"/>
  <c r="D11" i="172"/>
  <c r="E9" i="170"/>
  <c r="C10" i="170"/>
  <c r="D9" i="172"/>
  <c r="B9" i="170"/>
  <c r="C10" i="172"/>
  <c r="M97" i="131"/>
  <c r="P97" i="131" s="1"/>
  <c r="E9" i="172"/>
  <c r="F9" i="172" s="1"/>
  <c r="G9" i="172"/>
  <c r="F9" i="178"/>
  <c r="H10" i="178"/>
  <c r="G10" i="178"/>
  <c r="I10" i="178"/>
  <c r="F7" i="160"/>
  <c r="E8" i="178"/>
  <c r="O90" i="131"/>
  <c r="F12" i="178"/>
  <c r="Q62" i="141"/>
  <c r="X62" i="141"/>
  <c r="D63" i="136" s="1"/>
  <c r="G63" i="136" s="1"/>
  <c r="Q23" i="141"/>
  <c r="X23" i="141"/>
  <c r="AB23" i="141" s="1"/>
  <c r="R65" i="141"/>
  <c r="X65" i="141"/>
  <c r="D66" i="136" s="1"/>
  <c r="R61" i="141"/>
  <c r="X61" i="141"/>
  <c r="D62" i="136" s="1"/>
  <c r="H62" i="136" s="1"/>
  <c r="Q59" i="141"/>
  <c r="Q64" i="131"/>
  <c r="Q48" i="131"/>
  <c r="P12" i="131"/>
  <c r="Q17" i="141"/>
  <c r="X69" i="141"/>
  <c r="AB69" i="141" s="1"/>
  <c r="Q53" i="141"/>
  <c r="R59" i="141"/>
  <c r="C11" i="160"/>
  <c r="D11" i="160" s="1"/>
  <c r="I19" i="160"/>
  <c r="Q16" i="131"/>
  <c r="R99" i="141"/>
  <c r="Q99" i="141"/>
  <c r="R73" i="141"/>
  <c r="X53" i="141"/>
  <c r="D54" i="136" s="1"/>
  <c r="G54" i="136" s="1"/>
  <c r="X64" i="141"/>
  <c r="D65" i="136" s="1"/>
  <c r="H65" i="136" s="1"/>
  <c r="H104" i="163"/>
  <c r="G382" i="160"/>
  <c r="H382" i="160" s="1"/>
  <c r="H380" i="160" s="1"/>
  <c r="L100" i="131"/>
  <c r="J35" i="167"/>
  <c r="J40" i="167" s="1"/>
  <c r="K40" i="167"/>
  <c r="R10" i="141"/>
  <c r="R26" i="141"/>
  <c r="E91" i="131"/>
  <c r="M98" i="131"/>
  <c r="H375" i="160"/>
  <c r="R42" i="141"/>
  <c r="Q70" i="141"/>
  <c r="Q102" i="141"/>
  <c r="X70" i="141"/>
  <c r="D71" i="136" s="1"/>
  <c r="X102" i="141"/>
  <c r="AB102" i="141" s="1"/>
  <c r="Q33" i="141"/>
  <c r="R98" i="141"/>
  <c r="F17" i="160"/>
  <c r="H19" i="160"/>
  <c r="C7" i="160"/>
  <c r="F6" i="160"/>
  <c r="F15" i="160"/>
  <c r="Q10" i="141"/>
  <c r="E92" i="131"/>
  <c r="G17" i="160"/>
  <c r="L99" i="131"/>
  <c r="X49" i="141"/>
  <c r="D50" i="136" s="1"/>
  <c r="X73" i="141"/>
  <c r="AA73" i="141" s="1"/>
  <c r="X78" i="141"/>
  <c r="D79" i="136" s="1"/>
  <c r="Q77" i="141"/>
  <c r="Q41" i="141"/>
  <c r="X42" i="141"/>
  <c r="AA42" i="141" s="1"/>
  <c r="Q78" i="141"/>
  <c r="X41" i="141"/>
  <c r="AA41" i="141" s="1"/>
  <c r="R30" i="141"/>
  <c r="AA59" i="141"/>
  <c r="F16" i="160"/>
  <c r="E8" i="170"/>
  <c r="M75" i="131"/>
  <c r="M76" i="131"/>
  <c r="F9" i="170"/>
  <c r="AA55" i="141"/>
  <c r="AB54" i="141"/>
  <c r="D60" i="136"/>
  <c r="G60" i="136" s="1"/>
  <c r="X33" i="141"/>
  <c r="AA33" i="141" s="1"/>
  <c r="AB10" i="141"/>
  <c r="G23" i="136"/>
  <c r="AB22" i="141"/>
  <c r="Q49" i="141"/>
  <c r="X85" i="141"/>
  <c r="D86" i="136" s="1"/>
  <c r="H86" i="136" s="1"/>
  <c r="R85" i="141"/>
  <c r="Q69" i="141"/>
  <c r="X77" i="141"/>
  <c r="D78" i="136" s="1"/>
  <c r="H78" i="136" s="1"/>
  <c r="D46" i="136"/>
  <c r="H46" i="136" s="1"/>
  <c r="AB45" i="141"/>
  <c r="R45" i="141"/>
  <c r="Q45" i="141"/>
  <c r="R37" i="141"/>
  <c r="Q30" i="141"/>
  <c r="X37" i="141"/>
  <c r="AB37" i="141" s="1"/>
  <c r="X28" i="141"/>
  <c r="D29" i="136" s="1"/>
  <c r="G29" i="136" s="1"/>
  <c r="R25" i="141"/>
  <c r="X25" i="141"/>
  <c r="AA25" i="141" s="1"/>
  <c r="R28" i="141"/>
  <c r="Q29" i="141"/>
  <c r="X29" i="141"/>
  <c r="AB29" i="141" s="1"/>
  <c r="R21" i="141"/>
  <c r="X21" i="141"/>
  <c r="AB21" i="141" s="1"/>
  <c r="AA11" i="141"/>
  <c r="AA22" i="141"/>
  <c r="AB59" i="141"/>
  <c r="F94" i="136"/>
  <c r="I375" i="160"/>
  <c r="C11" i="170"/>
  <c r="E391" i="160"/>
  <c r="K105" i="135"/>
  <c r="H89" i="131"/>
  <c r="J89" i="131" s="1"/>
  <c r="P89" i="131" s="1"/>
  <c r="D19" i="147"/>
  <c r="D20" i="147" s="1"/>
  <c r="D26" i="147" s="1"/>
  <c r="F11" i="136"/>
  <c r="AA30" i="141"/>
  <c r="F12" i="170"/>
  <c r="I12" i="170" s="1"/>
  <c r="O84" i="131"/>
  <c r="O83" i="131"/>
  <c r="AA54" i="141"/>
  <c r="AA97" i="141"/>
  <c r="X38" i="141"/>
  <c r="D39" i="136" s="1"/>
  <c r="H39" i="136" s="1"/>
  <c r="Q38" i="141"/>
  <c r="X46" i="141"/>
  <c r="D47" i="136" s="1"/>
  <c r="R46" i="141"/>
  <c r="I104" i="139"/>
  <c r="AB98" i="141"/>
  <c r="AA98" i="141"/>
  <c r="AB16" i="141"/>
  <c r="G68" i="136"/>
  <c r="AB18" i="141"/>
  <c r="AB75" i="141"/>
  <c r="H103" i="141"/>
  <c r="G103" i="141"/>
  <c r="D55" i="136"/>
  <c r="H55" i="136" s="1"/>
  <c r="M104" i="135"/>
  <c r="G11" i="160"/>
  <c r="I11" i="160" s="1"/>
  <c r="G20" i="160"/>
  <c r="W103" i="141"/>
  <c r="L103" i="141"/>
  <c r="AA31" i="141"/>
  <c r="D9" i="170"/>
  <c r="C10" i="177" s="1"/>
  <c r="D10" i="177" s="1"/>
  <c r="Z103" i="141"/>
  <c r="C391" i="160"/>
  <c r="E9" i="136"/>
  <c r="AA19" i="141"/>
  <c r="D20" i="136"/>
  <c r="F24" i="136"/>
  <c r="J24" i="136" s="1"/>
  <c r="F16" i="136"/>
  <c r="AB15" i="141"/>
  <c r="D19" i="136"/>
  <c r="G19" i="136" s="1"/>
  <c r="AA18" i="141"/>
  <c r="F20" i="136"/>
  <c r="J20" i="136" s="1"/>
  <c r="AB19" i="141"/>
  <c r="D21" i="136"/>
  <c r="G21" i="136" s="1"/>
  <c r="AA20" i="141"/>
  <c r="F31" i="136"/>
  <c r="J31" i="136" s="1"/>
  <c r="I31" i="136" s="1"/>
  <c r="AB30" i="141"/>
  <c r="AA35" i="141"/>
  <c r="D36" i="136"/>
  <c r="F42" i="136"/>
  <c r="J42" i="136" s="1"/>
  <c r="F56" i="136"/>
  <c r="J56" i="136" s="1"/>
  <c r="I56" i="136" s="1"/>
  <c r="AB55" i="141"/>
  <c r="F57" i="136"/>
  <c r="AB56" i="141"/>
  <c r="E59" i="136"/>
  <c r="AA58" i="141"/>
  <c r="F59" i="136"/>
  <c r="AB58" i="141"/>
  <c r="F66" i="136"/>
  <c r="J66" i="136" s="1"/>
  <c r="F67" i="136"/>
  <c r="J67" i="136" s="1"/>
  <c r="AB66" i="141"/>
  <c r="F70" i="136"/>
  <c r="J70" i="136" s="1"/>
  <c r="AA75" i="141"/>
  <c r="D76" i="136"/>
  <c r="H76" i="136" s="1"/>
  <c r="D87" i="136"/>
  <c r="AA86" i="141"/>
  <c r="F90" i="136"/>
  <c r="AB89" i="141"/>
  <c r="D95" i="136"/>
  <c r="AA94" i="141"/>
  <c r="AB99" i="141"/>
  <c r="D100" i="136"/>
  <c r="AA99" i="141"/>
  <c r="I83" i="160"/>
  <c r="V103" i="141"/>
  <c r="M103" i="141"/>
  <c r="AA10" i="141"/>
  <c r="AA26" i="141"/>
  <c r="F35" i="136"/>
  <c r="J35" i="136" s="1"/>
  <c r="D67" i="136"/>
  <c r="AA66" i="141"/>
  <c r="D82" i="136"/>
  <c r="AA81" i="141"/>
  <c r="F10" i="136"/>
  <c r="AB9" i="141"/>
  <c r="AB11" i="141"/>
  <c r="D12" i="136"/>
  <c r="AA16" i="141"/>
  <c r="D17" i="136"/>
  <c r="D25" i="136"/>
  <c r="AA24" i="141"/>
  <c r="F37" i="136"/>
  <c r="AB36" i="141"/>
  <c r="F47" i="136"/>
  <c r="J47" i="136" s="1"/>
  <c r="F53" i="136"/>
  <c r="J53" i="136" s="1"/>
  <c r="F58" i="136"/>
  <c r="J58" i="136" s="1"/>
  <c r="E62" i="136"/>
  <c r="F79" i="136"/>
  <c r="J79" i="136" s="1"/>
  <c r="F80" i="136"/>
  <c r="J80" i="136" s="1"/>
  <c r="AB79" i="141"/>
  <c r="Y103" i="141"/>
  <c r="I80" i="160"/>
  <c r="I79" i="160"/>
  <c r="I379" i="160"/>
  <c r="AA36" i="141"/>
  <c r="AB20" i="141"/>
  <c r="AA45" i="141"/>
  <c r="AA15" i="141"/>
  <c r="AB67" i="141"/>
  <c r="AA67" i="141"/>
  <c r="F87" i="136"/>
  <c r="J87" i="136" s="1"/>
  <c r="AB86" i="141"/>
  <c r="D91" i="136"/>
  <c r="AA90" i="141"/>
  <c r="F95" i="136"/>
  <c r="J95" i="136" s="1"/>
  <c r="AB94" i="141"/>
  <c r="E10" i="136"/>
  <c r="AA9" i="141"/>
  <c r="F14" i="136"/>
  <c r="J14" i="136" s="1"/>
  <c r="D18" i="136"/>
  <c r="G18" i="136" s="1"/>
  <c r="AA17" i="141"/>
  <c r="AB24" i="141"/>
  <c r="F25" i="136"/>
  <c r="J25" i="136" s="1"/>
  <c r="AB26" i="141"/>
  <c r="F27" i="136"/>
  <c r="J27" i="136" s="1"/>
  <c r="I27" i="136" s="1"/>
  <c r="AB27" i="141"/>
  <c r="AA27" i="141"/>
  <c r="F30" i="136"/>
  <c r="J30" i="136" s="1"/>
  <c r="F32" i="136"/>
  <c r="J32" i="136" s="1"/>
  <c r="I32" i="136" s="1"/>
  <c r="AB31" i="141"/>
  <c r="F33" i="136"/>
  <c r="J33" i="136" s="1"/>
  <c r="F36" i="136"/>
  <c r="J36" i="136" s="1"/>
  <c r="AB35" i="141"/>
  <c r="F50" i="136"/>
  <c r="J50" i="136" s="1"/>
  <c r="F71" i="136"/>
  <c r="J71" i="136" s="1"/>
  <c r="D75" i="136"/>
  <c r="AA74" i="141"/>
  <c r="F75" i="136"/>
  <c r="J75" i="136" s="1"/>
  <c r="AB74" i="141"/>
  <c r="F82" i="136"/>
  <c r="J82" i="136" s="1"/>
  <c r="AB81" i="141"/>
  <c r="F83" i="136"/>
  <c r="J83" i="136" s="1"/>
  <c r="F98" i="136"/>
  <c r="AB97" i="141"/>
  <c r="D80" i="136"/>
  <c r="AA79" i="141"/>
  <c r="AA56" i="141"/>
  <c r="AB90" i="141"/>
  <c r="AB17" i="141"/>
  <c r="H31" i="170"/>
  <c r="H30" i="170" s="1"/>
  <c r="H35" i="170" s="1"/>
  <c r="D101" i="136"/>
  <c r="AB100" i="141"/>
  <c r="AA100" i="141"/>
  <c r="D15" i="136"/>
  <c r="I15" i="136" s="1"/>
  <c r="AA14" i="141"/>
  <c r="Q12" i="141"/>
  <c r="R12" i="141"/>
  <c r="X12" i="141"/>
  <c r="Q68" i="141"/>
  <c r="X68" i="141"/>
  <c r="R68" i="141"/>
  <c r="Q80" i="141"/>
  <c r="X80" i="141"/>
  <c r="J105" i="135"/>
  <c r="H68" i="136"/>
  <c r="B7" i="170"/>
  <c r="D87" i="131"/>
  <c r="D93" i="136"/>
  <c r="AA92" i="141"/>
  <c r="Q40" i="141"/>
  <c r="R40" i="141"/>
  <c r="X40" i="141"/>
  <c r="Q92" i="141"/>
  <c r="R92" i="141"/>
  <c r="H82" i="160"/>
  <c r="H80" i="160" s="1"/>
  <c r="H79" i="160" s="1"/>
  <c r="H83" i="160" s="1"/>
  <c r="I82" i="160"/>
  <c r="E90" i="136"/>
  <c r="AA89" i="141"/>
  <c r="Q43" i="141"/>
  <c r="R43" i="141"/>
  <c r="X43" i="141"/>
  <c r="H99" i="136"/>
  <c r="G99" i="136"/>
  <c r="AB92" i="141"/>
  <c r="AB14" i="141"/>
  <c r="E6" i="160"/>
  <c r="C15" i="160"/>
  <c r="E15" i="160" s="1"/>
  <c r="Q60" i="141"/>
  <c r="R60" i="141"/>
  <c r="X60" i="141"/>
  <c r="X72" i="141"/>
  <c r="R72" i="141"/>
  <c r="Q72" i="141"/>
  <c r="Q76" i="141"/>
  <c r="R76" i="141"/>
  <c r="X76" i="141"/>
  <c r="Q84" i="141"/>
  <c r="X84" i="141"/>
  <c r="R84" i="141"/>
  <c r="X96" i="141"/>
  <c r="Q96" i="141"/>
  <c r="R96" i="141"/>
  <c r="R71" i="141"/>
  <c r="Q71" i="141"/>
  <c r="X71" i="141"/>
  <c r="X87" i="141"/>
  <c r="Q87" i="141"/>
  <c r="R87" i="141"/>
  <c r="Q95" i="141"/>
  <c r="R95" i="141"/>
  <c r="X95" i="141"/>
  <c r="N91" i="131"/>
  <c r="N92" i="131"/>
  <c r="F383" i="160"/>
  <c r="L39" i="167"/>
  <c r="Q40" i="131"/>
  <c r="R44" i="141"/>
  <c r="X44" i="141"/>
  <c r="Q44" i="141"/>
  <c r="Q48" i="141"/>
  <c r="X48" i="141"/>
  <c r="R48" i="141"/>
  <c r="X88" i="141"/>
  <c r="R88" i="141"/>
  <c r="Q88" i="141"/>
  <c r="R7" i="141"/>
  <c r="Q7" i="141"/>
  <c r="N103" i="141"/>
  <c r="R103" i="141" s="1"/>
  <c r="X7" i="141"/>
  <c r="Q47" i="141"/>
  <c r="X47" i="141"/>
  <c r="R47" i="141"/>
  <c r="Q83" i="141"/>
  <c r="R83" i="141"/>
  <c r="X83" i="141"/>
  <c r="R91" i="141"/>
  <c r="X91" i="141"/>
  <c r="Q91" i="141"/>
  <c r="F380" i="160"/>
  <c r="I40" i="167"/>
  <c r="P73" i="131"/>
  <c r="I90" i="131"/>
  <c r="I93" i="131" s="1"/>
  <c r="K96" i="131"/>
  <c r="K102" i="131" s="1"/>
  <c r="K83" i="131"/>
  <c r="E9" i="160"/>
  <c r="C18" i="160"/>
  <c r="K84" i="131"/>
  <c r="F91" i="131"/>
  <c r="H90" i="131"/>
  <c r="H93" i="131" s="1"/>
  <c r="F8" i="178"/>
  <c r="D91" i="131"/>
  <c r="G90" i="131"/>
  <c r="D92" i="131"/>
  <c r="F7" i="170"/>
  <c r="G15" i="160"/>
  <c r="G6" i="160"/>
  <c r="G84" i="131"/>
  <c r="G83" i="131"/>
  <c r="G28" i="136"/>
  <c r="H28" i="136"/>
  <c r="AB63" i="141"/>
  <c r="D64" i="136"/>
  <c r="AA63" i="141"/>
  <c r="D51" i="136"/>
  <c r="AA50" i="141"/>
  <c r="AB50" i="141"/>
  <c r="I23" i="136" l="1"/>
  <c r="AB8" i="141"/>
  <c r="AA8" i="141"/>
  <c r="G9" i="136"/>
  <c r="AB82" i="141"/>
  <c r="AA82" i="141"/>
  <c r="N44" i="77"/>
  <c r="K9" i="170"/>
  <c r="J9" i="170" s="1"/>
  <c r="P85" i="131"/>
  <c r="AA34" i="141"/>
  <c r="O93" i="131"/>
  <c r="O94" i="131"/>
  <c r="G94" i="131"/>
  <c r="P98" i="131"/>
  <c r="M101" i="131"/>
  <c r="D35" i="136"/>
  <c r="I35" i="136" s="1"/>
  <c r="G102" i="136"/>
  <c r="G87" i="131"/>
  <c r="D93" i="131"/>
  <c r="H42" i="77"/>
  <c r="N42" i="77" s="1"/>
  <c r="G44" i="77"/>
  <c r="L38" i="77"/>
  <c r="K7" i="170"/>
  <c r="J7" i="170" s="1"/>
  <c r="E8" i="177"/>
  <c r="I7" i="170"/>
  <c r="E10" i="177"/>
  <c r="I9" i="170"/>
  <c r="K12" i="170"/>
  <c r="J12" i="170" s="1"/>
  <c r="E14" i="170"/>
  <c r="AB93" i="141"/>
  <c r="I12" i="136"/>
  <c r="D58" i="136"/>
  <c r="I58" i="136" s="1"/>
  <c r="G12" i="170"/>
  <c r="E11" i="177"/>
  <c r="F11" i="177" s="1"/>
  <c r="D8" i="172"/>
  <c r="D14" i="172" s="1"/>
  <c r="H9" i="170"/>
  <c r="G9" i="170"/>
  <c r="G7" i="170"/>
  <c r="H7" i="170"/>
  <c r="H12" i="170"/>
  <c r="AA13" i="141"/>
  <c r="D33" i="136"/>
  <c r="I33" i="136" s="1"/>
  <c r="AA51" i="141"/>
  <c r="AA32" i="141"/>
  <c r="AA57" i="141"/>
  <c r="E14" i="178"/>
  <c r="AA93" i="141"/>
  <c r="AA52" i="141"/>
  <c r="AB52" i="141"/>
  <c r="C9" i="178"/>
  <c r="C15" i="178" s="1"/>
  <c r="I50" i="136"/>
  <c r="I102" i="136"/>
  <c r="AB13" i="141"/>
  <c r="I64" i="136"/>
  <c r="I66" i="136"/>
  <c r="I71" i="136"/>
  <c r="I101" i="136"/>
  <c r="I51" i="136"/>
  <c r="I32" i="178"/>
  <c r="H32" i="178"/>
  <c r="H30" i="178" s="1"/>
  <c r="H35" i="178" s="1"/>
  <c r="F30" i="178"/>
  <c r="B7" i="178"/>
  <c r="AA62" i="141"/>
  <c r="C11" i="182"/>
  <c r="C9" i="182"/>
  <c r="B15" i="170"/>
  <c r="C10" i="182"/>
  <c r="E10" i="182"/>
  <c r="E8" i="182"/>
  <c r="E11" i="182"/>
  <c r="I75" i="136"/>
  <c r="I93" i="136"/>
  <c r="I100" i="136"/>
  <c r="AB33" i="141"/>
  <c r="AA23" i="141"/>
  <c r="I36" i="136"/>
  <c r="I47" i="136"/>
  <c r="I20" i="136"/>
  <c r="D52" i="136"/>
  <c r="G52" i="136" s="1"/>
  <c r="I79" i="136"/>
  <c r="AA61" i="141"/>
  <c r="AB61" i="141"/>
  <c r="G62" i="136"/>
  <c r="H63" i="136"/>
  <c r="AB101" i="141"/>
  <c r="AA101" i="141"/>
  <c r="I95" i="136"/>
  <c r="I87" i="136"/>
  <c r="I67" i="136"/>
  <c r="AA39" i="141"/>
  <c r="D40" i="136"/>
  <c r="I40" i="136" s="1"/>
  <c r="D24" i="136"/>
  <c r="I24" i="136" s="1"/>
  <c r="I25" i="136"/>
  <c r="I83" i="136"/>
  <c r="I63" i="136"/>
  <c r="I91" i="136"/>
  <c r="I14" i="136"/>
  <c r="I17" i="136"/>
  <c r="J9" i="136"/>
  <c r="I9" i="136" s="1"/>
  <c r="J62" i="136"/>
  <c r="I62" i="136" s="1"/>
  <c r="I18" i="136"/>
  <c r="I21" i="136"/>
  <c r="I39" i="136"/>
  <c r="I54" i="136"/>
  <c r="I46" i="136"/>
  <c r="I60" i="136"/>
  <c r="I78" i="136"/>
  <c r="I82" i="136"/>
  <c r="I80" i="136"/>
  <c r="I86" i="136"/>
  <c r="I19" i="136"/>
  <c r="I53" i="136"/>
  <c r="I29" i="136"/>
  <c r="I55" i="136"/>
  <c r="I65" i="136"/>
  <c r="I76" i="136"/>
  <c r="H16" i="136"/>
  <c r="J16" i="136"/>
  <c r="I16" i="136" s="1"/>
  <c r="H94" i="136"/>
  <c r="J94" i="136"/>
  <c r="I94" i="136" s="1"/>
  <c r="H10" i="136"/>
  <c r="J10" i="136"/>
  <c r="I10" i="136" s="1"/>
  <c r="H59" i="136"/>
  <c r="J59" i="136"/>
  <c r="I59" i="136" s="1"/>
  <c r="H98" i="136"/>
  <c r="J98" i="136"/>
  <c r="I98" i="136" s="1"/>
  <c r="H90" i="136"/>
  <c r="J90" i="136"/>
  <c r="I90" i="136" s="1"/>
  <c r="H37" i="136"/>
  <c r="J37" i="136"/>
  <c r="I37" i="136" s="1"/>
  <c r="H57" i="136"/>
  <c r="J57" i="136"/>
  <c r="I57" i="136" s="1"/>
  <c r="H11" i="136"/>
  <c r="J11" i="136"/>
  <c r="I11" i="136" s="1"/>
  <c r="F12" i="160"/>
  <c r="F22" i="160" s="1"/>
  <c r="E15" i="170"/>
  <c r="C7" i="172"/>
  <c r="H10" i="172"/>
  <c r="C8" i="172"/>
  <c r="C14" i="172" s="1"/>
  <c r="G11" i="172"/>
  <c r="F10" i="172"/>
  <c r="I10" i="172"/>
  <c r="J10" i="172" s="1"/>
  <c r="C9" i="170"/>
  <c r="C15" i="170" s="1"/>
  <c r="C12" i="170"/>
  <c r="C11" i="172"/>
  <c r="M40" i="77"/>
  <c r="G8" i="172"/>
  <c r="E8" i="172"/>
  <c r="H9" i="172"/>
  <c r="I9" i="172"/>
  <c r="J9" i="172" s="1"/>
  <c r="H9" i="178"/>
  <c r="G9" i="178"/>
  <c r="F15" i="178"/>
  <c r="I9" i="178"/>
  <c r="O92" i="131"/>
  <c r="O91" i="131"/>
  <c r="E13" i="178"/>
  <c r="G6" i="172"/>
  <c r="E6" i="172"/>
  <c r="H8" i="178"/>
  <c r="G8" i="178"/>
  <c r="E11" i="172"/>
  <c r="G12" i="178"/>
  <c r="I12" i="178"/>
  <c r="F14" i="178"/>
  <c r="F13" i="178"/>
  <c r="H12" i="178"/>
  <c r="D15" i="170"/>
  <c r="F15" i="170"/>
  <c r="I15" i="170" s="1"/>
  <c r="N37" i="77"/>
  <c r="AB65" i="141"/>
  <c r="AA65" i="141"/>
  <c r="AA64" i="141"/>
  <c r="AB64" i="141"/>
  <c r="AB62" i="141"/>
  <c r="AA69" i="141"/>
  <c r="D70" i="136"/>
  <c r="I70" i="136" s="1"/>
  <c r="D34" i="136"/>
  <c r="AA53" i="141"/>
  <c r="AB53" i="141"/>
  <c r="AA49" i="141"/>
  <c r="D38" i="136"/>
  <c r="H38" i="136" s="1"/>
  <c r="D103" i="136"/>
  <c r="G103" i="136" s="1"/>
  <c r="AB78" i="141"/>
  <c r="D26" i="136"/>
  <c r="AA102" i="141"/>
  <c r="AB49" i="141"/>
  <c r="D42" i="136"/>
  <c r="G42" i="136" s="1"/>
  <c r="AB41" i="141"/>
  <c r="AB70" i="141"/>
  <c r="AA70" i="141"/>
  <c r="G380" i="160"/>
  <c r="G378" i="160" s="1"/>
  <c r="I382" i="160"/>
  <c r="L35" i="167"/>
  <c r="L40" i="167"/>
  <c r="G46" i="136"/>
  <c r="AB85" i="141"/>
  <c r="K44" i="77"/>
  <c r="H71" i="136"/>
  <c r="AA78" i="141"/>
  <c r="G86" i="136"/>
  <c r="D74" i="136"/>
  <c r="F21" i="160"/>
  <c r="H29" i="136"/>
  <c r="D43" i="136"/>
  <c r="AB42" i="141"/>
  <c r="E13" i="170"/>
  <c r="AB73" i="141"/>
  <c r="G55" i="136"/>
  <c r="AB25" i="141"/>
  <c r="AA77" i="141"/>
  <c r="AA29" i="141"/>
  <c r="H60" i="136"/>
  <c r="M105" i="135"/>
  <c r="G391" i="160"/>
  <c r="G67" i="136"/>
  <c r="AA37" i="141"/>
  <c r="G11" i="136"/>
  <c r="D22" i="136"/>
  <c r="G65" i="136"/>
  <c r="AA85" i="141"/>
  <c r="G78" i="136"/>
  <c r="AB77" i="141"/>
  <c r="AB28" i="141"/>
  <c r="AA28" i="141"/>
  <c r="D30" i="136"/>
  <c r="H30" i="136" s="1"/>
  <c r="H21" i="136"/>
  <c r="AA21" i="141"/>
  <c r="G94" i="136"/>
  <c r="G90" i="136"/>
  <c r="D44" i="147"/>
  <c r="H391" i="160"/>
  <c r="AA38" i="141"/>
  <c r="G76" i="136"/>
  <c r="F391" i="160"/>
  <c r="AB38" i="141"/>
  <c r="G39" i="136"/>
  <c r="G16" i="136"/>
  <c r="H53" i="136"/>
  <c r="H11" i="160"/>
  <c r="H36" i="136"/>
  <c r="H15" i="160"/>
  <c r="F378" i="160"/>
  <c r="F384" i="160" s="1"/>
  <c r="AA46" i="141"/>
  <c r="H47" i="136"/>
  <c r="AB46" i="141"/>
  <c r="H25" i="136"/>
  <c r="H83" i="136"/>
  <c r="G75" i="136"/>
  <c r="G50" i="136"/>
  <c r="G47" i="136"/>
  <c r="H82" i="136"/>
  <c r="H14" i="136"/>
  <c r="H20" i="136"/>
  <c r="H66" i="136"/>
  <c r="I20" i="160"/>
  <c r="H20" i="160"/>
  <c r="Q103" i="141"/>
  <c r="X103" i="141"/>
  <c r="AB103" i="141" s="1"/>
  <c r="H80" i="136"/>
  <c r="G95" i="136"/>
  <c r="G87" i="136"/>
  <c r="H32" i="136"/>
  <c r="G32" i="136"/>
  <c r="H91" i="136"/>
  <c r="G91" i="136"/>
  <c r="H17" i="136"/>
  <c r="G17" i="136"/>
  <c r="G98" i="136"/>
  <c r="E104" i="136"/>
  <c r="G10" i="136"/>
  <c r="H18" i="136"/>
  <c r="H19" i="136"/>
  <c r="G20" i="136"/>
  <c r="G71" i="136"/>
  <c r="H27" i="136"/>
  <c r="G27" i="136"/>
  <c r="H79" i="136"/>
  <c r="G79" i="136"/>
  <c r="H56" i="136"/>
  <c r="G56" i="136"/>
  <c r="H31" i="136"/>
  <c r="G31" i="136"/>
  <c r="F104" i="136"/>
  <c r="G80" i="136"/>
  <c r="H75" i="136"/>
  <c r="H50" i="136"/>
  <c r="G14" i="136"/>
  <c r="G82" i="136"/>
  <c r="G57" i="136"/>
  <c r="H67" i="136"/>
  <c r="G66" i="136"/>
  <c r="G59" i="136"/>
  <c r="G53" i="136"/>
  <c r="G12" i="136"/>
  <c r="H12" i="136"/>
  <c r="H100" i="136"/>
  <c r="G100" i="136"/>
  <c r="G25" i="136"/>
  <c r="G37" i="136"/>
  <c r="G83" i="136"/>
  <c r="H95" i="136"/>
  <c r="H87" i="136"/>
  <c r="H54" i="136"/>
  <c r="G36" i="136"/>
  <c r="AA91" i="141"/>
  <c r="AB91" i="141"/>
  <c r="D92" i="136"/>
  <c r="I92" i="136" s="1"/>
  <c r="Q41" i="131"/>
  <c r="Q49" i="131" s="1"/>
  <c r="AB95" i="141"/>
  <c r="D96" i="136"/>
  <c r="I96" i="136" s="1"/>
  <c r="AA95" i="141"/>
  <c r="D44" i="136"/>
  <c r="I44" i="136" s="1"/>
  <c r="AA43" i="141"/>
  <c r="AB43" i="141"/>
  <c r="D8" i="136"/>
  <c r="I8" i="136" s="1"/>
  <c r="AB7" i="141"/>
  <c r="AA7" i="141"/>
  <c r="AB48" i="141"/>
  <c r="D49" i="136"/>
  <c r="I49" i="136" s="1"/>
  <c r="AA48" i="141"/>
  <c r="D85" i="136"/>
  <c r="I85" i="136" s="1"/>
  <c r="AB84" i="141"/>
  <c r="AA84" i="141"/>
  <c r="AB60" i="141"/>
  <c r="AA60" i="141"/>
  <c r="D61" i="136"/>
  <c r="I61" i="136" s="1"/>
  <c r="D13" i="136"/>
  <c r="I13" i="136" s="1"/>
  <c r="AA12" i="141"/>
  <c r="AB12" i="141"/>
  <c r="G15" i="136"/>
  <c r="H15" i="136"/>
  <c r="AA83" i="141"/>
  <c r="D84" i="136"/>
  <c r="I84" i="136" s="1"/>
  <c r="AB83" i="141"/>
  <c r="AA47" i="141"/>
  <c r="AB47" i="141"/>
  <c r="D48" i="136"/>
  <c r="I48" i="136" s="1"/>
  <c r="AA44" i="141"/>
  <c r="AB44" i="141"/>
  <c r="D45" i="136"/>
  <c r="I45" i="136" s="1"/>
  <c r="H383" i="160"/>
  <c r="H378" i="160" s="1"/>
  <c r="H384" i="160" s="1"/>
  <c r="I383" i="160"/>
  <c r="D72" i="136"/>
  <c r="I72" i="136" s="1"/>
  <c r="AA71" i="141"/>
  <c r="AB71" i="141"/>
  <c r="AA72" i="141"/>
  <c r="D73" i="136"/>
  <c r="I73" i="136" s="1"/>
  <c r="AB72" i="141"/>
  <c r="C6" i="160"/>
  <c r="D81" i="136"/>
  <c r="I81" i="136" s="1"/>
  <c r="AB80" i="141"/>
  <c r="AA80" i="141"/>
  <c r="G101" i="136"/>
  <c r="H101" i="136"/>
  <c r="D89" i="136"/>
  <c r="I89" i="136" s="1"/>
  <c r="AA88" i="141"/>
  <c r="AB88" i="141"/>
  <c r="D88" i="136"/>
  <c r="I88" i="136" s="1"/>
  <c r="AB87" i="141"/>
  <c r="AA87" i="141"/>
  <c r="AB96" i="141"/>
  <c r="D97" i="136"/>
  <c r="I97" i="136" s="1"/>
  <c r="AA96" i="141"/>
  <c r="AB76" i="141"/>
  <c r="D77" i="136"/>
  <c r="I77" i="136" s="1"/>
  <c r="AA76" i="141"/>
  <c r="D41" i="136"/>
  <c r="I41" i="136" s="1"/>
  <c r="AB40" i="141"/>
  <c r="AA40" i="141"/>
  <c r="H93" i="136"/>
  <c r="G93" i="136"/>
  <c r="AB68" i="141"/>
  <c r="D69" i="136"/>
  <c r="I69" i="136" s="1"/>
  <c r="AA68" i="141"/>
  <c r="K99" i="131"/>
  <c r="K115" i="131"/>
  <c r="K100" i="131"/>
  <c r="M96" i="131"/>
  <c r="M102" i="131" s="1"/>
  <c r="E18" i="160"/>
  <c r="C17" i="160"/>
  <c r="M83" i="131"/>
  <c r="M84" i="131"/>
  <c r="E8" i="160"/>
  <c r="H9" i="160"/>
  <c r="H8" i="160" s="1"/>
  <c r="H23" i="160" s="1"/>
  <c r="D9" i="160"/>
  <c r="D8" i="160" s="1"/>
  <c r="J90" i="131"/>
  <c r="G7" i="160"/>
  <c r="G12" i="160" s="1"/>
  <c r="F8" i="170"/>
  <c r="G16" i="160"/>
  <c r="G21" i="160" s="1"/>
  <c r="I6" i="160"/>
  <c r="H6" i="160"/>
  <c r="G92" i="131"/>
  <c r="G91" i="131"/>
  <c r="I15" i="160"/>
  <c r="H64" i="136"/>
  <c r="G64" i="136"/>
  <c r="G51" i="136"/>
  <c r="H51" i="136"/>
  <c r="H35" i="136" l="1"/>
  <c r="G35" i="136"/>
  <c r="G33" i="136"/>
  <c r="H33" i="136"/>
  <c r="P101" i="131"/>
  <c r="P90" i="131"/>
  <c r="J93" i="131"/>
  <c r="H58" i="136"/>
  <c r="G58" i="136"/>
  <c r="P87" i="131"/>
  <c r="G93" i="131"/>
  <c r="J44" i="77"/>
  <c r="M44" i="77" s="1"/>
  <c r="L44" i="77"/>
  <c r="E9" i="177"/>
  <c r="I8" i="170"/>
  <c r="K15" i="170"/>
  <c r="J15" i="170" s="1"/>
  <c r="K8" i="170"/>
  <c r="J8" i="170" s="1"/>
  <c r="J20" i="170"/>
  <c r="H40" i="136"/>
  <c r="G15" i="170"/>
  <c r="H15" i="170"/>
  <c r="G40" i="136"/>
  <c r="F8" i="177"/>
  <c r="J41" i="77"/>
  <c r="J39" i="77"/>
  <c r="F10" i="182"/>
  <c r="D9" i="182"/>
  <c r="B13" i="178"/>
  <c r="B14" i="178"/>
  <c r="H14" i="178" s="1"/>
  <c r="H7" i="178"/>
  <c r="H13" i="178" s="1"/>
  <c r="G7" i="178"/>
  <c r="G13" i="178" s="1"/>
  <c r="C7" i="178"/>
  <c r="I30" i="178"/>
  <c r="F35" i="178"/>
  <c r="D11" i="182"/>
  <c r="D10" i="182"/>
  <c r="C8" i="182"/>
  <c r="C12" i="182" s="1"/>
  <c r="E9" i="182"/>
  <c r="F9" i="182" s="1"/>
  <c r="F11" i="182"/>
  <c r="H52" i="136"/>
  <c r="H24" i="136"/>
  <c r="G24" i="136"/>
  <c r="G70" i="136"/>
  <c r="H70" i="136"/>
  <c r="I52" i="136"/>
  <c r="I103" i="136"/>
  <c r="I42" i="136"/>
  <c r="J104" i="136"/>
  <c r="G43" i="136"/>
  <c r="I43" i="136"/>
  <c r="H34" i="136"/>
  <c r="I34" i="136"/>
  <c r="G38" i="136"/>
  <c r="I38" i="136"/>
  <c r="H22" i="136"/>
  <c r="I22" i="136"/>
  <c r="G74" i="136"/>
  <c r="I74" i="136"/>
  <c r="I30" i="136"/>
  <c r="H26" i="136"/>
  <c r="I26" i="136"/>
  <c r="F10" i="177"/>
  <c r="E7" i="172"/>
  <c r="F7" i="172" s="1"/>
  <c r="H11" i="172"/>
  <c r="I11" i="172"/>
  <c r="J11" i="172" s="1"/>
  <c r="C7" i="170"/>
  <c r="C6" i="172"/>
  <c r="C13" i="172" s="1"/>
  <c r="G15" i="178"/>
  <c r="H15" i="178"/>
  <c r="I15" i="178"/>
  <c r="H20" i="178" s="1"/>
  <c r="G14" i="172"/>
  <c r="H8" i="172"/>
  <c r="H14" i="172" s="1"/>
  <c r="I8" i="172"/>
  <c r="E14" i="172"/>
  <c r="F14" i="172" s="1"/>
  <c r="F8" i="172"/>
  <c r="G7" i="172"/>
  <c r="F11" i="172"/>
  <c r="F14" i="170"/>
  <c r="K14" i="170" s="1"/>
  <c r="G26" i="136"/>
  <c r="G34" i="136"/>
  <c r="H42" i="136"/>
  <c r="H103" i="136"/>
  <c r="G30" i="136"/>
  <c r="I380" i="160"/>
  <c r="H74" i="136"/>
  <c r="H43" i="136"/>
  <c r="G22" i="136"/>
  <c r="P74" i="131"/>
  <c r="P77" i="131" s="1"/>
  <c r="AA103" i="141"/>
  <c r="H73" i="136"/>
  <c r="G73" i="136"/>
  <c r="H72" i="136"/>
  <c r="G72" i="136"/>
  <c r="G61" i="136"/>
  <c r="H61" i="136"/>
  <c r="G44" i="136"/>
  <c r="H44" i="136"/>
  <c r="G92" i="136"/>
  <c r="H92" i="136"/>
  <c r="G69" i="136"/>
  <c r="H69" i="136"/>
  <c r="H77" i="136"/>
  <c r="G77" i="136"/>
  <c r="H81" i="136"/>
  <c r="G81" i="136"/>
  <c r="B14" i="170"/>
  <c r="B13" i="170"/>
  <c r="G45" i="136"/>
  <c r="H45" i="136"/>
  <c r="H13" i="136"/>
  <c r="G13" i="136"/>
  <c r="G97" i="136"/>
  <c r="H97" i="136"/>
  <c r="G88" i="136"/>
  <c r="H88" i="136"/>
  <c r="D6" i="160"/>
  <c r="C12" i="160"/>
  <c r="C22" i="160" s="1"/>
  <c r="H48" i="136"/>
  <c r="G48" i="136"/>
  <c r="G84" i="136"/>
  <c r="H84" i="136"/>
  <c r="G96" i="136"/>
  <c r="H96" i="136"/>
  <c r="D104" i="136"/>
  <c r="G41" i="136"/>
  <c r="H41" i="136"/>
  <c r="H89" i="136"/>
  <c r="G89" i="136"/>
  <c r="I378" i="160"/>
  <c r="G384" i="160"/>
  <c r="I384" i="160" s="1"/>
  <c r="H85" i="136"/>
  <c r="G85" i="136"/>
  <c r="G49" i="136"/>
  <c r="H49" i="136"/>
  <c r="H8" i="136"/>
  <c r="G8" i="136"/>
  <c r="D23" i="160"/>
  <c r="H18" i="160"/>
  <c r="H17" i="160" s="1"/>
  <c r="E17" i="160"/>
  <c r="I18" i="160"/>
  <c r="M100" i="131"/>
  <c r="P96" i="131"/>
  <c r="P102" i="131" s="1"/>
  <c r="M115" i="131"/>
  <c r="M99" i="131"/>
  <c r="E23" i="160"/>
  <c r="I23" i="160" s="1"/>
  <c r="I28" i="160" s="1"/>
  <c r="I8" i="160"/>
  <c r="C40" i="160"/>
  <c r="E19" i="147"/>
  <c r="E44" i="147" s="1"/>
  <c r="E45" i="147" s="1"/>
  <c r="F13" i="170"/>
  <c r="I13" i="170" s="1"/>
  <c r="G22" i="160"/>
  <c r="P93" i="131" l="1"/>
  <c r="J14" i="170"/>
  <c r="G14" i="178"/>
  <c r="L37" i="77"/>
  <c r="M37" i="77"/>
  <c r="M38" i="77"/>
  <c r="K13" i="170"/>
  <c r="J13" i="170" s="1"/>
  <c r="I14" i="170"/>
  <c r="J43" i="77"/>
  <c r="E12" i="182"/>
  <c r="F12" i="182" s="1"/>
  <c r="D8" i="182"/>
  <c r="F8" i="182"/>
  <c r="H104" i="136"/>
  <c r="I104" i="136"/>
  <c r="E13" i="172"/>
  <c r="F13" i="172" s="1"/>
  <c r="E12" i="172"/>
  <c r="C12" i="172"/>
  <c r="H6" i="172"/>
  <c r="I6" i="172"/>
  <c r="J6" i="172" s="1"/>
  <c r="F6" i="172"/>
  <c r="J8" i="172"/>
  <c r="I14" i="172"/>
  <c r="J14" i="172" s="1"/>
  <c r="I7" i="172"/>
  <c r="G13" i="172"/>
  <c r="H7" i="172"/>
  <c r="G12" i="172"/>
  <c r="E12" i="177"/>
  <c r="G104" i="136"/>
  <c r="E40" i="160"/>
  <c r="H40" i="160"/>
  <c r="G40" i="160"/>
  <c r="F40" i="160"/>
  <c r="P99" i="131"/>
  <c r="P100" i="131"/>
  <c r="I17" i="160"/>
  <c r="E20" i="147"/>
  <c r="E26" i="147" s="1"/>
  <c r="J42" i="77" l="1"/>
  <c r="D12" i="182"/>
  <c r="H13" i="172"/>
  <c r="F12" i="172"/>
  <c r="J7" i="172"/>
  <c r="I13" i="172"/>
  <c r="J13" i="172" s="1"/>
  <c r="I12" i="172"/>
  <c r="J12" i="172" s="1"/>
  <c r="H12" i="172"/>
  <c r="H72" i="131"/>
  <c r="H78" i="131" s="1"/>
  <c r="H75" i="131" l="1"/>
  <c r="J76" i="131"/>
  <c r="P72" i="131"/>
  <c r="P78" i="131" s="1"/>
  <c r="J75" i="131"/>
  <c r="H76" i="131"/>
  <c r="P76" i="131" l="1"/>
  <c r="P75" i="131"/>
  <c r="Q56" i="131"/>
  <c r="Q57" i="131" l="1"/>
  <c r="Q65" i="131" s="1"/>
  <c r="H84" i="131" l="1"/>
  <c r="H88" i="131" l="1"/>
  <c r="H94" i="131" s="1"/>
  <c r="H83" i="131"/>
  <c r="H91" i="131" l="1"/>
  <c r="H92" i="131"/>
  <c r="I84" i="131"/>
  <c r="I83" i="131" l="1"/>
  <c r="Q24" i="131"/>
  <c r="I88" i="131"/>
  <c r="I94" i="131" s="1"/>
  <c r="B30" i="131"/>
  <c r="P84" i="131" l="1"/>
  <c r="E7" i="160"/>
  <c r="D7" i="160" s="1"/>
  <c r="D12" i="160" s="1"/>
  <c r="D22" i="160" s="1"/>
  <c r="C16" i="160"/>
  <c r="C21" i="160" s="1"/>
  <c r="D8" i="170"/>
  <c r="C9" i="177" s="1"/>
  <c r="J84" i="131"/>
  <c r="J83" i="131"/>
  <c r="D8" i="178"/>
  <c r="C8" i="178" s="1"/>
  <c r="J88" i="131"/>
  <c r="J94" i="131" s="1"/>
  <c r="I92" i="131"/>
  <c r="I91" i="131"/>
  <c r="R80" i="131"/>
  <c r="E12" i="160" l="1"/>
  <c r="H7" i="160"/>
  <c r="H12" i="160" s="1"/>
  <c r="H22" i="160" s="1"/>
  <c r="I7" i="160"/>
  <c r="C38" i="160"/>
  <c r="G38" i="160" s="1"/>
  <c r="P83" i="131"/>
  <c r="B19" i="147"/>
  <c r="B20" i="147" s="1"/>
  <c r="B26" i="147" s="1"/>
  <c r="D13" i="170"/>
  <c r="D14" i="170"/>
  <c r="G14" i="170" s="1"/>
  <c r="D7" i="172"/>
  <c r="D13" i="172" s="1"/>
  <c r="E16" i="160"/>
  <c r="I16" i="160" s="1"/>
  <c r="D9" i="177"/>
  <c r="D12" i="177" s="1"/>
  <c r="C12" i="177"/>
  <c r="F12" i="177" s="1"/>
  <c r="F9" i="177"/>
  <c r="C8" i="170"/>
  <c r="H8" i="170"/>
  <c r="G8" i="170"/>
  <c r="D14" i="178"/>
  <c r="I14" i="178" s="1"/>
  <c r="H19" i="178" s="1"/>
  <c r="D13" i="178"/>
  <c r="I13" i="178" s="1"/>
  <c r="H18" i="178" s="1"/>
  <c r="I8" i="178"/>
  <c r="H38" i="160"/>
  <c r="E38" i="160"/>
  <c r="F38" i="160"/>
  <c r="J92" i="131"/>
  <c r="P88" i="131"/>
  <c r="P94" i="131" s="1"/>
  <c r="J91" i="131"/>
  <c r="I12" i="160"/>
  <c r="I26" i="160" s="1"/>
  <c r="E22" i="160"/>
  <c r="I22" i="160" s="1"/>
  <c r="I27" i="160" s="1"/>
  <c r="C36" i="160"/>
  <c r="C13" i="178"/>
  <c r="C14" i="178"/>
  <c r="B44" i="147" l="1"/>
  <c r="B45" i="147" s="1"/>
  <c r="F19" i="147"/>
  <c r="F20" i="147" s="1"/>
  <c r="F26" i="147" s="1"/>
  <c r="J18" i="170"/>
  <c r="N14" i="170"/>
  <c r="H14" i="170"/>
  <c r="H13" i="170"/>
  <c r="G13" i="170"/>
  <c r="D12" i="172"/>
  <c r="J19" i="170"/>
  <c r="H16" i="160"/>
  <c r="H21" i="160" s="1"/>
  <c r="E21" i="160"/>
  <c r="I21" i="160" s="1"/>
  <c r="C14" i="170"/>
  <c r="C13" i="170"/>
  <c r="P92" i="131"/>
  <c r="P91" i="131"/>
  <c r="G36" i="160"/>
  <c r="H36" i="160"/>
  <c r="E36" i="160"/>
  <c r="F36" i="160"/>
  <c r="I47" i="170" l="1"/>
  <c r="I44" i="170"/>
</calcChain>
</file>

<file path=xl/sharedStrings.xml><?xml version="1.0" encoding="utf-8"?>
<sst xmlns="http://schemas.openxmlformats.org/spreadsheetml/2006/main" count="4678" uniqueCount="1087">
  <si>
    <t>ลำดับ</t>
  </si>
  <si>
    <t>หน่วยงาน</t>
  </si>
  <si>
    <t>(บาท)</t>
  </si>
  <si>
    <t>รวมงบประมาณ</t>
  </si>
  <si>
    <t>เงินเดือน</t>
  </si>
  <si>
    <t>ค่าจ้างประจำ</t>
  </si>
  <si>
    <t>ค่าตอบแทน</t>
  </si>
  <si>
    <t>พนักงานราชการ</t>
  </si>
  <si>
    <t>ใช้สอยและวัสดุ</t>
  </si>
  <si>
    <t>สาธารณูปโภค</t>
  </si>
  <si>
    <t>รวม</t>
  </si>
  <si>
    <t>ครุภัณฑ์</t>
  </si>
  <si>
    <t>ที่ดิน สิ่งก่อสร้าง</t>
  </si>
  <si>
    <t>งบบุคลากร</t>
  </si>
  <si>
    <t>งบดำเนินงาน</t>
  </si>
  <si>
    <t>งบลงทุน</t>
  </si>
  <si>
    <t>งบรายจ่ายอื่น</t>
  </si>
  <si>
    <t>เบิกจ่าย</t>
  </si>
  <si>
    <t>บ้านกรุณา</t>
  </si>
  <si>
    <t>ปทุมธานี</t>
  </si>
  <si>
    <t>อยุธยา</t>
  </si>
  <si>
    <t>ชลบุรี</t>
  </si>
  <si>
    <t>ระยอง</t>
  </si>
  <si>
    <t>นครราชสีมา</t>
  </si>
  <si>
    <t>บุรีรัมย์</t>
  </si>
  <si>
    <t>สุรินทร์</t>
  </si>
  <si>
    <t>อุบลราชธานี</t>
  </si>
  <si>
    <t>อำนาจเจริญ</t>
  </si>
  <si>
    <t>ขอนแก่น</t>
  </si>
  <si>
    <t>ร้อยเอ็ด</t>
  </si>
  <si>
    <t>นครพนม</t>
  </si>
  <si>
    <t>เชียงใหม่</t>
  </si>
  <si>
    <t>ลำปาง</t>
  </si>
  <si>
    <t>นครสวรรค์</t>
  </si>
  <si>
    <t>สุโขทัย</t>
  </si>
  <si>
    <t>พิษณุโลก</t>
  </si>
  <si>
    <t>ราชบุรี</t>
  </si>
  <si>
    <t>กาญจนบุรี</t>
  </si>
  <si>
    <t>สุพรรณบุรี</t>
  </si>
  <si>
    <t>สตูล</t>
  </si>
  <si>
    <t>ยะลา</t>
  </si>
  <si>
    <t>ชัยภูมิ</t>
  </si>
  <si>
    <t>กำแพงเพชร</t>
  </si>
  <si>
    <t>ลพบุรี</t>
  </si>
  <si>
    <t>เชียงราย</t>
  </si>
  <si>
    <t>เลย</t>
  </si>
  <si>
    <t>สกลนคร</t>
  </si>
  <si>
    <t>น่าน</t>
  </si>
  <si>
    <t>สมุทรสงคราม</t>
  </si>
  <si>
    <t>กระบี่</t>
  </si>
  <si>
    <t>พัทลุง</t>
  </si>
  <si>
    <t>ปราจีนบุรี</t>
  </si>
  <si>
    <t>พะเยา</t>
  </si>
  <si>
    <t>แม่ฮ่องสอน</t>
  </si>
  <si>
    <t>ระนอง</t>
  </si>
  <si>
    <t>ชุมพร</t>
  </si>
  <si>
    <t>แผนงบประมาณ/ผลผลิต/รายการ</t>
  </si>
  <si>
    <t>กรมพินิจและคุ้มครองเด็กและเยาวชน   กระทรวงยุติธรรม</t>
  </si>
  <si>
    <t>รายการ</t>
  </si>
  <si>
    <t>งบประมาณที่ได้รับ</t>
  </si>
  <si>
    <t>คงเหลือ</t>
  </si>
  <si>
    <t>การเบิกจ่าย</t>
  </si>
  <si>
    <t xml:space="preserve">คงเหลือ </t>
  </si>
  <si>
    <t>หนองคาย</t>
  </si>
  <si>
    <t>งบรายจ่ายประจำ</t>
  </si>
  <si>
    <t xml:space="preserve"> งบลงทุน</t>
  </si>
  <si>
    <t>คิดเป็นร้อยละ</t>
  </si>
  <si>
    <t>ได้รับจัดสรร</t>
  </si>
  <si>
    <t>งบอุดหนุน</t>
  </si>
  <si>
    <t xml:space="preserve">                         ไตรมาส  ที่  2</t>
  </si>
  <si>
    <t xml:space="preserve">                         ไตรมาส  ที่  3</t>
  </si>
  <si>
    <t xml:space="preserve">                         ไตรมาส  ที่  4</t>
  </si>
  <si>
    <t>(หักยอดเบิกจ่าย)</t>
  </si>
  <si>
    <t>บ้านปรานี</t>
  </si>
  <si>
    <t xml:space="preserve">                           ไตรมาส  ที่  1</t>
  </si>
  <si>
    <t>รวมทั้งสิ้น</t>
  </si>
  <si>
    <t>บ้านมุทิตา</t>
  </si>
  <si>
    <t>ใบสั่งซื้อ/สั่งจ้าง (PO)</t>
  </si>
  <si>
    <t>คงเหลือจากเบิกจ่าย</t>
  </si>
  <si>
    <t>Po</t>
  </si>
  <si>
    <t>คงเหลือจากใบ PO+ เบิกจ่าย</t>
  </si>
  <si>
    <t>ร้อยละ     20.00</t>
  </si>
  <si>
    <t>กรมพินิจและคุ้มครองเด็กและเยาวชน</t>
  </si>
  <si>
    <t>ร้อยละ</t>
  </si>
  <si>
    <t>รวมที่ดินและสิ่งก่อสร้าง</t>
  </si>
  <si>
    <t>ร้อยละ     93.00</t>
  </si>
  <si>
    <t>ร้อยละ     10.00</t>
  </si>
  <si>
    <t>ร้อยละ     72.00</t>
  </si>
  <si>
    <t>(2)</t>
  </si>
  <si>
    <t>บึงกาฬ</t>
  </si>
  <si>
    <t>ร้อยละ     42.00</t>
  </si>
  <si>
    <t>ร้อยละ     67.00</t>
  </si>
  <si>
    <t>ตั้งแต่วันที่ 1 ตุลาคม 2554 - วันที่ 31 ธันวาคม 2554</t>
  </si>
  <si>
    <t>ตั้งแต่วันที่ 1 มกราคม 2555 - วันที่ 31 มีนาคม 2555</t>
  </si>
  <si>
    <t>ตั้งแต่วันที่ 1 เมษายน 2555 - วันที่ 30 มิถุนายน 2555</t>
  </si>
  <si>
    <t>ตั้งแต่วันที่ 1 กรกฎาคม 2555 - วันที่ 30 กันยายน 2555</t>
  </si>
  <si>
    <t>ร้อยละ     23.00</t>
  </si>
  <si>
    <t>ร้อยละ     43.00</t>
  </si>
  <si>
    <t>***</t>
  </si>
  <si>
    <t xml:space="preserve">เงินกันไว้เบิกเหลื่อมปี พ.ศ. 2556  เป็นเงินจำนวน 121,520,316.68  บาท แต่มี Po ที่มีมูลค่าต่ำกว่า 10,815.56.- บาท ที่งบประมาณพับไป ในระบบ GFMIS จึงทำให้ยอดเงินกันฯ แสดงในรายงานนี้เป็นเงินจำนวน 121,531,132.24 บาท  </t>
  </si>
  <si>
    <t>ร้อยละของงบประมาณ</t>
  </si>
  <si>
    <t>ร้อยละของเงินประจำงวด</t>
  </si>
  <si>
    <t>(หักเบิกจ่าย+ใบ PO)</t>
  </si>
  <si>
    <t>(4)</t>
  </si>
  <si>
    <t>รวมงบลงทุนทั้งสิ้น</t>
  </si>
  <si>
    <t>เลขที่เอกสาร</t>
  </si>
  <si>
    <t>สิรินธร</t>
  </si>
  <si>
    <t>งบปีผูกพัน</t>
  </si>
  <si>
    <t>งบปีเดียว</t>
  </si>
  <si>
    <t>ใบสั่งซื้อสั่งจ้าง (PO)</t>
  </si>
  <si>
    <t>เบิกจ่ายแล้ว</t>
  </si>
  <si>
    <t>ของการเบิกจ่าย</t>
  </si>
  <si>
    <t>ส่วนกลาง</t>
  </si>
  <si>
    <t>สพ.</t>
  </si>
  <si>
    <t>กรุงเทพ</t>
  </si>
  <si>
    <t>ศฝ.</t>
  </si>
  <si>
    <t>บ้านอุเบกขา</t>
  </si>
  <si>
    <t>เขต 1 ระยอง</t>
  </si>
  <si>
    <t>เขต 2 ราชบุรี</t>
  </si>
  <si>
    <t>เขต 3 นครราชสีมา</t>
  </si>
  <si>
    <t>เขต 4 ขอนแก่น</t>
  </si>
  <si>
    <t>เขต 5 อุบลราชธานี</t>
  </si>
  <si>
    <t>เขต 6 นครสวรรค์</t>
  </si>
  <si>
    <t>เขต 7 เชียงใหม่</t>
  </si>
  <si>
    <t>เขต 8 สุราษฎร์ธานี</t>
  </si>
  <si>
    <t>เขต 9 สงขลา</t>
  </si>
  <si>
    <t>สมุทรปราการ</t>
  </si>
  <si>
    <t>นนทบุรี</t>
  </si>
  <si>
    <t>อ่างทอง</t>
  </si>
  <si>
    <t>สิงห์บุรี</t>
  </si>
  <si>
    <t>สระบุรี</t>
  </si>
  <si>
    <t>จันทบุรี</t>
  </si>
  <si>
    <t>ฉะเชิงเทรา</t>
  </si>
  <si>
    <t>อุดรธานี</t>
  </si>
  <si>
    <t>ลำพูน</t>
  </si>
  <si>
    <t>เพชรบูรณ์</t>
  </si>
  <si>
    <t>นครปฐม</t>
  </si>
  <si>
    <t>สมุทรสาคร</t>
  </si>
  <si>
    <t>เพชรบุรี</t>
  </si>
  <si>
    <t>นครศรีธรรมราช</t>
  </si>
  <si>
    <t>ภูเก็ต</t>
  </si>
  <si>
    <t>สุราษฎร์ธานี</t>
  </si>
  <si>
    <t>สงขลา</t>
  </si>
  <si>
    <t>ตรัง</t>
  </si>
  <si>
    <t>ปัตตานี</t>
  </si>
  <si>
    <t>นราธิวาส</t>
  </si>
  <si>
    <t>หนองบัวลำภู</t>
  </si>
  <si>
    <t>ตราด</t>
  </si>
  <si>
    <t>แพร่</t>
  </si>
  <si>
    <t>สระแก้ว</t>
  </si>
  <si>
    <t>กาฬสินธุ์</t>
  </si>
  <si>
    <t>มุกดาหาร</t>
  </si>
  <si>
    <t>อุตรดิตถ์</t>
  </si>
  <si>
    <t>อุทัยธานี</t>
  </si>
  <si>
    <t>ประจวบคีรีขันธุ์</t>
  </si>
  <si>
    <t>ชัยนาท</t>
  </si>
  <si>
    <t>นครนายก</t>
  </si>
  <si>
    <t>ยโสธร</t>
  </si>
  <si>
    <t>มหาสารคาม</t>
  </si>
  <si>
    <t>ตาก</t>
  </si>
  <si>
    <t>พิจิตร</t>
  </si>
  <si>
    <t>พังงา</t>
  </si>
  <si>
    <t>บ้านบึง</t>
  </si>
  <si>
    <t>บ้านกาญจนภิเษก</t>
  </si>
  <si>
    <t>กรมพินิจ ฯ  ภาพรวม</t>
  </si>
  <si>
    <t>หมายเหตุ</t>
  </si>
  <si>
    <t>ใบสั่งซื้อสั่งจ้าง</t>
  </si>
  <si>
    <t>ที่ดินและสิ่งก่อสร้าง</t>
  </si>
  <si>
    <t>ลำ</t>
  </si>
  <si>
    <t>ดับ</t>
  </si>
  <si>
    <t>ของยอดเบิกจ่าย</t>
  </si>
  <si>
    <t>ไตรมาส 1</t>
  </si>
  <si>
    <t>ไตรมาส 2</t>
  </si>
  <si>
    <t>ไตรมาส 3</t>
  </si>
  <si>
    <t>ไตรมาส 4</t>
  </si>
  <si>
    <t>1. สำนักงานปลัดกระทรวงยุติธรรม</t>
  </si>
  <si>
    <t>2. กรมคุ้มครองสิทธิและเสรีภาพ</t>
  </si>
  <si>
    <t>งบรายจ่าย</t>
  </si>
  <si>
    <t>ประเภทเอกสาร</t>
  </si>
  <si>
    <t>รหัสงบประมาณ</t>
  </si>
  <si>
    <t>จำนวนเงิน</t>
  </si>
  <si>
    <t>ศรีสะเกษ</t>
  </si>
  <si>
    <t>***หมายเหตุ กรมพินิจฯ ได้ตัดโอนงบประมาณงบดำเนินงานไปตั้งจ่ายให้กับกรมโยธาธิการและผังเมือง เป็นเงินจำนวน 67,630.- บาท ในลักษณะงบประมาณเบิกแทนกัน</t>
  </si>
  <si>
    <t xml:space="preserve"> </t>
  </si>
  <si>
    <t>จัดสรร</t>
  </si>
  <si>
    <t>สำรอง</t>
  </si>
  <si>
    <t>ยอด GFMIS</t>
  </si>
  <si>
    <t xml:space="preserve">เบิกแทนกัน </t>
  </si>
  <si>
    <t>รวม เบิกแทนกัน</t>
  </si>
  <si>
    <t>ในตารางจ่ายจริง</t>
  </si>
  <si>
    <t>ผลต่าง</t>
  </si>
  <si>
    <t>แผนงานบูรณาการป้องกัน ปราบปราม</t>
  </si>
  <si>
    <t>เงินงบประมาณเบิกแทนกันของกรมคุมประพฤติ</t>
  </si>
  <si>
    <t xml:space="preserve">กรมพินิจ ฯ </t>
  </si>
  <si>
    <t xml:space="preserve">ศูนย์ฝึก ฯ </t>
  </si>
  <si>
    <t>ศูนย์ฝึก ฯ เขต 1</t>
  </si>
  <si>
    <t>ศูนย์ฝึก ฯ เขต 2</t>
  </si>
  <si>
    <t>ศูนย์ฝึก ฯ เขต 3</t>
  </si>
  <si>
    <t>ศูนย์ฝึก ฯ เขต 4</t>
  </si>
  <si>
    <t>ศูนย์ฝึก ฯ เขต 5</t>
  </si>
  <si>
    <t>ศูนย์ฝึก ฯ เขต 6</t>
  </si>
  <si>
    <t>ศูนย์ฝึก ฯ เขต 7</t>
  </si>
  <si>
    <t>ศูนย์ฝึก ฯ เขต 11</t>
  </si>
  <si>
    <t>สถานพินิจ ฯ</t>
  </si>
  <si>
    <t>ประจวบคีรีขันธ์</t>
  </si>
  <si>
    <t>ศูนย์ฝึก ฯ เขต 8</t>
  </si>
  <si>
    <t>ศูนย์ฝึก ฯ เขต 9</t>
  </si>
  <si>
    <t>*หมายเหตุ</t>
  </si>
  <si>
    <t>วงเงินที่ได้รับจัดสรร คือ วงเงินงบประมาณคงเหลือสุทธิที่กรมได้ตัดโอนงบประมาณเหลือจ่ายกลับมาตั้งจ่ายที่ส่วนกลาง</t>
  </si>
  <si>
    <t>งบประมาณสุทธิ</t>
  </si>
  <si>
    <t>หมวด/รายการ</t>
  </si>
  <si>
    <t>โอนเพิ่ม/ปรับลด</t>
  </si>
  <si>
    <t xml:space="preserve">   -ครุภัณฑ์</t>
  </si>
  <si>
    <t>* หมายเหตุ ยอดเบิกจ่ายของหน่วยงานในสังกัด อาจมีความคลาดเคลื่อนเนื่องจากตอนเรียกรายงานใน GFMIS ระดับหน่วยงาน ระบบประมวลผลช้า</t>
  </si>
  <si>
    <t xml:space="preserve">   -ที่ดิน/สิ่งก่อสร้าง</t>
  </si>
  <si>
    <t>งบประมาณ60ยกยอด</t>
  </si>
  <si>
    <t>เบิกแทนกันยกยอด</t>
  </si>
  <si>
    <t>สรุปเงินงบยกยอด</t>
  </si>
  <si>
    <t>กรมบัญชีกลางยกยอดมาให้</t>
  </si>
  <si>
    <t>แผนงานพื้นฐานด้านความมั่นคง</t>
  </si>
  <si>
    <t>รวมงบสุทธิ</t>
  </si>
  <si>
    <t>กรุงเทพมหานคร</t>
  </si>
  <si>
    <t>บ้านกาญจนาภิเษก</t>
  </si>
  <si>
    <t>คงเหลือเงินงบ ปี 62</t>
  </si>
  <si>
    <t>ยุทธศาสตร์ด้านความมั่นคง</t>
  </si>
  <si>
    <t>แผนงานบูรณาการขับเคลื่อน</t>
  </si>
  <si>
    <t>การแก้ไขปัญหาจังหวัดชายแดนภาคใต้</t>
  </si>
  <si>
    <t xml:space="preserve"> และบำบัดรักษาผู้ติดยาเสพติด</t>
  </si>
  <si>
    <t xml:space="preserve">โครงการบำบัดรักษาผู้เสพ </t>
  </si>
  <si>
    <t>ผู้ติดยาเสพติด</t>
  </si>
  <si>
    <t>โครงการสร้างภูมิคุ้มกันและ</t>
  </si>
  <si>
    <t>ป้องกันยาเสพติด</t>
  </si>
  <si>
    <t>แผนงานบุคลากรภาครัฐ</t>
  </si>
  <si>
    <t>รายการค่าใช้จ่ายบุคลากรภาครัฐ</t>
  </si>
  <si>
    <t>ผลผลิต : จำแนกเด็กและเยาวชน</t>
  </si>
  <si>
    <t>ในสถานพินิจเกี่ยวกับ</t>
  </si>
  <si>
    <t>การใช้ยาเสพติด</t>
  </si>
  <si>
    <t>โครงการส่งเสริมและพัฒนา</t>
  </si>
  <si>
    <t>กระบวนการยุติธรรมทางเลือก</t>
  </si>
  <si>
    <t>กระบวนการยุติธรรม</t>
  </si>
  <si>
    <t>แผนงานพื้นฐานด้านการปรับสมดุล</t>
  </si>
  <si>
    <t>และพัฒนาระบบบริหารจัดการภาครัฐ</t>
  </si>
  <si>
    <t>แผนงานพื้นฐานด้าน</t>
  </si>
  <si>
    <t>การปรับสมดุลและพัฒนา</t>
  </si>
  <si>
    <t>ระบบบริหารจัดการภาครัฐ</t>
  </si>
  <si>
    <t>1600604020700002</t>
  </si>
  <si>
    <t>1600604020700003</t>
  </si>
  <si>
    <t>1600666003700002</t>
  </si>
  <si>
    <t>โครงการก่อสร้างระบบไฟฟ้าและสื่อสารและงานระบบรักษาความปลอดภัยฯ ศฝ. จังหวัดยะลา</t>
  </si>
  <si>
    <t>สรุปรายละเอียดการเบิกจ่ายเงินงบประมาณประจำปีงบประมาณ พ.ศ. 2562</t>
  </si>
  <si>
    <t xml:space="preserve">ได้รับจัดสรรใน GF </t>
  </si>
  <si>
    <t>2) ได้รับจัดสรรจริงตามระบบ GFMIS</t>
  </si>
  <si>
    <t xml:space="preserve">หมายเหตุ </t>
  </si>
  <si>
    <t>เงินงบประมาณเบิกแทนกัน</t>
  </si>
  <si>
    <t>ได้รับจัดสรรจากส่วนราชการ / รายการ</t>
  </si>
  <si>
    <t>รอบเดือนกันยายน 2561</t>
  </si>
  <si>
    <t xml:space="preserve">รายการโครงการคืนคนดีสู่สังคม (ค่าจ้างงานผู้พ้นโทษ) </t>
  </si>
  <si>
    <t>1) ได้รับจัดสรรตาม พรบ.</t>
  </si>
  <si>
    <t>2.  ปัจจุบันกรมพินิจฯ ได้จัดสรรงบประมาณ งบรายจ่ายอื่น ไปตั้งจ่ายให้กับหน่วยงานในสังกัด เพียง 2 รายการ จาก 13 รายการ</t>
  </si>
  <si>
    <t>ตามพระราชบัญญัติงบประมาณรายจ่ายประจำปีงบประมาณ พ.ศ. 2562</t>
  </si>
  <si>
    <t>รายการต่ำกว่า 1 ล้าน</t>
  </si>
  <si>
    <t>รายการสูงกว่า 1 ล้าน</t>
  </si>
  <si>
    <t>ปัจจุบันกรมพินิจฯ ได้รับจัดสรรงบประมาณ 100% เรียบร้อยแล้ว</t>
  </si>
  <si>
    <t xml:space="preserve">1) กรมคุมประพฤติ </t>
  </si>
  <si>
    <t>ประเภทรายจ่าย</t>
  </si>
  <si>
    <t>ปีงบประมาณ พ.ศ. 2562</t>
  </si>
  <si>
    <t>ไตรมาสที่ 1</t>
  </si>
  <si>
    <t>ไตรมาสที่ 2</t>
  </si>
  <si>
    <t>ไตรมาสที่ 3</t>
  </si>
  <si>
    <t>ไตรมาสที่ 4</t>
  </si>
  <si>
    <t>ภาพรวม (สะสม)</t>
  </si>
  <si>
    <t>รายจ่ายประจำ (สะสม)</t>
  </si>
  <si>
    <t>รายจ่ายลงทุน (สะสม)</t>
  </si>
  <si>
    <t>เป้าหมายการใช้จ่ายงบประมาณปีงบประมาณ พ.ศ. 2562 (ไม่รวมงบกลาง)</t>
  </si>
  <si>
    <t>วงเงิน (บาท)</t>
  </si>
  <si>
    <t>สรุปผลการเบิกจ่าย</t>
  </si>
  <si>
    <t>เป้าหมายการเบิกจ่าย ณ สิ้นไตรมาสที่ 1</t>
  </si>
  <si>
    <t>คิดเป็นร้อยละ 32</t>
  </si>
  <si>
    <t>แต่ ณ สิ้นไตรมาสที่ 1 กรมพินิจฯ เบิกจ่ายได้เพียง ร้อยละ 21.15</t>
  </si>
  <si>
    <t>ต่ำกว่าเป้าหมายร้อยละ 10.85</t>
  </si>
  <si>
    <t xml:space="preserve">ณ วันที่ 28 มกราคม 2562 กรมพินิจฯ เบิกจ่ายได้เพียง ร้อยละ </t>
  </si>
  <si>
    <t>การขยายเวลาเบิกจ่ายเงิน และเงินกันไว้เบิกเหลื่อมปี</t>
  </si>
  <si>
    <t>งบบุคลากร (ตามที่กรมได้จัดสรรให้จริง ในระบบ GFMIS)</t>
  </si>
  <si>
    <t>งบดำเนินงาน (ตามที่กรมได้จัดสรรให้จริง ในระบบ GFMIS )</t>
  </si>
  <si>
    <t>งบรายจ่ายอื่น (ตามที่กรมได้จัดสรรให้จริง ในระบบ GFMIS )</t>
  </si>
  <si>
    <t>ภาพรวม (ตามที่กรมได้จัดสรรให้จริง ในระบบ GFMIS )</t>
  </si>
  <si>
    <t xml:space="preserve">ภาพรวม </t>
  </si>
  <si>
    <t>รายจ่ายประจำ</t>
  </si>
  <si>
    <t>รายจ่ายลงทุน</t>
  </si>
  <si>
    <t>รวมทั้งสิ้น/ภาพรวม</t>
  </si>
  <si>
    <t>(สะสม)</t>
  </si>
  <si>
    <t>สูง/ต่ำกว่าเป้าหมาย</t>
  </si>
  <si>
    <t>1.1 ค่าจ้างงานผู้พ้นโทษ</t>
  </si>
  <si>
    <t>วงเงิน</t>
  </si>
  <si>
    <r>
      <t>1.2 ค่าใช้จ่ายในการสัมมนาและฝึกอบรม</t>
    </r>
    <r>
      <rPr>
        <b/>
        <sz val="16"/>
        <color indexed="8"/>
        <rFont val="TH SarabunPSK"/>
        <family val="2"/>
      </rPr>
      <t xml:space="preserve"> </t>
    </r>
  </si>
  <si>
    <t>ค่าจ้างงานเยาวชน</t>
  </si>
  <si>
    <t>ค่าใช้จ่ายในการสัมมนาและฝึกอบรม</t>
  </si>
  <si>
    <t>สรุปรวมทั้งสิ้น</t>
  </si>
  <si>
    <t>ของหน่วยงานในสังกัด</t>
  </si>
  <si>
    <t>งบลงทุน (ตามที่กรมได้จัดสรรให้จริง ในระบบ GFMIS )</t>
  </si>
  <si>
    <t>กรณี</t>
  </si>
  <si>
    <t>ดำเนินงาน</t>
  </si>
  <si>
    <t>PO</t>
  </si>
  <si>
    <t>ค่าเช่าสัญญาณเครือข่าย</t>
  </si>
  <si>
    <t>ค่าอาหารเด็กและเยาวชน</t>
  </si>
  <si>
    <t>ค่า รปภ.</t>
  </si>
  <si>
    <t>รวมงบดำเนินงานทั้งสิ้น</t>
  </si>
  <si>
    <t>ก่อสร้างสถานพินิจฯจังหวัดฉะเชิงเทรา(ที่มีสถานแรกรับเด็กและเยาวชน) พร้อมส่วนประกอบ</t>
  </si>
  <si>
    <t>ก่อสร้างสถานพินิจฯจังหวัดชุมพร(ที่มีสถานแรกรับเด็กและเยาวชน)</t>
  </si>
  <si>
    <t>ก่อสร้างสถานพินิจฯจังหวัดพะเยา (ที่มีสถานแรกรับเด็กและเยาวชน) พร้อมส่วนประกอบ</t>
  </si>
  <si>
    <t>ก่อสร้างอาคารชุดที่พักอาศัยข้าราชการ ขนาด 18 ยูนิตสถานพินิจฯจังหวัดตาก</t>
  </si>
  <si>
    <t>รายจ่ายอื่น</t>
  </si>
  <si>
    <t>สรุปรายละเอียดการกันไว้เบิกเหลื่อมปีงบประมาณ พ.ศ. 2562 รอบกันยายน 2562</t>
  </si>
  <si>
    <t>มีหนี้ผูกพัน</t>
  </si>
  <si>
    <t>1600666002000000</t>
  </si>
  <si>
    <t>ค่าบำรุงรักษาเครือข่ายฯ</t>
  </si>
  <si>
    <t>1600666003000000</t>
  </si>
  <si>
    <t>สถานพินิจฯ สมุทรปราการ</t>
  </si>
  <si>
    <t>สถานพินิจฯ ร้อยเอ็ด</t>
  </si>
  <si>
    <t>ค่าวัสดุสำนักงาน (กระดาษถ่ายเอกสาร)</t>
  </si>
  <si>
    <t>1600666002120001</t>
  </si>
  <si>
    <t>โครงการยกระดับการบูรณาการข้อมูลภาครัฐและบริการประชาชนของกรมพินิจและคุ้มครองเด็กและเยาวชน ระยะที่ 2</t>
  </si>
  <si>
    <t>1600666002110420</t>
  </si>
  <si>
    <t>เครื่องคอมพิวเตอร์แบบพกพา (notebook)  สำหรับงานสำนักงาน ของส่วนกลาง</t>
  </si>
  <si>
    <t>1600666002110418</t>
  </si>
  <si>
    <t>ชุดโปรแกรมระบบปฎิบัติการสำหรับเครื่องคอมพิวเตอร์ และเครื่องคอมพิวเตอร์โน้ตบุ๊ก แบบสิทธิการใช้งานประเภทติดตั้งมาจากโรงงาน (OEM) ที่มีสิขสิทธิ์ถูกต้องตามกฏหมาย (ของส่วนกลาง)</t>
  </si>
  <si>
    <t>1600666003110263</t>
  </si>
  <si>
    <t>เครื่องคอมพิวเตอร์แบบพกพา (notebook)  สำหรับงานสำนักงาน</t>
  </si>
  <si>
    <t>1600666003110270</t>
  </si>
  <si>
    <t xml:space="preserve">เครื่องพิมพ์ Laser หรือ  LED สี ชนิด Network แบบที่ 1  </t>
  </si>
  <si>
    <t>1600666003110273</t>
  </si>
  <si>
    <t xml:space="preserve">เครื่องสแกนเนอร์ สำหรับเก็บเอกสารระดับศูนย์บริการ แบบที่ 1 </t>
  </si>
  <si>
    <t>1600666003110257</t>
  </si>
  <si>
    <t>คอมพิวเตอร์แท็ปเล็ต ของกองยุทธศาสตร์ฯ</t>
  </si>
  <si>
    <t>1600666003110260</t>
  </si>
  <si>
    <t>เครื่องคอมพิวเตอร์ iMac รุ่น 21.5 นิ้ว ของกลุ่มงานประชาสัมพันธ์</t>
  </si>
  <si>
    <t>1600666002110421</t>
  </si>
  <si>
    <t>เครื่องพิมพ์ Laser หรือ  LED ขาวดำ ชนิด Network แบบที่ 1 ของส่วนกลาง</t>
  </si>
  <si>
    <t>1600666003110261</t>
  </si>
  <si>
    <t xml:space="preserve">เครื่องคอมพิวเตอร์ สำหรับงานประมวลผลแบบที่ 1  </t>
  </si>
  <si>
    <t>1600666003110269</t>
  </si>
  <si>
    <t xml:space="preserve">เครื่องพิมพ์ Laser หรือ  LED ขาวดำ ชนิด Network แบบที่ 1 </t>
  </si>
  <si>
    <t>1600666003110272</t>
  </si>
  <si>
    <t xml:space="preserve">เครื่องสแกนเนอร์ สำหรับเก็บเอกสารทั่วไป </t>
  </si>
  <si>
    <t>1600666002110419</t>
  </si>
  <si>
    <t>เครื่องคอมพิวเตอร์ สำหรับงานสำนักงาน ของส่วนกลาง</t>
  </si>
  <si>
    <t>1600666003110262</t>
  </si>
  <si>
    <t xml:space="preserve">เครื่องคอมพิวเตอร์ สำหรับงานสำนักงาน  </t>
  </si>
  <si>
    <t>1600666003110284</t>
  </si>
  <si>
    <t>โปรแกรมประเมิน KPI ของ กพร.</t>
  </si>
  <si>
    <t>รวมงบลงทุน รายการครุภัณฑ์ ทั้งสิ้น</t>
  </si>
  <si>
    <t>1600666002420001</t>
  </si>
  <si>
    <t>1600666002420002</t>
  </si>
  <si>
    <t>1600666002420003</t>
  </si>
  <si>
    <t>1600666002420004</t>
  </si>
  <si>
    <t>1600666002420005</t>
  </si>
  <si>
    <t>ก่อสร้างสถานพินิจฯจังหวัดสุรินทร์ (ที่มีสถานแรกรับเด็กและเยาวชน) พร้อมส่วนประกอบ</t>
  </si>
  <si>
    <t>1600666003420004</t>
  </si>
  <si>
    <t>รวมงบลงทุน รายการที่ดินและสิ่งก่อสร้าง ทั้งสิ้น</t>
  </si>
  <si>
    <t xml:space="preserve">ค่าจ้างที่ปรึกษา (โครงการค่ายเยาวชนต้นแบบฯ) </t>
  </si>
  <si>
    <t xml:space="preserve">ค่าจ้างที่ปรึกษา (โครงการพัฒนาศักยภาพเจ้าหน้าที่ฯ) </t>
  </si>
  <si>
    <t>ค่าจ้างจัดทำสรุปปัจจัยการกระทำผิดซ้ำของเด็กฯ</t>
  </si>
  <si>
    <t>รวมงบรายจ่ายอื่น</t>
  </si>
  <si>
    <t>เบิกจ่ายเรียบร้อยแล้ว</t>
  </si>
  <si>
    <t>การขยายเวลาเบิกจ่ายเงิน และเงินกันไว้เบิกเหลื่อมปี (รอบเดือนกันยายน 2562)</t>
  </si>
  <si>
    <t>เงินงบประมาณปี พ.ศ. 2561 (ขยายเวลาเบิกจ่าย)</t>
  </si>
  <si>
    <t>ก่อสร้างสถานพินิจฯจังหวัดฉะเชิงเทรา</t>
  </si>
  <si>
    <t>ก่อสร้างสถานพินิจฯจังหวัดพะเยา</t>
  </si>
  <si>
    <t>เงินงบประมาณปี พ.ศ. 2562 (กันเงินไว้เบิกเหลื่อมปี)</t>
  </si>
  <si>
    <t>รายการครุภัณฑ์</t>
  </si>
  <si>
    <t>รายการที่ดินและสิ่งก่อสร้าง</t>
  </si>
  <si>
    <t>สรุปขยายเวลาเบิกจ่าย และเงินกันไว้เบิกเหลื่อมปี รวมทั้งสิ้น</t>
  </si>
  <si>
    <t>สรุปรายละเอียดการเบิกจ่ายเงินงบประมาณประจำปีงบประมาณ พ.ศ. 2562 ไปพลางก่อน</t>
  </si>
  <si>
    <t>เป้าหมายการใช้จ่ายงบประมาณ ประจำปีงบประมาณ พ.ศ. 2562 ไปพลางก่อน</t>
  </si>
  <si>
    <t>รวมเป็นเงินจำนวน 16,866,000.- บาท จึงถูกพับไป ตาม พรบ. วิธีงบประมาณ พ.ศ. 2561 และหลักเกณฑ์/เงื่อนไขการกันเงินไว้เบิกเหลื่อมปี</t>
  </si>
  <si>
    <t>รายงานการเบิกจ่ายเงินงบประมาณเบิกแทนกัน ประจำปีงบประมาณ พ.ศ. 2562 ไปพลางก่อน</t>
  </si>
  <si>
    <t>คิดเป็นร้อยละของการเบิกจ่าย</t>
  </si>
  <si>
    <t>คิดเป็นร้อยละของการเบิกจ่ายรวมใบสั่งซื้อสั่งจ้าง</t>
  </si>
  <si>
    <t>กรมคุมประพฤติ</t>
  </si>
  <si>
    <t>โครงการคืนคนดีสู่สังคม</t>
  </si>
  <si>
    <t xml:space="preserve">*หมายเหตุ : ปัจจุบันกรมพินิจฯ ได้จัดสรรงบประมาณประจำปีงบประมาณ พ.ศ. 2562 ไปพลางก่อน (ในเบื้องต้น) เป็นเงินจำนวน 990,689,600.- บาท </t>
  </si>
  <si>
    <t xml:space="preserve">ได้รับจัดสรรใน GFMIS </t>
  </si>
  <si>
    <t>ประจำเดือนตุลาคม2562</t>
  </si>
  <si>
    <t>ประจำเดือนพฤศจิกายน2562</t>
  </si>
  <si>
    <t>งบประจำปี พ.ศ. 2562</t>
  </si>
  <si>
    <t>สรุปการจัดส่งรายงานการเงิน</t>
  </si>
  <si>
    <t>ณ วันที่ 2 มกราคม 63</t>
  </si>
  <si>
    <t xml:space="preserve">ให้กลุ่มงานคลัง </t>
  </si>
  <si>
    <t>งบประจำปี พ.ศ. 2562 (แต่งบเดือน ตั้งแต่เดือนเมษายน - กันยายน 2562 ยังไม่ส่งให้กลุ่มงานคลัง)</t>
  </si>
  <si>
    <r>
      <rPr>
        <b/>
        <u/>
        <sz val="18"/>
        <color indexed="8"/>
        <rFont val="TH SarabunPSK"/>
        <family val="2"/>
      </rPr>
      <t>หมายเหตุ</t>
    </r>
    <r>
      <rPr>
        <sz val="16"/>
        <color indexed="8"/>
        <rFont val="TH SarabunPSK"/>
        <family val="2"/>
      </rPr>
      <t xml:space="preserve"> งบประมาณปี พ.ศ. 2562 มีรายการก่อสร้างศูนย์ฝึกฯ สงขลา เป็นจำนวนเงิน 12,866,000.- บาท และรายการก่อสร้างอาคารชุดฯ สถานพินิจฯ นนทบุรี </t>
    </r>
  </si>
  <si>
    <r>
      <t xml:space="preserve">เป็นจำนวนเงิน 4,000,000.- บาท ไม่สามารถก่อหนี้ผูกพันได้ทันภายในปีงบประมาณ 2562 จึงไม่สามารถกันเงินไว้เบิกเหลื่อมปีได้ </t>
    </r>
    <r>
      <rPr>
        <b/>
        <sz val="16"/>
        <color indexed="8"/>
        <rFont val="TH SarabunPSK"/>
        <family val="2"/>
      </rPr>
      <t>ดังนั้น</t>
    </r>
    <r>
      <rPr>
        <sz val="16"/>
        <color indexed="8"/>
        <rFont val="TH SarabunPSK"/>
        <family val="2"/>
      </rPr>
      <t xml:space="preserve"> รายการก่อสร้าง ทั้ง 2 รายการ </t>
    </r>
  </si>
  <si>
    <t>ได้รับจัดสรรตาม พรบ.</t>
  </si>
  <si>
    <t>ภาพรวม</t>
  </si>
  <si>
    <t>ค่าครุภัณฑ์</t>
  </si>
  <si>
    <t>ค่าที่ดินและสิ่งก่อสร้าง</t>
  </si>
  <si>
    <t>โครงการอำนวยความยุติธรรม</t>
  </si>
  <si>
    <t>และเยียวยาผู้ได้รับผลกระทบ</t>
  </si>
  <si>
    <t>1600603728700002</t>
  </si>
  <si>
    <t>รหัสงบ 1600603728700001</t>
  </si>
  <si>
    <t>รหัสงบ 1600603728700002</t>
  </si>
  <si>
    <t>งบประมาณตาม พรบ. ปี 63</t>
  </si>
  <si>
    <t>เงินประจำงวด ปี 63</t>
  </si>
  <si>
    <t>รหัสงบ 1600605711700001</t>
  </si>
  <si>
    <t>รหัสงบ 1600605717700001-3</t>
  </si>
  <si>
    <t>รหัสงบ 1600613707000000</t>
  </si>
  <si>
    <t>ปฎิรูปกฏหมายและพัฒนา</t>
  </si>
  <si>
    <t>รหัสงบ 1600614709000000</t>
  </si>
  <si>
    <t>ยุทธศาสตร์ด้านการพัฒนาและ</t>
  </si>
  <si>
    <t>เสริมสร้างศักยภาพทรัพยากรมนุษย์</t>
  </si>
  <si>
    <t>แผนงานยุทธศาสตร์พัฒนา</t>
  </si>
  <si>
    <t>ศักยภาพคนตลอดชีวิต</t>
  </si>
  <si>
    <t>1.โครงการพัฒนาการศึกษาฯ</t>
  </si>
  <si>
    <t>รหัสงบ 1600630713700001</t>
  </si>
  <si>
    <t>2. โครงการเพิ่มประสิทธิภาพฯ</t>
  </si>
  <si>
    <t>รหัสงบ 1600630716700001-3</t>
  </si>
  <si>
    <t>กฏหมายและกระบวนการยุติธรรม</t>
  </si>
  <si>
    <t>รหัสงบ 1600654714000000</t>
  </si>
  <si>
    <t>ได้รับการคุ้มครองดูแล</t>
  </si>
  <si>
    <t>รหัสงบ 1600656702000000</t>
  </si>
  <si>
    <t>ผลผลิต เด็ก เยาวชนและผู้เยาว์</t>
  </si>
  <si>
    <t>ผลผลิต เด็กและเยาวชนได้รับ</t>
  </si>
  <si>
    <t>การพัฒนาพฤตินิสัย</t>
  </si>
  <si>
    <t>รหัสงบ 1600656703000000</t>
  </si>
  <si>
    <t>ค่าใช้จ่ายในการดำเนินโครงการเพิ่มประสิทธิภาพกระบวนการยุติธรรมและแก้ไขฟื้นฟูเด็กและเยาวชนที่มีความเสี่ยงหรือเข้าไปเกี่ยวข้องกับสถานการณ์ความไม่มั่นคงในพื้นที่จังหวัดชายแดนภาคใต้</t>
  </si>
  <si>
    <t>1600605711700001</t>
  </si>
  <si>
    <t>ค่าใช้จ่ายในการพัฒนาเครือข่ายความร่วมมือในการพิทักษ์คุ้มครองสิทธิและสวัสดิภาพเด็กเยาวชนในสถานพินิจฯ</t>
  </si>
  <si>
    <t>ชื่อรายการ</t>
  </si>
  <si>
    <t xml:space="preserve">สรุปรายละเอียดการเบิกจ่ายเงินงบประมาณประจำปีงบประมาณ พ.ศ. 2563  ในระบบ GFMIS </t>
  </si>
  <si>
    <t>เพิ่ม / ลด</t>
  </si>
  <si>
    <t>งบประมาณ</t>
  </si>
  <si>
    <t>งบประมาณที่</t>
  </si>
  <si>
    <t>ได้รับตาม พรบ.</t>
  </si>
  <si>
    <t>1600656702410010</t>
  </si>
  <si>
    <t>1600656703410002</t>
  </si>
  <si>
    <t>1600656703410003</t>
  </si>
  <si>
    <t>1600656703410009</t>
  </si>
  <si>
    <t>1600656703410019</t>
  </si>
  <si>
    <t>1600656702420002</t>
  </si>
  <si>
    <t>1600656702420004</t>
  </si>
  <si>
    <t>1600656702420005</t>
  </si>
  <si>
    <t>1600656702420006</t>
  </si>
  <si>
    <t>1600656702420007</t>
  </si>
  <si>
    <t>1600656703420001</t>
  </si>
  <si>
    <t>1600656702420003</t>
  </si>
  <si>
    <t>1600656703420002</t>
  </si>
  <si>
    <t>ใบ PO</t>
  </si>
  <si>
    <t>( 7 + 8 )</t>
  </si>
  <si>
    <t>ปีงบประมาณ / รายการ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</si>
  <si>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</si>
  <si>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</si>
  <si>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</si>
  <si>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</si>
  <si>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</si>
  <si>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</si>
  <si>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</si>
  <si>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</si>
  <si>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</si>
  <si>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</si>
  <si>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</si>
  <si>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</si>
  <si>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</si>
  <si>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หน่วยงานจัดทำ PO รายการซ้ำ จึงเป็นงบประมาณพับไป</t>
  </si>
  <si>
    <t>ต่ำกว่าเป้าหมาย</t>
  </si>
  <si>
    <t xml:space="preserve">*หมายเหตุ  เงินงบประมาณดังกล่าว ประกอบด้วย งบประมาณปี พ.ศ. 2562 ไปพลางก่อน + งบประมาณปี พ.ศ. 2563 </t>
  </si>
  <si>
    <t>และปัจจุบันอยู่ระหว่างรอกรมบัญชีกลางดำเนินการ Mappingงบประมาณ จาก ปี พ.ศ. 2562 ไปพลางก่อน ไปเป็น ปี พ.ศ. 2563</t>
  </si>
  <si>
    <t xml:space="preserve">1. ณ วันที่ 28 เมษายน 2563 กรมพินิจฯ มีกรอบการจ้างงาน 143 อัตรา </t>
  </si>
  <si>
    <t xml:space="preserve">2. ปัจจุบันสำนักงานเลขานุการกรม กลุ่มงานคลัง อยู่ระหว่างขออนุมัติตัดโอนเงินจัดสรรค่าจ้างประจำเดือนเมษายน - เดือนพฤษภาคม 2563 ให้หน่วยงานในสังกัด 68 แห่ง 143 อัตรา </t>
  </si>
  <si>
    <t xml:space="preserve">    เป็นเงินจำนวน 2,574,000.- บาท </t>
  </si>
  <si>
    <t xml:space="preserve">3. หากกรมพินิจฯ ตัดโอนเงินค่าจ้างให้หน่วยงานในสังกัด จำนวน 2 เดือน กรมจักมีเงินงบประมาณคงเหลือหลังจัดสรร เป็นเงินจำนวน 1,016,953.26 บาท </t>
  </si>
  <si>
    <t>4. หากคำนวณระหว่างงบประมาณคงเหลือที่ได้รับจัดสรรค่าจ้าง ณ วันที่ 28 เมษายน 2563 ซึ่งคงเหลือเป็นเงินจำนวน 3,590,953.26 บาท โดยนำกรอบอัตราที่จัดสรรให้หน่วยงานฯ</t>
  </si>
  <si>
    <t>คิดได้ดังนี้ ค่าจ้างต่อเดือน 1,287,000.- บาท  (9,000 X 143 X 1 = 1,287,000.- บาท)</t>
  </si>
  <si>
    <t xml:space="preserve">                 ค่าจ้างตั้งแต่เดือนเมษายน 2563 ถึงเดือนกันยายน 2563 (จำนวน 6 เดือน) จักต้องเบิกจ่ายเป็นเงินจำนวน 7,722,000.- บาท (1,287,000 X 6 = 7,722,000.- บาท)</t>
  </si>
  <si>
    <t xml:space="preserve">                 และ ณ ปัจจุบัน กรมพินิจฯ มีงบประมาณสำหรับจ้างงานคงเหลือ เป็นเงินจำนวน 3,590,953.26 บาท ซึ่งคงเหลือไม่เพียงพอที่จะจัดสรรค่าจ้างถึงเดือนกันยายน 2563 ได้</t>
  </si>
  <si>
    <t xml:space="preserve">                 สรุป กรมพินิจฯ ขาดเงินค่าจ้าง ในกรอบอัตรา 143 อัตรา ถึงเดือนกันยายน 2563 เป็นเงินจำนวน 4,131,046.74 บาท</t>
  </si>
  <si>
    <t>ปรับปรุงเพิ่มเติมงานอาคารของศูนย์ฝึกฯ จังหวัดยะลา</t>
  </si>
  <si>
    <t>1600656702410027</t>
  </si>
  <si>
    <t xml:space="preserve">                     2) งบรายจ่ายอื่น มีรายการที่ถูกตัดโอนงบประมาณโดยนำเข้า พ.ร.บ. โอน 2563 เป็นเงินจำนวน 3,557,200- บาท</t>
  </si>
  <si>
    <t>รายการสูงกว่า 2 ล้าน</t>
  </si>
  <si>
    <t>รายการต่ำกว่า 2 ล้าน</t>
  </si>
  <si>
    <t>1600656702410029</t>
  </si>
  <si>
    <t>ก่อหนี้+เบิกจ่าย รายการสูงกว่า 1 ล้าน</t>
  </si>
  <si>
    <t>ก่อหนี้+เบิกจ่าย รายการต่ำกว่า 1 ล้าน</t>
  </si>
  <si>
    <t>ก่อหนี้+เบิกจ่าย รายการต่ำกว่า 2ล้าน</t>
  </si>
  <si>
    <t>ก่อหนี้+เบิกจ่าย รายการสูงกว่า 2 ล้าน</t>
  </si>
  <si>
    <t>ก่อหนี้+เบิกจ่ายแล้วทั้งหมด</t>
  </si>
  <si>
    <t>เบิกจ่ายแล้วทั้งหมด</t>
  </si>
  <si>
    <t>สถานพินิจฯ จังหวัดปัตตานี</t>
  </si>
  <si>
    <t>ศูนย์ฝึกฯ เขต 9</t>
  </si>
  <si>
    <t>รวมเป็นเงินจำนวนทั้งสิ้น</t>
  </si>
  <si>
    <t>ก่อหนี้+เบิกจ่าย รายการต่ำกว่า 10 ล้าน</t>
  </si>
  <si>
    <t>รายการที่ดินและสิ่งก่อสร้างต่ำกว่า 10 ล้าน</t>
  </si>
  <si>
    <t>รายการที่ดินและสิ่งก่อสร้างสูงกว่า 10 ล้าน</t>
  </si>
  <si>
    <t xml:space="preserve">                     3) มีการโอนเปลี่ยนแปลงงบประมาณ จากงบรายจ่ายอื่น ไปตั้งจ่ายเป็นงบลงทุน เป็นเงินจำนวน 99,276.- บาท เพื่อจัดซื้อครุภัณฑ์การเกษตร ของโครงการ DJOP Smart Farm</t>
  </si>
  <si>
    <t>สูงกว่า/ต่ำกว่า เป้าหมาย</t>
  </si>
  <si>
    <t xml:space="preserve">                    5) มีการโอนเปลี่ยนแปลงงบประมาณ จากรายจ่ายอื่น ไปตั้งจ่ายเป็นงบดำเนินงาน เป็นเงินจำนวน 5,700,400.- บาท เพื่อจัดซื้อวัสดุเครื่องแต่งกายเด็กและเยาวชน</t>
  </si>
  <si>
    <t>รวมเงินกันไว้เบิกเหลื่อมปี พ.ศ. 2562 ของกรมพินิจฯ ทั้งสิ้น</t>
  </si>
  <si>
    <t>ตั้งแต่วันที่ 1  ตุลาคม 2562  ถึงวันที่ 30 กันยายน 2563</t>
  </si>
  <si>
    <t xml:space="preserve">                     4) มีการโอนเปลี่ยนแปลงงบประมาณ จากงบดำเนินงาน ไปตั้งจ่ายเป็นงบรายจ่ายอื่น เป็นเงินจำนวน 5,700,400.- บาท เป็นรายการค่าจ้างที่ปรึกษา และได้ยกเลิกรายการแล้ว</t>
  </si>
  <si>
    <t>งบประมาณถูกพับไป</t>
  </si>
  <si>
    <t xml:space="preserve">เบิกจ่ายเรียบร้อยแล้ว และมีเงินเหลือจ่ายจากงานเพิ่มลด </t>
  </si>
  <si>
    <t>ชื่อหน่วยงาน</t>
  </si>
  <si>
    <t>รหัสหน่วยงาน</t>
  </si>
  <si>
    <t>เลขที่ PO</t>
  </si>
  <si>
    <t>เป็นเงินจำนวน</t>
  </si>
  <si>
    <t>ชื่อรายการใน GF</t>
  </si>
  <si>
    <t>ศูนย์ฝึกฯ เขต 1</t>
  </si>
  <si>
    <t>งานปรับปรุงเขตพื้นที่ศูนย์ฝึก</t>
  </si>
  <si>
    <t>บริษัท เพฟดิเวลล็อป</t>
  </si>
  <si>
    <t>05.06.2020</t>
  </si>
  <si>
    <t>05.10.2020</t>
  </si>
  <si>
    <t>งานก่อสร้าง:ระบบประป</t>
  </si>
  <si>
    <t>ศูนย์ฝึกฯ เขต 2</t>
  </si>
  <si>
    <t>บริษัท ชินาภัค คอนกร</t>
  </si>
  <si>
    <t>27.05.2020</t>
  </si>
  <si>
    <t>23.11.2020</t>
  </si>
  <si>
    <t>บริการการจัดการ:การก</t>
  </si>
  <si>
    <t>ศูนย์ฝึกฯ เขต 3</t>
  </si>
  <si>
    <t>บริษัท อะโรส  รีโนเว</t>
  </si>
  <si>
    <t>28.05.2020</t>
  </si>
  <si>
    <t>02.07.2020</t>
  </si>
  <si>
    <t>บริการจัดการ:อุตสาหก</t>
  </si>
  <si>
    <t>ศูนย์ฝึกฯ เขต 4</t>
  </si>
  <si>
    <t>บริษัท ลูกหลวงเรียลค</t>
  </si>
  <si>
    <t>24.08.2020</t>
  </si>
  <si>
    <t>สิ่งก่อสร้างเกี่ยวกั</t>
  </si>
  <si>
    <t>31.08.2020</t>
  </si>
  <si>
    <t>25.09.2020</t>
  </si>
  <si>
    <t>30.09.2020</t>
  </si>
  <si>
    <t>หจก. บำรุงโยธากิจ</t>
  </si>
  <si>
    <t>29.05.2020</t>
  </si>
  <si>
    <t>25.11.2020</t>
  </si>
  <si>
    <t>โครงการเพิ่มประสิทธิภาพฯศูนย์ฝึกฯ จังหวัดยะลา</t>
  </si>
  <si>
    <t>ศูนย์ฝึกฯ จังหวัดอยุธยา</t>
  </si>
  <si>
    <t>บริษัท ช ธาม จำกัด</t>
  </si>
  <si>
    <t>11.08.2020</t>
  </si>
  <si>
    <t>บริการซ่อมแซมปรับปรุ</t>
  </si>
  <si>
    <t>ห้างหุ้นส่วนจำกัดไวย</t>
  </si>
  <si>
    <t>ซีเมนต์</t>
  </si>
  <si>
    <t>สถานพินิจฯ กรุงเทพฯ</t>
  </si>
  <si>
    <t>ค่าเช่าเครือข่าย</t>
  </si>
  <si>
    <t>บริษัท กสท.โทรคมนาคม</t>
  </si>
  <si>
    <t>08.05.2020</t>
  </si>
  <si>
    <t>(ยกเลิก)บริการอินเตอ</t>
  </si>
  <si>
    <t>สถานพินิจฯ จังหวัดเลย</t>
  </si>
  <si>
    <t>หจก.อู่คุณสัญญา</t>
  </si>
  <si>
    <t>02.09.2020</t>
  </si>
  <si>
    <t>19.10.2020</t>
  </si>
  <si>
    <t>(ยกเลิก)บริการการบำร</t>
  </si>
  <si>
    <t>13.08.2020</t>
  </si>
  <si>
    <t>ห้างหุ้นส่วนจำกัด เก</t>
  </si>
  <si>
    <t>12.06.2020</t>
  </si>
  <si>
    <t>07.07.2021</t>
  </si>
  <si>
    <t>บริการตกแต่ง:ภายในอา</t>
  </si>
  <si>
    <t>สถานพินิจฯ จังหวัดสกลนคร</t>
  </si>
  <si>
    <t>โครงการก่อสร้างโรงครัว</t>
  </si>
  <si>
    <t>หจก ยิ่งเจริญชำนาญกิ</t>
  </si>
  <si>
    <t>21.05.2020</t>
  </si>
  <si>
    <t>27.11.2020</t>
  </si>
  <si>
    <t>โรงอาหาร</t>
  </si>
  <si>
    <t>สถานพินิจฯ จังหวัดอุบลราชธานี</t>
  </si>
  <si>
    <t>ธิราภรณ์ โดยนางธิราภ</t>
  </si>
  <si>
    <t>29.10.2019</t>
  </si>
  <si>
    <t>มันฝรั่งปรุงรส ข้าว</t>
  </si>
  <si>
    <t>ก่อสร้างสถานพินิจฯ จังหวัดฉะเชิงเทรา</t>
  </si>
  <si>
    <t>บริษัท โกลเดน ไลน์ ค</t>
  </si>
  <si>
    <t>05.05.2020</t>
  </si>
  <si>
    <t>07.05.2020</t>
  </si>
  <si>
    <t>(ยกเลิก)การก่อสร้างอ</t>
  </si>
  <si>
    <t>ก่อสร้างสถานพินิจฯ จังหวัดชุมพร</t>
  </si>
  <si>
    <t>กิจการร่วมค้าบริษัทเ</t>
  </si>
  <si>
    <t>17.05.2021</t>
  </si>
  <si>
    <t>ก่อสร้างสถานพินิจฯ จังหวัดแม่ฮ่องสอน</t>
  </si>
  <si>
    <t>บริษัท บ้านแก้ว เอ็น</t>
  </si>
  <si>
    <t>29.07.2020</t>
  </si>
  <si>
    <t>13.08.2021</t>
  </si>
  <si>
    <t>ก่อสร้างสถานพินิจฯ จังหวัดนนทบุรี</t>
  </si>
  <si>
    <t>บริษัท เอ.ซี.เอ็นจิเ</t>
  </si>
  <si>
    <t>03.01.2022</t>
  </si>
  <si>
    <t>องค์การสงเคราะห์ทหาร</t>
  </si>
  <si>
    <t>04.02.2020</t>
  </si>
  <si>
    <t>บริการพนักงานรักษาคว</t>
  </si>
  <si>
    <t>เครื่องถ่ายเอกสาร</t>
  </si>
  <si>
    <t>บริษัท ซีดีจี ซิสเต็</t>
  </si>
  <si>
    <t>12.11.2019</t>
  </si>
  <si>
    <t>เครื่องแม่ข่ายสำหรับ</t>
  </si>
  <si>
    <t>บริษัท แอดวานซ์ ไวร์</t>
  </si>
  <si>
    <t>20.11.2019</t>
  </si>
  <si>
    <t>20.11.2020</t>
  </si>
  <si>
    <t>บริการที่เกี่ยวข้องก</t>
  </si>
  <si>
    <t>28.04.2020</t>
  </si>
  <si>
    <t>โครงการจัดซื้อกล้องโทรทัศน์วงจรปิด</t>
  </si>
  <si>
    <t>บริษัท แอดวานซ์ เน็ต</t>
  </si>
  <si>
    <t>26.06.2020</t>
  </si>
  <si>
    <t>24.10.2020</t>
  </si>
  <si>
    <t>กล้องรักษาความปลอดภั</t>
  </si>
  <si>
    <t>ค่าสายรัดข้อมือ</t>
  </si>
  <si>
    <t>ห้างหุ้นส่วนจำกัด เอ</t>
  </si>
  <si>
    <t>01.07.2020</t>
  </si>
  <si>
    <t>14.10.2020</t>
  </si>
  <si>
    <t>สายรัด</t>
  </si>
  <si>
    <t>บริษัท ทองกมล 999 จำ</t>
  </si>
  <si>
    <t>31.07.2020</t>
  </si>
  <si>
    <t>วัสดุเพื่อการประชาสั</t>
  </si>
  <si>
    <t>บริษัท อินทิเกรเทด แ</t>
  </si>
  <si>
    <t>บริการให้คำปรึกษาทาง</t>
  </si>
  <si>
    <t>เค่าเช่าเครื่องถ่ายเอกสาร</t>
  </si>
  <si>
    <t>บจก พีเอสไอ เซลส์ แอ</t>
  </si>
  <si>
    <t>26.08.2020</t>
  </si>
  <si>
    <t>24.03.2021</t>
  </si>
  <si>
    <t>มหาวิทยาลัยสงขลานคริ</t>
  </si>
  <si>
    <t>10.10.2020</t>
  </si>
  <si>
    <t>บริษัท อัลฟ่า ทรีออน</t>
  </si>
  <si>
    <t>17.09.2020</t>
  </si>
  <si>
    <t>01.11.2020</t>
  </si>
  <si>
    <t>วัสดุสิ้นเปลืองต่างๆ</t>
  </si>
  <si>
    <t>ห้างหุ้นส่วนจำกัด ลา</t>
  </si>
  <si>
    <t>28.09.2020</t>
  </si>
  <si>
    <t>02.11.2020</t>
  </si>
  <si>
    <t>เครื่องกระตุ้นหัวใจภ</t>
  </si>
  <si>
    <t>ค่าเครื่องแต่งกายเด็กและเยาวชน</t>
  </si>
  <si>
    <t>26.01.2021</t>
  </si>
  <si>
    <t>เครื่องแบบ</t>
  </si>
  <si>
    <t>บ. ดีคอร์ซิสเต็ม อิน</t>
  </si>
  <si>
    <t>บริการเขียนโปรแกรมระ</t>
  </si>
  <si>
    <t>ค่าเช่ารถยนต์ราชการ</t>
  </si>
  <si>
    <t>บริษัท ทรู ลีสซิ่ง จ</t>
  </si>
  <si>
    <t>พาหนะให้เช่า</t>
  </si>
  <si>
    <t>ก่อสร้างสถานพินิจฯ จังหวัดพะเยา</t>
  </si>
  <si>
    <t>หจก. เธียรสวัสดิ์ คอน</t>
  </si>
  <si>
    <t>01.10.2016</t>
  </si>
  <si>
    <t>03.03.2020</t>
  </si>
  <si>
    <t>ก่อสร้างสถานพินิจฯ จังหวัดสุรินทร์</t>
  </si>
  <si>
    <t>บริษัท สินรัตนันต์</t>
  </si>
  <si>
    <t>01.10.2019</t>
  </si>
  <si>
    <t>19.01.2021</t>
  </si>
  <si>
    <t>ก่อสร้างศูนย์ฝึกฯ จังหวัดสงขลา</t>
  </si>
  <si>
    <t>หจก</t>
  </si>
  <si>
    <t>24.03.2022</t>
  </si>
  <si>
    <t>1600656702000000</t>
  </si>
  <si>
    <t>1600656702120002</t>
  </si>
  <si>
    <t>1600656703000000</t>
  </si>
  <si>
    <t>1600656703110454</t>
  </si>
  <si>
    <t>โครงการพัฒนาระบบการประเมินผล (กบค.)</t>
  </si>
  <si>
    <t>1600656703110619</t>
  </si>
  <si>
    <t>เครื่องกระตุ้นไฟฟ้าหัวใจ</t>
  </si>
  <si>
    <t>ค่าเครื่องตรวจสารเสพติด</t>
  </si>
  <si>
    <t>ค่าจ้างที่ปรึกษาโครงการสร้างการรับรู้และความเข้าใจในเรื่องกระบวนการยุติธรรมฯ</t>
  </si>
  <si>
    <t>ค่าจัดจ้างผลิตวารสารกรมพินิจฯ</t>
  </si>
  <si>
    <t>ค่าเช่าใช้บริการสัญญาณเครือข่าย</t>
  </si>
  <si>
    <t>ค่าบำรุงรักษาระบบคอมพิวเตอร์เครือข่าย</t>
  </si>
  <si>
    <t>ค่าซ่อมแซมรถยนต์</t>
  </si>
  <si>
    <t>แหล่งของเงิน</t>
  </si>
  <si>
    <t>ชื่อคู่สัญญา</t>
  </si>
  <si>
    <t>วันที่ทำเอกสาร</t>
  </si>
  <si>
    <t>วันสิ้นสุด</t>
  </si>
  <si>
    <t>ค่าซ่อมแซมห้องน้ำ</t>
  </si>
  <si>
    <t>ค่าวัสดุโครงการ</t>
  </si>
  <si>
    <t>ณ วันที่ 1 ตุลาคม 2563</t>
  </si>
  <si>
    <t>รวมงบดำเนินงาน</t>
  </si>
  <si>
    <t>รวมงบลงทุน</t>
  </si>
  <si>
    <t>ณ ปัจจุบัน</t>
  </si>
  <si>
    <t>คงเหลือสุทธิ</t>
  </si>
  <si>
    <t>คิดเป็น</t>
  </si>
  <si>
    <t>โครงการงานปรับปรุงซ่อมแซมฯ</t>
  </si>
  <si>
    <t>โครงการจัดทำแผนการกำหนดตำแหน่ง และการประเมินฯ</t>
  </si>
  <si>
    <t>สรุปรายละเอียดการกันไว้เบิกเหลื่อมปีงบประมาณ พ.ศ. 2563</t>
  </si>
  <si>
    <t>ก่อสร้างสถานพินิจฯจังหวัดชุมพร</t>
  </si>
  <si>
    <t xml:space="preserve"> รายการ</t>
  </si>
  <si>
    <t>เงินงบประมาณปี พ.ศ. 2563</t>
  </si>
  <si>
    <t>เงินงบประมาณปี พ.ศ. 2562</t>
  </si>
  <si>
    <t>รวมเงินงบประมาณที่ถูกพับไปเป็นเงินจำนวนทั้งสิ้น</t>
  </si>
  <si>
    <t>สรุปรายละเอียดเงินกันไว้เบิกเหลื่อมปี พ.ศ. 2562 และเงินงบประมาณปี พ.ศ. 2563 ที่ถูกพับไปตามผลกฎหมาย พรบ. วิธีงบประมาณ พ.ศ. 2561</t>
  </si>
  <si>
    <t xml:space="preserve">สรุปรายละเอียดเงินกันไว้เบิกเหลื่อมปี ประจำปีงบประมาณ พ.ศ. 2563 </t>
  </si>
  <si>
    <t>สรุป</t>
  </si>
  <si>
    <r>
      <t>หมายเหตุ</t>
    </r>
    <r>
      <rPr>
        <b/>
        <sz val="26"/>
        <rFont val="TH SarabunPSK"/>
        <family val="2"/>
      </rPr>
      <t xml:space="preserve">   : 1. เป้าหมายการเบิกจ่ายเงินงบประมาณรายจ่ายประจำปี  พ.ศ.  2555 ตามมติคณะรัฐมนตรี  ภาพรวม  ณ  สิ้นปีงบประมาณ  พ.ศ.  2555  ร้อยละ  93.00 </t>
    </r>
    <r>
      <rPr>
        <b/>
        <u/>
        <sz val="26"/>
        <rFont val="TH SarabunPSK"/>
        <family val="2"/>
      </rPr>
      <t>ซึ่งเป้าหมายอัตราการเบิกสะสม ณ สิ้นเดือนกันยายน 2555  คิดเป็นร้อยละ 93.00</t>
    </r>
  </si>
  <si>
    <r>
      <t xml:space="preserve">                    2. เป้าหมายการเบิกจ่ายงบประมาณรายจ่ายลงทุน  ณ  สิ้นปีงบประมาณ  พ.ศ.  2555  ร้อยละ  72.00  ของวงเงินงบประมาณรายจ่ายลงทุน  </t>
    </r>
    <r>
      <rPr>
        <b/>
        <u/>
        <sz val="26"/>
        <rFont val="TH SarabunPSK"/>
        <family val="2"/>
      </rPr>
      <t>ซึ่งเป้าหมายอัตราการเบิกสะสม ณ สิ้นเดือนกันยายน 2555  คิดเป็นร้อยละ 72.00</t>
    </r>
  </si>
  <si>
    <t>,</t>
  </si>
  <si>
    <t>รายละเอียดงบประมาณรายจ่ายประจำปีงบประมาณ  พ.ศ.  2564</t>
  </si>
  <si>
    <t>โครงการเสริมสร้างภูมิคุ้มกัน</t>
  </si>
  <si>
    <t>เพื่อสันติสุขในพื้นที่จังหวัด</t>
  </si>
  <si>
    <t>ชายแดนภาคใต้</t>
  </si>
  <si>
    <t>รหัสงบ 1600604028700001</t>
  </si>
  <si>
    <t>รหัสงบ 1600604028700002</t>
  </si>
  <si>
    <t>โครงการบำบัดรักษาผู้เสพ</t>
  </si>
  <si>
    <t>รหัสงบ 1600606011700001</t>
  </si>
  <si>
    <t>รหัสงบ 1600606017700001-3</t>
  </si>
  <si>
    <t>ผลผลิต : จำแนกเด็กและ</t>
  </si>
  <si>
    <t>เยาวชนในสถานพินิจเกี่ยวกับ</t>
  </si>
  <si>
    <t>รหัสงบ 1600613007000000</t>
  </si>
  <si>
    <t>ปฏิรูปกฎหมายและพัฒนา</t>
  </si>
  <si>
    <t>รหัสงบ 1600614009000000</t>
  </si>
  <si>
    <t>รหัสงบ 1600658014000000</t>
  </si>
  <si>
    <t>รหัสงบ 1600660002000000</t>
  </si>
  <si>
    <t>1600604028700001</t>
  </si>
  <si>
    <t>1600604028700002</t>
  </si>
  <si>
    <t>1600606011700001</t>
  </si>
  <si>
    <t>1600606017700001</t>
  </si>
  <si>
    <t>1600606017700002</t>
  </si>
  <si>
    <t>1600606017700003</t>
  </si>
  <si>
    <t>1600631016700003</t>
  </si>
  <si>
    <t>ค่าใช้จ่ายในการเพิ่มประสิทธิภาพการบำบัดทางจิตวิทยาในเด็กและเยาวชนที่มีปัญหาสุขภาพจิตหรือปัญหาซับซ้อนรุนแรง</t>
  </si>
  <si>
    <t>1600660003700001</t>
  </si>
  <si>
    <t>1600660003700002</t>
  </si>
  <si>
    <t>1600660003700003</t>
  </si>
  <si>
    <t>(3)</t>
  </si>
  <si>
    <t>สรุปรายละเอียดการเบิกจ่ายเงินงบประมาณประจำปีงบประมาณ พ.ศ. 2564</t>
  </si>
  <si>
    <t>1600660002410001</t>
  </si>
  <si>
    <t>1600660002410002</t>
  </si>
  <si>
    <t>1600660002410003</t>
  </si>
  <si>
    <t>1600660002410004</t>
  </si>
  <si>
    <t>1600660002410005</t>
  </si>
  <si>
    <t>1600660002410006</t>
  </si>
  <si>
    <t>1600660002410007</t>
  </si>
  <si>
    <t>1600660002410008</t>
  </si>
  <si>
    <t>1600660002410009</t>
  </si>
  <si>
    <t>1600660002410010</t>
  </si>
  <si>
    <t>1600660003410001</t>
  </si>
  <si>
    <t>1600660003410002</t>
  </si>
  <si>
    <t>1600660003410003</t>
  </si>
  <si>
    <t>1600660002420001</t>
  </si>
  <si>
    <t>1600660002420002</t>
  </si>
  <si>
    <t>1600660002420003</t>
  </si>
  <si>
    <t>1600660002420004</t>
  </si>
  <si>
    <t>1600660002420005</t>
  </si>
  <si>
    <t>1600660002420006</t>
  </si>
  <si>
    <t>1600660003420001</t>
  </si>
  <si>
    <t>1600660003420002</t>
  </si>
  <si>
    <t>ที่</t>
  </si>
  <si>
    <t>ปรับปรุงซ่อมแซมระบบบำบัดน้ำเสียจากอาคารสำนักงานและหอนอนเด็กและเยาวชน สถานพินิจฯ จังหวัดสมุทรปราการ ตำบลบางปลา อำเภอบางพลี จังหวัดสมุทรปราการ</t>
  </si>
  <si>
    <t xml:space="preserve">ก่อสร้างอาคารชุดที่พักอาศัยข้าราชการ ขนาด 18 ยูนิต สถานพินิจฯจังหวัดนนทบุรี </t>
  </si>
  <si>
    <t>ก่อสร้างสถานพินิจฯ จังหวัดสุรินทร์(ที่มีสถานแรกรับเด็กและเยาวชน) พร้อมส่วนประกอบ</t>
  </si>
  <si>
    <t>ก่อสร้างสถานพินิจฯจังหวัดฉะเชิงเทรา (ที่มีสถานแรกรับเด็กและเยาวชน) พร้อมส่วนประกอบ</t>
  </si>
  <si>
    <t xml:space="preserve">ก่อสร้างศูนย์แรกรับฯบ้านเมตตาพร้อมส่วนประกอบ (เพิ่มเติม) </t>
  </si>
  <si>
    <t>โครงการบ้านพักข้าราชการ (บ้านหลวง) สถานพินิจฯจังหวัดแม่ฮ่องสอน</t>
  </si>
  <si>
    <t xml:space="preserve">โครงการเพิ่มประสิทธิภาพเพื่อการดูแลเด็กและเยาวชนสำหรับศูนย์ฝึกฯจังหวัดยะลา </t>
  </si>
  <si>
    <t>ก่อสร้างศูนย์ฝึกฯ จังหวัดสงขลาพร้อมส่วนประกอบ</t>
  </si>
  <si>
    <t xml:space="preserve">ก่อสร้างสถานพินิจฯจังหวัดชุมพร(ที่มีสถานแรกรับเด็กและเยาวชน)  พร้อมส่วนประกอบ และอาคารชุดที่พักอาศัยข้าราชการขนาด 18 ยูนิต </t>
  </si>
  <si>
    <t>ของ</t>
  </si>
  <si>
    <t>ค่าก่อสร้างงบประมาณผูกผัน รายการเดิม ( 8 รายการ)</t>
  </si>
  <si>
    <t>ในระบบ GFMIS</t>
  </si>
  <si>
    <t>*หมายเหตุ : 1) กรมพินิจฯ ได้รับจัดสรรงบประมาณปี 2564 ตาม พรบ. เป็นเงินจำนวน 2,160,480,400.- บาท</t>
  </si>
  <si>
    <t>รหัสงบ 1600660003000000</t>
  </si>
  <si>
    <t>สรุปสถานะการใช้จ่ายเงินงบประมาณประจำปีงบประมาณ  พ.ศ. 2564</t>
  </si>
  <si>
    <t>กรมพินิจและคุ้มครองเด็กและเยาวชน  กระทรวงยุติธรรม</t>
  </si>
  <si>
    <t xml:space="preserve">กรมพินิจฯ </t>
  </si>
  <si>
    <t>และ/หรือ สิ้นสุดสัญญา</t>
  </si>
  <si>
    <t>สิ้นสุดวันที่  21 มิถุนายน 65</t>
  </si>
  <si>
    <t>สิ้นสุดวันที่ 3 มกราคม 65</t>
  </si>
  <si>
    <t>สิ้นสุดวันที่ 13 สิงหาคม 64</t>
  </si>
  <si>
    <t>สิ้นสุดวันที่ 17 พฤษภาคม 64</t>
  </si>
  <si>
    <t>สิ้นสุดวันที่ 29 ธันวาคม 63</t>
  </si>
  <si>
    <t>สิ้นสุดวันที่ 22 มกราคม 64</t>
  </si>
  <si>
    <t>สิ้นสุดวันที่ 24 มีนาคม 65</t>
  </si>
  <si>
    <t>สิ้นสุดวันที่ 24 มีนาคม 64</t>
  </si>
  <si>
    <t>สิ้นสุดวันที่ 26 มกราคม 64</t>
  </si>
  <si>
    <t>สิ้นสุดวันที่ 22 กุมภาพันธ์ 64</t>
  </si>
  <si>
    <t>สิ้นสุดวันที่ 24 ธันวาคม 63</t>
  </si>
  <si>
    <t>หมายเหตุ : สถานะปัจจุบัน</t>
  </si>
  <si>
    <r>
      <t xml:space="preserve">ก่อสร้างศูนย์แรกรับฯ บ้านเมตตา </t>
    </r>
    <r>
      <rPr>
        <b/>
        <u/>
        <sz val="18"/>
        <rFont val="TH SarabunPSK"/>
        <family val="2"/>
      </rPr>
      <t>(ปัจจุบันอยู่ระหว่างจัดทำร่างประกาศเผยแพร่ประกวดราคาฯ คาดว่าจะสามารถประกาศได้ภายในวันที่ 18 พย. 63)</t>
    </r>
  </si>
  <si>
    <t>รายการโครงการคืนคนดีสู่สังคม</t>
  </si>
  <si>
    <t>สรุปสถานะการใช้จ่ายเงินงบประมาณประจำปีงบประมาณ  พ.ศ. 2564 เงินงบประมาณเบิกแทนกันของกรมคุมประพฤติ</t>
  </si>
  <si>
    <t>รายการโครงการคืนคนดีสู่สังคัม</t>
  </si>
  <si>
    <t>ค่าจ้างงานผู้พ้นโทษ</t>
  </si>
  <si>
    <t>หมายเหตุ  รายเอียดปรากฏเอกสาร หน้าที่ 8 - 10</t>
  </si>
  <si>
    <t>หมวด</t>
  </si>
  <si>
    <t xml:space="preserve">                 2) ปัจจุบันกรมพินิจฯ ได้รับงบประมาณปี พ.ศ. 2564 ในระบบ GFMIS เมื่อวันที่ 16 ตุลาคม 2563 เป็นเงินจำนวน 1,070,863,500.- บาท</t>
  </si>
  <si>
    <t xml:space="preserve">                 หรือคิดเป็นร้อยละ 49.57 ของวงเงินที่ได้รับจัดสรรงบประมาณตาม พรบ. </t>
  </si>
  <si>
    <t>เป้าหมายการใช้จ่ายงบประมาณรายจ่ายประจำปีงบประมาณ พ.ศ. 2564</t>
  </si>
  <si>
    <t>5 = 1 - 4</t>
  </si>
  <si>
    <t>6 = 1 -  3 - 4</t>
  </si>
  <si>
    <t xml:space="preserve">                 3) ใช้วงเงินงบประมาณที่ได้รับตาม พรบ. เป็นฐานในการคำนวณ</t>
  </si>
  <si>
    <t xml:space="preserve">หมายเหตุ  ปัจจุบันได้จัดสรรงบประมาณไปตั้งจ่ายให้แก่หน่วยงานในสังกัดเรียบร้อยแล้ว โดยมีการจ้างงงานตั้งแต่วันที่ 16 พฤศจิกายน 2563 เป็นต้นไป </t>
  </si>
  <si>
    <t>วงเงินงบประมาณ</t>
  </si>
  <si>
    <t>ตาม พรบ.</t>
  </si>
  <si>
    <t>ได้รับจัดสรรจริง</t>
  </si>
  <si>
    <t>ร้อยละเบิกจ่าย</t>
  </si>
  <si>
    <t>ต่อวงเงินตาม พรบ.</t>
  </si>
  <si>
    <t>การใช้จ่าย (PO + เบิกจ่าย)</t>
  </si>
  <si>
    <t>จำนวน</t>
  </si>
  <si>
    <t>คงเหลืองบประมาณ</t>
  </si>
  <si>
    <t>ที่ยังไม่เบิกจ่าย</t>
  </si>
  <si>
    <t>รวมเป็นเงินทั้งสิ้น/ภาพรวม</t>
  </si>
  <si>
    <t xml:space="preserve">               2) ปัจจุบันกรมพินิจฯ ได้รับงบประมาณปี พ.ศ. 2564 ในระบบ GFMIS เมื่อวันที่ 16 ตุลาคม 2563 เป็นเงินจำนวน 1,070,863,500.- บาท</t>
  </si>
  <si>
    <t xml:space="preserve">               3) ใช้วงเงินงบประมาณตาม พรบ. เป็นฐานในการคำนวณ</t>
  </si>
  <si>
    <t>6 = 1 - 3 - 4</t>
  </si>
  <si>
    <t xml:space="preserve">PO </t>
  </si>
  <si>
    <t xml:space="preserve">หมายเหตุ  ปัจจุบันได้จัดสรรงบประมาณไปตั้งจ่ายให้แก่หน่วยงานในสังกัดเรียบร้อยแล้ว โดยมีการอนุมัติจ้างงงานตั้งแต่วันที่ 16 พฤศจิกายน 2563 เป็นต้นไป </t>
  </si>
  <si>
    <t>ของการเบิกจ่าย+PO</t>
  </si>
  <si>
    <t>การเบิกจ่าย+PO</t>
  </si>
  <si>
    <t>หน่วยงานทำ Po ซ้ำ จึงส่งผลทำให้เสียงบประมาณดังกล่าวไป</t>
  </si>
  <si>
    <t>1600660003700005</t>
  </si>
  <si>
    <t>ค่าใช้จ่ายเกี่ยวกับการดำเนินงานในกิจกรรมการป้องกัน บำบัด แก้ไข ฟื้นฟูสมรรถภาพเด็กและเยาวชนที่เกี่ยวข้องกับยาและสารเสพติด</t>
  </si>
  <si>
    <t>ค่าใช้จ่ายในการรณรงค์ป้องกันและแก้ไขปัญหายาเสพติดในสถานพินิจและศูนย์ฝึกและอบรม</t>
  </si>
  <si>
    <t>โครงการการบำบัดแก้ไขฟื้นฟูเด็กและเยาวชนเฉพาะรายแบบไร้รอยต่อ (IRC)</t>
  </si>
  <si>
    <t>ค่าใช้จ่ายในการสัมมนาและฝึกอาชีพ</t>
  </si>
  <si>
    <t>1)</t>
  </si>
  <si>
    <t>2)</t>
  </si>
  <si>
    <t>1600660002410011</t>
  </si>
  <si>
    <t>1600660002410012</t>
  </si>
  <si>
    <t>1600660002410013</t>
  </si>
  <si>
    <t>หรือ PO</t>
  </si>
  <si>
    <t>สิ้นสุดวันที่ 7 มิถุนายน 2564</t>
  </si>
  <si>
    <t>1600660002410014</t>
  </si>
  <si>
    <t>1600660002410015</t>
  </si>
  <si>
    <t>2) มีการโอนเปลี่ยนแปลงงบประมาณ จากงบดำเนินงาน ไปตั้งจ่ายเป็นงบลงทุน เป็นเงินจำนวน 2,834,599.- บาท</t>
  </si>
  <si>
    <t>เป้าหมายการเบิกจ่าย</t>
  </si>
  <si>
    <t>ปรับปรุงเพิ่มเติมงานอาคารของ      ศูนย์ฝึกฯ จังหวัดยะลา</t>
  </si>
  <si>
    <t>3) มีการโอนเปลี่ยนแปลงงบประมาณ จากงบดำเนินงาน ไปตั้งจ่ายเป็นงบลงทุน เป็นเงินจำนวน 2,834,599.- บาท</t>
  </si>
  <si>
    <t>3) สำนักงบประมาณ ได้จัดสรรเงินงบประมาณรายการก่อสร้างสถานพินิจฯ จังหวัดฉะเชิงเทรา มาตั้งจ่ายให้เพิ่มเติม เป็นเงินจำนวน 2,386,400.- บาท (เพื่อเบิกจ่ายให้ผู้รับจ้างที่มีการส่งมอบงานในบางส่วนเรียบร้อยแล้ว )</t>
  </si>
  <si>
    <t>5) ใช้วงเงินงบประมาณตาม พรบ. และหลังโอนเปลี่ยนแปลงงบประมาณ เป็นฐานในการคำนวณ</t>
  </si>
  <si>
    <t>หมายเหตุ ต่ำกว่า / สูงกว่า เป้าหมาย</t>
  </si>
  <si>
    <t>สิ้นสุดวันที่ 23 พฤศจิกายน 63 ปัจจุบันงานก่อสร้างยังไม่แล้วเสร็จ</t>
  </si>
  <si>
    <t>สิ้นสุดวันที่  25 กันยายน 63 และ ปัจจุบันงานก่อสร้างยังไม่แล้วเสร็จ</t>
  </si>
  <si>
    <t>สิ้นสุดสัญญา วันที่ 17 พฤษภาคม 2564</t>
  </si>
  <si>
    <t>สิ้นสุดสัญญา วันที่ 3 มกราคม 2565</t>
  </si>
  <si>
    <t>สิ้นสุดสัญญา วันที่ 14 มิถุนายน 2564</t>
  </si>
  <si>
    <t>สิ้นสุดสัญญา วันที่ 28 มกราคม 2564</t>
  </si>
  <si>
    <t>สิ้นสุดสัญญา วันที่ 22 เมษายน 2565</t>
  </si>
  <si>
    <t>สิ้นสุดสัญญา วันที่ 13 สิงหาคม 2564</t>
  </si>
  <si>
    <t>สิ้นสุดสัญญา วันที่ 24 มีนาคม 2565</t>
  </si>
  <si>
    <t>รายการเดิม ที่ได้รับจัดสรรตาม พรบ. งบประมาณ</t>
  </si>
  <si>
    <t>2. ครุภัณฑ์รายการใหม่ ซึ่งเป็นรายการโอนเปลี่ยนแปลงจากเงินเหลือจ่ายจากการจัดซื้อจัดจ้าง ไปตั้งจ่ายเป็นรายการใหม่ และปัจจุบันอยู่ระหว่างขั้นตอนการจัดซื้อจัดจ้าง</t>
  </si>
  <si>
    <t xml:space="preserve">1. ครุภัณฑ์รายการเดิม ที่หน่วยงานหมดความจำเป็น และอยู่ระหว่างขออนุมัติโอนเปลี่ยนแปลงไปเป็นรายการใหม่ </t>
  </si>
  <si>
    <t>5. ที่ดินและสิ่งก่อสร้าง ที่ยังไม่ก่อหนี้ผูกพัน (ซึ่งเป็นรายการใหม่ ที่ได้โอนเปลี่ยนแปลงงบประมาณจากเงินเหลือจ่ายจากการจัดซื้อจัดจ้างไปตั้งจ่ายเป็นรายการใหม่) และปัจจุบันอยู่ระหว่างดำเนินการจัดจ้าง</t>
  </si>
  <si>
    <t>3. ครุภัณฑ์เงินเหลือจ่ายจากการจัดซื้อจัดจ้าง และ   อยู่ระหว่างขออนุมัติโอนเปลี่ยนแปลงไปตั้งจ่ายเป็นรายการใหม่</t>
  </si>
  <si>
    <t>6. ที่ดินและสิ่งก่อสร้าง ที่ยังไม่ก่อหนี้ผูกพัน (ซึ่งเป็นเงิบประมาณเหลือจ่ายจากการจัดซื้อจัดจ้าง และปัจจุบันอยู่ระหว่างขออนุมัติโอนเปลี่ยนแปลง         ไปตั้งจ่ายเป็นรายการใหม่)</t>
  </si>
  <si>
    <t>รายละเอียดงบประมาณ งบปีเดียวที่มียอดคงเหลือสุทธิ ได้แก่</t>
  </si>
  <si>
    <t>*หมายเหตุ     1) กรมพินิจฯ ได้รับงบประมาณตามพรบ. เป็นเงินจำนวน 195,714,800.- บาท แต่เบื้องต้นได้รับจัดสรรงบประมาณในระบบ GFMIS เป็นเงินจำนวน 88,481,100.- บาท หรือคิดเป็น ร้อยละ 45.21 ของวงเงินที่ได้รับจัดสรรตาม พรบ.</t>
  </si>
  <si>
    <t>4. ที่ดินและสิ่งก่อสร้าง ที่ยังไม่ก่อหนี้ผูกพัน (รายการเดิมที่ได้รับจัดสรรตาม พรบ. งบประมาณ) และปัจจุบันอยู่ระหว่างการปรับ/แก้ไข แบบรูปรายการ</t>
  </si>
  <si>
    <t xml:space="preserve">4) มีการโอนเปลี่ยนแปลงงบประมาณ จากงบลงทุน ไปตั้งจ่ายเป็นงบรายจ่ายอื่น(PMQA4.0) เป็นเงินจำนวน 400,000.- บาท </t>
  </si>
  <si>
    <t>ของการเบิกจ่าย +</t>
  </si>
  <si>
    <t>เงินกันไว้เบิก</t>
  </si>
  <si>
    <t>พ.ศ. 2563</t>
  </si>
  <si>
    <t>งบประมาณปี 2563 พับไป</t>
  </si>
  <si>
    <t xml:space="preserve">เหลื่อมปี </t>
  </si>
  <si>
    <t>สิ้นสุดสัญญา วันที่ 21 มิถุนายน 2565 และเบื้องต้นอยู่ระหว่างขออนุมัติเบิกจ่ายเงินอีก    เป็นเงินจำนวน 1,054,054.- บาท (จากเงินปี 63 = 582,768.- บาท ปี 64 = 471,286.- บาท)</t>
  </si>
  <si>
    <t>ตาม พรบ</t>
  </si>
  <si>
    <t>งบประมาณปี พ.ศ. 2564</t>
  </si>
  <si>
    <t>สรุปงบประมาณ</t>
  </si>
  <si>
    <t>ที่ยังไม่ได้รับจัดสรร</t>
  </si>
  <si>
    <t>จากสำนักงบประมาณ</t>
  </si>
  <si>
    <t xml:space="preserve"> GFMIS ณ ปัจจุบัน</t>
  </si>
  <si>
    <t>งบประมาณที่ได้รับใน</t>
  </si>
  <si>
    <t>คงเหลือ ณ ปัจจุบัน</t>
  </si>
  <si>
    <t>โครงการบ้านพักข้าราชการ (บ้านหลวง)สถานพินิจฯ จังหวัดแม่ฮ่องสอน</t>
  </si>
  <si>
    <t>ก่อสร้างก่อสร้างอาคารชุดที่พักอาศัยข้าราชการฯสถานพินิจฯ จังหวัดนนทบุรี</t>
  </si>
  <si>
    <t>สิ้นสุดวันที่ 10 พฤษภาคม 64 และเดิมมีการกันเงินฯ เป็นเงินจำนวน 5,772,752.96 บาท แต่ต่อมามีการปรับลดยอด PO    ไปเป็น 5,505,412.65 บาท จึงส่งผลให้มีวงเงินคงเหลือ 267,340.31 บาท (หรือเป็นงบประมาณพับไป 267,340.31 บาท)</t>
  </si>
  <si>
    <t xml:space="preserve">3) มีการโอนเปลี่ยนแปลงงบประมาณ จากงบลงทุน ไปตั้งจ่ายเป็นงบรายจ่ายอื่น(PMQA 4.0) เป็นเงินจำนวน 400,000.- บาท </t>
  </si>
  <si>
    <t>ใช้วงเงินงบประมาณในระบบ GFMIS เป็นฐานในการคำนวณ</t>
  </si>
  <si>
    <t>1) ใช้วงเงินงบประมาณในระบบ GFMIS เป็นฐานในการคำนวณ</t>
  </si>
  <si>
    <t>งบประจำ</t>
  </si>
  <si>
    <t xml:space="preserve">เบิกจ่ายเรียบร้อยแล้ว </t>
  </si>
  <si>
    <t>1600660002410032</t>
  </si>
  <si>
    <t>ก่อสร้างห้องพยาบาลเด็กและเยาวชน สถานพินิจฯ จังหวัดนนทบุรี</t>
  </si>
  <si>
    <t>1600660003700008</t>
  </si>
  <si>
    <t>เป้าหมายการใช้จ่ายงบประมาณ ประจำปีงบประมาณ พ.ศ. 2564 ตามมติคณะรัฐมนตรี</t>
  </si>
  <si>
    <t>2) มีการโอนเปลี่ยนแปลงงบประมาณ จากงบดำเนินงาน ไปตั้งจ่ายเป็นงบรายจ่ายอื่น (ค่าจ้างที่ปรึกษา 4 โครงการ) เป็นเงินจำนวน 5,015,000.- บาท</t>
  </si>
  <si>
    <t>3) มีการโอนเปลี่ยนแปลงงบประมาณ จากงบลงทุน  ไปตั้งจ่ายเป็นงบรายจ่ายอื่น(รายการPMQA 4.0 ) เป็นเงินจำนวน 400,000.- บาท</t>
  </si>
  <si>
    <t>หรือโอนเปลี่ยนแปลงฯ</t>
  </si>
  <si>
    <t xml:space="preserve"> ตาม พรบ.</t>
  </si>
  <si>
    <t>ร้อยละของ</t>
  </si>
  <si>
    <t xml:space="preserve">การเบิกจ่าย </t>
  </si>
  <si>
    <t xml:space="preserve"> + PO</t>
  </si>
  <si>
    <t>ค่าเช่าเครื่องถ่ายเอกสาร</t>
  </si>
  <si>
    <t>สิ้นสุดวันที่ 11 สิงหาคม 65</t>
  </si>
  <si>
    <t>สิ้นสุดวันที่ 21 ธันวาคม 64</t>
  </si>
  <si>
    <t>สิ้นสุดวันที่ 10 พฤษภาคม 64 และปัจจุบันได้เบิกจ่ายเสร็จเรียร้อยแล้ว และมีเงินเหลือจ่ายที่ต้องพับไป เป็นเงินจำนวน 988,573.81 บาท</t>
  </si>
  <si>
    <t>หน่วยงานทำ Po ซ้ำ จึงส่งผลทำให้เป็นงบประมาณพับไป</t>
  </si>
  <si>
    <t>7015270833/ 7015636946</t>
  </si>
  <si>
    <t>1600660003410025</t>
  </si>
  <si>
    <t>1600660003410026</t>
  </si>
  <si>
    <t>1600660003410027</t>
  </si>
  <si>
    <t xml:space="preserve">ติดตั้งผ้าม่านมู่ลี่ ของสถานพินิจฯ จังหวัดสุรินทร์
</t>
  </si>
  <si>
    <t xml:space="preserve">ปรับปรุงอาคารหอนอนเด็กและเยาวชน ของสถานพินิจฯ จังหวัดสุรินทร์
</t>
  </si>
  <si>
    <t xml:space="preserve">ปรับปรุงประตูทางเข้าออกอาคารตึกอำนวยการ ของสถานพินิจฯ จังหวัดตาก
</t>
  </si>
  <si>
    <t xml:space="preserve">   2) ใช้วงเงินงบประมาณหลังโอนเปลี่ยนแปลงงบประมาณ หรือได้รับสุทธิ เป็นฐานในการคำนวณ</t>
  </si>
  <si>
    <r>
      <t xml:space="preserve">สิ้นสุดวันที่  25 กันยายน 63 และ ปัจจุบันงานก่อสร้างยังไม่แล้วเสร็จ </t>
    </r>
    <r>
      <rPr>
        <b/>
        <u val="singleAccounting"/>
        <sz val="18"/>
        <color theme="1"/>
        <rFont val="TH SarabunPSK"/>
        <family val="2"/>
      </rPr>
      <t>(ผู้รับจ้างทิ้งงาน)</t>
    </r>
  </si>
  <si>
    <t>1600660002410036</t>
  </si>
  <si>
    <t>ลานกีฬาคอนกรีตของศูนย์ฝึกฯ บ้านบึง</t>
  </si>
  <si>
    <t xml:space="preserve">        1.1) มีการโอนเปลี่ยนแปลงงบประมาณ จากงบดำเนินงาน  มาตั้งจ่ายเป็น งบรายจ่ายอื่น (ค่าจ้างที่ปรึกษา จำนวน 4 โครงการ ตั้งแต่ลำดับ 14 -16 และ 18) เป็นเงินจำนวน 5,015,000.- บาท</t>
  </si>
  <si>
    <t>1600660003410028</t>
  </si>
  <si>
    <t>1600660003410029</t>
  </si>
  <si>
    <t xml:space="preserve">ปรับปรุงหลังคาอาคารอำนวยการศูนย์ฝึกฯ บ้านบึง ของศูนย์ฝึกฯ บ้านบึง </t>
  </si>
  <si>
    <t xml:space="preserve">โครงการงานรั้วเหล็กโปร่งรอบลานสนามกีฬา ของศูนย์ฝึกฯ บ้านบึง </t>
  </si>
  <si>
    <t xml:space="preserve">        1.2) มีการโอนเปลี่ยนแปลงงบประมาณ จากงบลงทุน  มาตั้งจ่ายเป็นงบรายจ่ายอื่น(รายการ PMQA 4.0 หรือรายการลำดับที่ 17) เป็นเงินจำนวน 400,000.- บาท โอนเปลี่ยนแปลงกลับไปตั้งจ่ายเป็นงบดำเนินงาน</t>
  </si>
  <si>
    <t xml:space="preserve">        โอนเปลี่ยนแปลงกลับไปตั้งจ่ายเป็นงบดำเนินงาน เป็นเงินจำนวน 10,500.- บาท  คงเหลือ 5,004,500.- บาท</t>
  </si>
  <si>
    <t xml:space="preserve">          เป็นเงินจำนวน 1,000 บาท คงเหลือ 399,000.- บาท</t>
  </si>
  <si>
    <t>สิ้นสุดวันที่ 10 พฤษภาคม 64 และปัจจุบันได้เบิกจ่ายเสร็จเรียบร้อยแล้ว และมีเงินเหลือจ่ายที่ต้องพับไป เป็นเงินจำนวน 988,573.81 บาท งบประมาณพับไป</t>
  </si>
  <si>
    <t>สิ้นสุดวันที่ 24 มีนาคม 65 งบประมาณพับไป</t>
  </si>
  <si>
    <t>สิ้นสุดวันที่ 11 สิงหาคม 65 งบประมาณพับไป</t>
  </si>
  <si>
    <t>สิ้นสุดวันที่ 3 มกราคม 65 งบประมาณพับไป</t>
  </si>
  <si>
    <r>
      <t xml:space="preserve">สิ้นสุดวันที่  25 กันยายน 63 และ ปัจจุบันงานก่อสร้างยังไม่แล้วเสร็จ </t>
    </r>
    <r>
      <rPr>
        <b/>
        <u val="singleAccounting"/>
        <sz val="18"/>
        <color theme="1"/>
        <rFont val="TH SarabunPSK"/>
        <family val="2"/>
      </rPr>
      <t>(ผู้รับจ้างทิ้งงาน) งบประมาณพับไป</t>
    </r>
  </si>
  <si>
    <t>สรุปรายละเอียดการกันไว้เบิกเหลื่อมปีงบประมาณ พ.ศ. 2564</t>
  </si>
  <si>
    <t>2) มีการโอนเปลี่ยนแปลงงบประมาณ จากงบดำเนินงาน ไปตั้งจ่ายเป็นงบรายจ่ายอื่น (ค่าจ้างที่ปรึกษา 4 โครงการ) เป็นเงินจำนวน 5,403,500.- บาท</t>
  </si>
  <si>
    <t>30.09.2021</t>
  </si>
  <si>
    <t>30.11.2021</t>
  </si>
  <si>
    <t>28.10.2021</t>
  </si>
  <si>
    <t>26.10.2021</t>
  </si>
  <si>
    <t>31.08.2021</t>
  </si>
  <si>
    <t>18.10.2021</t>
  </si>
  <si>
    <t>03.10.2021</t>
  </si>
  <si>
    <t>27.01.2022</t>
  </si>
  <si>
    <t>10.10.2021</t>
  </si>
  <si>
    <t>21.10.2021</t>
  </si>
  <si>
    <t>08.07.2021</t>
  </si>
  <si>
    <t>26.03.2022</t>
  </si>
  <si>
    <t>26.09.2021</t>
  </si>
  <si>
    <t>17.11.2021</t>
  </si>
  <si>
    <t>17.02.2022</t>
  </si>
  <si>
    <t>19.03.2022</t>
  </si>
  <si>
    <t>21.01.2022</t>
  </si>
  <si>
    <t>28.12.2021</t>
  </si>
  <si>
    <t>25.09.2021</t>
  </si>
  <si>
    <t>22.04.2022</t>
  </si>
  <si>
    <t>07.06.2021</t>
  </si>
  <si>
    <t>21.06.2022</t>
  </si>
  <si>
    <t>19.09.2021</t>
  </si>
  <si>
    <t>26.11.2021</t>
  </si>
  <si>
    <t>01.11.2021</t>
  </si>
  <si>
    <t>22.10.2021</t>
  </si>
  <si>
    <t>16.10.2021</t>
  </si>
  <si>
    <t>04.10.2021</t>
  </si>
  <si>
    <t>23.09.2021</t>
  </si>
  <si>
    <t>19.10.2021</t>
  </si>
  <si>
    <t>15.10.2021</t>
  </si>
  <si>
    <t>27.03.2022</t>
  </si>
  <si>
    <t>กรมพินิจฯ ส่วนกลาง</t>
  </si>
  <si>
    <t>สถานพินิจฯ จังหวัดแม่ฮ่องสอน</t>
  </si>
  <si>
    <t>สถานพินิจฯ จังหวัดสุรินทร์</t>
  </si>
  <si>
    <t>ศูนย์ฝึกฯ บ้านกรุณา</t>
  </si>
  <si>
    <t>สถานพินิจฯ จังหวัดสมุทรปราการ</t>
  </si>
  <si>
    <t>สถานพินิจฯ จังหวัดนนทบุรี</t>
  </si>
  <si>
    <t>สถานพินิจฯ จังหวัดตาก</t>
  </si>
  <si>
    <t>ศูนย์ฝึกฯ บ้านบึง</t>
  </si>
  <si>
    <t>ค่าเช่าเครื่องถ่ายเอกสาร (กองคลัง)</t>
  </si>
  <si>
    <t>ค่าเช่าเครื่องถ่ายเอกสาร (กพส)</t>
  </si>
  <si>
    <t>ค่าบำรุงรักษาระบบคอมพิวเตอร์</t>
  </si>
  <si>
    <t>โครงการจัดทำข้อมูลความปลอดภัย</t>
  </si>
  <si>
    <t>จัดจ้างที่ปรึกษาบำรุงรักษาระบบราชการ</t>
  </si>
  <si>
    <t>ค่าจ้างเหมาย้ายเครื่องคอมแม่ข่ายฯ</t>
  </si>
  <si>
    <t>ค่าจัดจ้างผลิตสื่อวีดีทัศน์ 70 ปี</t>
  </si>
  <si>
    <t>ค่าจัดจ้างพิมพ์วัสดุแบบพิมพ์</t>
  </si>
  <si>
    <t>ค่าจัดซื้อกระดาษ</t>
  </si>
  <si>
    <t>ผลิตสื่อการเรียนรู้</t>
  </si>
  <si>
    <t>จัดจ้างคู่มือเพื่อเสริมสร้างความเข้าใจ</t>
  </si>
  <si>
    <t>จัดซื้อชุดตรวจสารเสพติด</t>
  </si>
  <si>
    <t>ผลิตเกมออกไปข้างนอก</t>
  </si>
  <si>
    <t>จัดทำใบประกาศเกียรติคุณ</t>
  </si>
  <si>
    <t>จัดจ้างทำโล่ สำหรับกรรมการสงเคราะห์</t>
  </si>
  <si>
    <t>โครงการจัดทำระบบประเมินและจัดเก็บข้อมูลการตรวจสอบภายในด้วยอิเล็กทรอนิกส์ ประจำปีงบประมาณ พ.ศ. 2564</t>
  </si>
  <si>
    <t>โครงการจัดซื้อเครื่องคอมพิวเตอร์แบบพกพา (iPad wifi) สำหรับสนับสนุนสถานการณ์โควิด</t>
  </si>
  <si>
    <t>1600660003110467</t>
  </si>
  <si>
    <t>โครงการพัฒนาระบบรายงานแสดงข้อมูลงบประมาณรายจ่ายประจำปีของกรมพินิจฯ ประจำปีงบประมาณ พ.ศ. 2564</t>
  </si>
  <si>
    <t>1600660003110464</t>
  </si>
  <si>
    <t>1600660003110463</t>
  </si>
  <si>
    <t>โครงการปรับปรุงระบบคำของบประมาณครุภัณฑ์/สิ่งก่อสร้าง</t>
  </si>
  <si>
    <t>1600660003110465</t>
  </si>
  <si>
    <t>โครงการพัฒนาระบบเบิกจ่ายพัสดุแบบออนไลน์</t>
  </si>
  <si>
    <t>เครื่องวัดออกซิเจนปลายนิ้ว ของกรมพินิจฯ (ส่วนกลาง)</t>
  </si>
  <si>
    <t>1600660003110267</t>
  </si>
  <si>
    <t>เครื่องรับส่งวิทยุสี่อสาร</t>
  </si>
  <si>
    <t>1600660003110492</t>
  </si>
  <si>
    <t>บอร์ดนิทรรศการ 70 ปี</t>
  </si>
  <si>
    <t>1600660002110045 / 1600660002110147/ 1600660003110117</t>
  </si>
  <si>
    <t>กล้องวงจรปิด พร้อมอุปกรณ์สำหรับห้องแยกกัก ศฝ.บ้านกรุณา และกล้องวงจรปิด พร้อมอุปกรณ์สำหรับจัดตั้ง รพ.สนาม (ระบบ WiFi) ศฝ.บ้านกรุณา</t>
  </si>
  <si>
    <t>1600660003110314 / 160066000311315</t>
  </si>
  <si>
    <t>ถังออกซิเจน พร้อมอุปกรณ์ ศฝ.เขต 2</t>
  </si>
  <si>
    <t>1600660003110387</t>
  </si>
  <si>
    <t>1600660003110254</t>
  </si>
  <si>
    <t>โครงการจัดทำระบบคำของบประมาณประเภทลงทุน</t>
  </si>
  <si>
    <t>ค่าเครื่องแต่งกาย</t>
  </si>
  <si>
    <t>1600660002000000</t>
  </si>
  <si>
    <t>ค่าจัดซื้อเครื่องแบบประจำวันฯ</t>
  </si>
  <si>
    <t>1600613007000000</t>
  </si>
  <si>
    <t>1600660003000000</t>
  </si>
  <si>
    <t>โครงการจัดทำฐานข้อมูลและระบบครุภัณฑ์</t>
  </si>
  <si>
    <t>2.1 ค่าก่อสร้างศูนย์ฝึกฯ จังหวัดสงขลา</t>
  </si>
  <si>
    <t>2.2 ค่าก่อสร้างสถานพินิจฯ จังหวัดชุมพร</t>
  </si>
  <si>
    <t>2.2 ค่าก่อสร้างอาคารชุดที่พักฯ สถานพินิจฯ จังหวัดนนทบุรี</t>
  </si>
  <si>
    <t>2.2 ค่าปรับปรุงเขตพื้นที่ศูนย์ฝึกฯ เขต 4</t>
  </si>
  <si>
    <t>1.1 ค่าเช่ารถยนต์ราชการ (พับรอบมีนาคม 2564 เป็นเงินจำนวน 267,340.31 บาท  และรอบกันยายน เป็นเงินจำนวน 721,233.50.- บาท)</t>
  </si>
  <si>
    <t>2.1 รายการครุภัณฑ์</t>
  </si>
  <si>
    <t>2.1 รายการที่ดินและสิ่งก่อสร้าง</t>
  </si>
  <si>
    <t>ค่าไส้กรองเครื่องกรองน้ำ</t>
  </si>
  <si>
    <t xml:space="preserve">สิ้นสุดวันที่ 24 มีนาคม 64 </t>
  </si>
  <si>
    <t xml:space="preserve">รวมงบรายจ่ายอื่น ของกรมพินิจฯ </t>
  </si>
  <si>
    <t>รวมงบรายจ่ายอื่นทั้งสิ้น</t>
  </si>
  <si>
    <t>ค่าจ้างที่ปรึกษาโครงการพัฒนาแบบประเมินความเสี่ยง และความจำเป็นในการบำบัดฟื้นฟูเด็กและเยาวชนในสถานพินิจฯ  (สถาบันวิจัยและพัฒนา)</t>
  </si>
  <si>
    <t>ผลิตหนังสือทำเนียบกรรมการสงเคราะห์</t>
  </si>
  <si>
    <t>ค่าจ้างที่ปรึกษาในการดำเนินโครงการ “การศึกษาและวิเคราะห์ข้อมูลเยาวชน Juvenile Profile Analytics (JPA)” (สำนักบริหาร</t>
  </si>
  <si>
    <t>ค่าใช้จ่ายในการรณรงค์ป้องกันและแก้ไขปัญหายาเสพติด (TO BE NUMBER ONE)</t>
  </si>
  <si>
    <t>งบประมาณตาม พรบ. ปี 65</t>
  </si>
  <si>
    <t>เงินประจำงวด ปี 65</t>
  </si>
  <si>
    <t xml:space="preserve">สรุปรายละเอียดการเบิกจ่ายเงินงบประมาณประจำปีงบประมาณ พ.ศ. 2565  ในระบบ GFMIS </t>
  </si>
  <si>
    <t>สรุปรายละเอียดการเบิกจ่ายเงินงบประมาณประจำปีงบประมาณ พ.ศ. 2565</t>
  </si>
  <si>
    <t>ศักยภาพคนตลอดช่วงชีวิต</t>
  </si>
  <si>
    <t>โครงการพัฒนาเด็กและเยาวชนดี</t>
  </si>
  <si>
    <t>เพื่อสังคม</t>
  </si>
  <si>
    <t>รหัสงบ 1600631030700001</t>
  </si>
  <si>
    <t>บำบัด ฟื้นฟู เด็กและเยาวชน</t>
  </si>
  <si>
    <t>รหัสงบ 1600658029700001-3</t>
  </si>
  <si>
    <t>1. โครงการส่งเสริมและพัฒนา</t>
  </si>
  <si>
    <t>2. โครงการพัฒนาระบบการแก้ไข</t>
  </si>
  <si>
    <t>ผลผลิตที่ 1 เด็ก เยาวชนและ</t>
  </si>
  <si>
    <t>ผู้เยาว์ได้รับการคุ้มครองดูแล</t>
  </si>
  <si>
    <t>ผลผลิตที่ 2 เด็กและเยาวชน</t>
  </si>
  <si>
    <t>ได้รับการพัฒนาพฤตินิสัย</t>
  </si>
  <si>
    <t>เงินจัดสรร ปี 65</t>
  </si>
  <si>
    <t>ร้อยละของเงินจัดสรร</t>
  </si>
  <si>
    <t>5 = 1-3</t>
  </si>
  <si>
    <t>6 = 1-3-4</t>
  </si>
  <si>
    <t>PO+เบิกจ่าย</t>
  </si>
  <si>
    <t>ผู้รับจ้างทิ้งงาน</t>
  </si>
  <si>
    <t>ครุภัณฑ์ที่มีราคาต่อหน่วยต่ำกว่า 1 ล้านบาท ( 605 รายการ)</t>
  </si>
  <si>
    <t>5 = 1-4</t>
  </si>
  <si>
    <t>1600660003420003</t>
  </si>
  <si>
    <t>โครงการเพิ่มประสิทธิภาพเพื่อการดูแลเด็กและเยาวชนสำหรับศูนย์ฝึกฯ จังหวัดยะลา</t>
  </si>
  <si>
    <t>ก่อสร้างอาคารชุดที่พักอาศัยข้าราชการ ขนาด 18 ยูนิตสำหรับศูนย์ฝึกฯ เขต 1 จังหวัดระยอง (งานใหม่)</t>
  </si>
  <si>
    <t>3.1</t>
  </si>
  <si>
    <t>3.2</t>
  </si>
  <si>
    <t>3.3</t>
  </si>
  <si>
    <t>3.4</t>
  </si>
  <si>
    <t>3.5</t>
  </si>
  <si>
    <t>3.6</t>
  </si>
  <si>
    <t>3.7</t>
  </si>
  <si>
    <t xml:space="preserve">*หมายเหตุ :   กรมพินิจฯ ได้รับจัดสรรงบประมาณปี 2565 ตาม พรบ. เป็นเงินจำนวน 1,969,681,900.- บาท </t>
  </si>
  <si>
    <r>
      <rPr>
        <b/>
        <u/>
        <sz val="18"/>
        <rFont val="TH SarabunPSK"/>
        <family val="2"/>
      </rPr>
      <t>แต่</t>
    </r>
    <r>
      <rPr>
        <b/>
        <sz val="18"/>
        <rFont val="TH SarabunPSK"/>
        <family val="2"/>
      </rPr>
      <t xml:space="preserve"> เบื้องต้นได้รับจัดสรรในระบบ GFMIS เป็นเงินจำนวน 978,219,100.- บาท  คงเหลือยังไม่รับจัดสรรอีก เป็นเงินจำนวน 991,462,800.- บาท</t>
    </r>
  </si>
  <si>
    <t>ค่าปรับปรุงอาคารที่ทำการ/ค่าปรับปรุงอาคารที่พักอาศัย และสิ่งก่อสร้างประกอบที่มีราคาต่อหน่วยต่ำกว่า 10 ล้าน และค่าก่อสร้างอื่นๆ (งบประมาณปีเดียว) (18 รายการ)</t>
  </si>
  <si>
    <t>ค่าใช้จ่ายในการดำเนินกิจกรรมเสริมสร้างประสิทธิภาพงานยุติธรรม เพื่อการสร้างความเป็นธรรมในจังหวัดชายแดนภาคใต้</t>
  </si>
  <si>
    <t>ค่าใช้จ่ายในการป้องกันเด็กและเยาวชนกลุ่มเสี่ยงต่อการใช้ยาเสพติดในสถานพินิจและศูนย์ฝึกและอบรม</t>
  </si>
  <si>
    <t>1600631030700001</t>
  </si>
  <si>
    <t>ค่าใช้จ่ายในการพัฒนาเด็กและเยาวชนดีเพื่อสังคม</t>
  </si>
  <si>
    <t>1600658029700001</t>
  </si>
  <si>
    <t>ค่าใช้จ่ายในการพัฒนาระบบการแก้ไข บำบัด ฟื้นฟู เด็กและเยาวชน</t>
  </si>
  <si>
    <t>1600658029700002</t>
  </si>
  <si>
    <t>ค่าใช้จ่ายในการสร้างปัญญาพัฒนาอาชีพสำหรับเด็กและเยาวชนในกระบวนการยุติธรรม</t>
  </si>
  <si>
    <t>1600658029700003</t>
  </si>
  <si>
    <t>ค่าใช้จ่ายโครงการพัฒนาการบำบัด แก้ไข ฟื้นฟูและพัฒนาพฤตินิสัยเด็กและเยาวชนโดยการจัดการศึกษา ฝึกวิชาชีพการพัฒนากาย/จิตใจและการเตรียมความพร้อมก่อนปล่อย</t>
  </si>
  <si>
    <t>(PO)</t>
  </si>
  <si>
    <r>
      <t xml:space="preserve">        </t>
    </r>
    <r>
      <rPr>
        <b/>
        <u/>
        <sz val="16"/>
        <rFont val="TH SarabunPSK"/>
        <family val="2"/>
      </rPr>
      <t>ดังนั้น</t>
    </r>
    <r>
      <rPr>
        <b/>
        <sz val="16"/>
        <rFont val="TH SarabunPSK"/>
        <family val="2"/>
      </rPr>
      <t xml:space="preserve"> งบรายจ่ายอื่น ได้รับจัดสรรสุทธิ เป็นเงินจำนวนทั้งสิ้น 37,148,400.- บาท  รายละเอียดดังนี้</t>
    </r>
  </si>
  <si>
    <t>รายละเอียดงบประมาณรายจ่ายประจำปีงบประมาณ  พ.ศ.  2565</t>
  </si>
  <si>
    <r>
      <t xml:space="preserve">ค่าก่อสร้างงบประมาณผูกผัน </t>
    </r>
    <r>
      <rPr>
        <sz val="16"/>
        <rFont val="TH SarabunPSK"/>
        <family val="2"/>
      </rPr>
      <t>(7 รายการ)</t>
    </r>
  </si>
  <si>
    <t>*หมายเหตุ      ใช้วงเงินงบประมาณตาม พรบ. เป็นฐานในการคำนวณ</t>
  </si>
  <si>
    <t>งานก่อสร้างอาคารห้องประชุมขนาดเล็ก ศูนย์ฝึกและอบรมเด็กและเยาวชนเขต 2 จังหวัดราชบุรี</t>
  </si>
  <si>
    <t>3.1 งบรายจ่ายอื่น ที่กรมพินิจฯ ดำเนินการ</t>
  </si>
  <si>
    <t>กรมสุขภาพจิต                เป็นผู้ดำเนินการ</t>
  </si>
  <si>
    <t>หมายเหตุ  รายละเอียดประกอบตั้งแต่หน้าที่ 7 ถึง 11</t>
  </si>
  <si>
    <r>
      <rPr>
        <b/>
        <sz val="22"/>
        <color theme="0"/>
        <rFont val="TH SarabunPSK"/>
        <family val="2"/>
      </rPr>
      <t xml:space="preserve">*หมายเหตุ : </t>
    </r>
    <r>
      <rPr>
        <b/>
        <sz val="22"/>
        <color theme="1"/>
        <rFont val="TH SarabunPSK"/>
        <family val="2"/>
      </rPr>
      <t xml:space="preserve">  2. ใช้วงเงินงบประมาณตาม พรบ. เป็นฐานในการคำนวณ</t>
    </r>
  </si>
  <si>
    <r>
      <t xml:space="preserve">*หมายเหตุ :   1. กรมพินิจฯ ได้รับงบประมาณ ตาม พรบ. เป็นเงินจำนวน 1,969,681,900.- บาท </t>
    </r>
    <r>
      <rPr>
        <b/>
        <u/>
        <sz val="22"/>
        <color theme="1"/>
        <rFont val="TH SarabunPSK"/>
        <family val="2"/>
      </rPr>
      <t>แต่</t>
    </r>
    <r>
      <rPr>
        <b/>
        <sz val="22"/>
        <color theme="1"/>
        <rFont val="TH SarabunPSK"/>
        <family val="2"/>
      </rPr>
      <t xml:space="preserve"> ปัจจุบันได้รับจัดสรรในเบื้องต้น(ในระบบ GFMIS)</t>
    </r>
  </si>
  <si>
    <t>คงเหลือจาก PO+ เบิกจ่าย</t>
  </si>
  <si>
    <t>ก่อสร้างอาคารชุดที่พักอาศัยข้าราชการ ขนาด 18 ยูนิตสถานพินิจฯ จังหวัดสกลนคร      (งานใหม่)</t>
  </si>
  <si>
    <t>ต่อเติมห้องพักเด็กและเยาวชนสถานพินิจฯ จังหวัดสระบุรี</t>
  </si>
  <si>
    <t>โครงการโรงอาบน้ำแบบ 2สถานพินิจฯ จังหวัดบุรีรัมย์</t>
  </si>
  <si>
    <t>ก่อสร้างอาคารอเนกประสงค์สถานพินิจฯ จังหวัดอุบลราชธานี</t>
  </si>
  <si>
    <t>ก่อสร้างอาคารอเนกประสงค์สถานพินิจฯ จังหวัดพิษณุโลก</t>
  </si>
  <si>
    <t>ซ่อมแซมอาคาร สถานพินิจฯ จังหวัดนครศรีธรรมราช</t>
  </si>
  <si>
    <t>งานติดตั้งถังเก็บน้ำดีและติดตั้งปั้มน้ำ สถานพินิจฯ จังหวัดภูเก็ต</t>
  </si>
  <si>
    <t>ปรับปรุงรั้วตาข่ายถักลานตากผ้า สถานพินิจฯ จังหวัดสงขลา</t>
  </si>
  <si>
    <t>งานเหล็กกันตกอาคารหอนอน/อาคารวิชาชีพ สถานพินิจฯ กรุงเทพ</t>
  </si>
  <si>
    <t>งานซ่อมแซมหลังคาและฝ้าเพดานโรงครัว สถานพินิจฯ กรุงเทพ</t>
  </si>
  <si>
    <t>ติดตั้งตาข่ายกั้นนกและกันสาดสถานพินิจฯ จังหวัดนนทบุรี</t>
  </si>
  <si>
    <t>โครงการปรับปรุงอาคารชุดที่พักอาศัยข้าราชการ 18 ยูนิตและก่อสร้างรั้วกำแพงกันดินพร้อมถมดินรอบอาคาร สถานพินิจฯ จังหวัดร้อยเอ็ด</t>
  </si>
  <si>
    <t>ก่อสร้างรั้วบ้านพักข้าราชการ สถานพินิจฯ จังหวัดนครศรีธรรมราช</t>
  </si>
  <si>
    <t>ก่อสร้างรั้วบ้านพักข้าราชการ สถานพินิจฯ จังหวัดเชียงราย</t>
  </si>
  <si>
    <t>ปรับปรุงซ่อมแซมห้องน้ำในเรือนนอนชาย สถานพินิจฯ จังหวัดบุรีรัมย์</t>
  </si>
  <si>
    <t>งานรื้อถอนโรงอาบน้ำ (อาคารเดิม) สถานพินิจฯ จังหวัดบุรีรัมย์</t>
  </si>
  <si>
    <t>ปรับปรุงซ่อมแซมอาคารหอนอนเด็กและเยาวชน ศูนย์ฝึกฯ เขต10 จังหวัดพังงา</t>
  </si>
  <si>
    <t>จัดจ้างรื้อหน้าต่างบานเกร็ดและทำหน้าต่างบานเลื่อนอลูมิเนียม ศูนย์ฝึกฯ สิรินธร</t>
  </si>
  <si>
    <t>งานรื้อถอนอาคารส่วนราชการ(อาคารพักอาศัยเจ้าหน้าที่)ศูนย์ฝึกฯ เขต 1 จังหวัดระยอง</t>
  </si>
  <si>
    <t xml:space="preserve">ก่อสร้างสถานพินิจฯ จังหวัดชุมพร(ที่มีสถานแรกรับเด็กและเยาวชน) พร้อมส่วนประกอบ และอาคารชุดที่พักอาศัยข้าราชการขนาด 18ยูนิต </t>
  </si>
  <si>
    <t xml:space="preserve">ก่อสร้างสถานพินิจฯ จังหวัดฉะเชิงเทรา (ที่มีสถานแรกรับเด็กและเยาวชน) พร้อมส่วนประกอบ </t>
  </si>
  <si>
    <t>ก่อสร้างศูนย์แรกรับฯ บ้านเมตตา เขตบางนา กรุงเทพมหานคร พร้อมส่วนประกอบ</t>
  </si>
  <si>
    <t>ก่อสร้างศูนย์ฝึกฯ จังหวัดสงขลา พร้อมส่วนประกอบ</t>
  </si>
  <si>
    <t>เงินเหลือจ่ายจากการจัดจ้าง</t>
  </si>
  <si>
    <r>
      <t>3.2 งบรายจ่ายอื่น ที่</t>
    </r>
    <r>
      <rPr>
        <u/>
        <sz val="18"/>
        <rFont val="TH SarabunPSK"/>
        <family val="2"/>
      </rPr>
      <t>กรมสุขภาพจิต ดำเนินการ (รายการโครงการ TO BE NUMBER ONE)</t>
    </r>
  </si>
  <si>
    <t>ค่าใช้จ่ายในการรณรงค์ป้องกันและแก้ไขปัญหายาเสพติด TO BE NUMBER ONE</t>
  </si>
  <si>
    <t xml:space="preserve">ก่อสร้างสถานพินิจฯจังหวัดชุมพร(ที่มีสถานแรกรับเด็กและเยาวชน)  พร้อมส่วนประกอบ และอาคารชุดที่พักอาศัยข้าราชการ ขนาด  18 ยูนิต </t>
  </si>
  <si>
    <t>สรุปรายละเอียดเงินงบประมาณปี พ.ศ. 2563 ที่ต้องถูกพับไปโดยผลของกฎหมาย ตามพระราชบัญญัติวิธีการงบประมาณ พ.ศ. 2561</t>
  </si>
  <si>
    <t>ค่าจ้างเหมาย้ายระบบสารสนเทศฯ</t>
  </si>
  <si>
    <t xml:space="preserve">*หมายเหตุ ใช้วงเงินงบประมาณตาม พรบ. เป็นฐานในการคำนวณ  </t>
  </si>
  <si>
    <t>กรมพินิจฯ ได้จัดสรรงบประมาณงบรายจ่ายอื่น ไปตั้งจ่ายให้แก่กรมสุขภาพจิต  ในลักษณะงบประมาณ      เบิกแทนกัน</t>
  </si>
  <si>
    <t xml:space="preserve">กรมพินิจฯ ตัดโอนงบประมาณให้แก่       กรมสุขภาพจิต </t>
  </si>
  <si>
    <t>ตั้งแต่วันที่ 1  ตุลาคม 2564 ถึงวันที่ 31 ตุลาคม 2564</t>
  </si>
  <si>
    <t xml:space="preserve">                    เป็นเงินจำนวน 993,916,800.- บาท  หรือคิดเป็นร้อยละ 50.46</t>
  </si>
  <si>
    <t>งบประมาณปี พ.ศ. 2565 ยังไม่ได้รับจัดสรร</t>
  </si>
  <si>
    <t xml:space="preserve">สรุปสถานะการใช้จ่ายเงินงบประมาณประจำปีงบประมาณ พ.ศ. 2565 ในระบบ GFMIS     </t>
  </si>
  <si>
    <t>สรุปสถานะการใช้จ่ายเงินงบประมาณประจำปี พ.ศ. 2565 ในระบบ GFMIS (ตามที่กรมได้จัดสรรให้จริง ในระบบ GFMIS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</si>
</sst>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_(* #,##0.00_);_(* \(#,##0.00\);_(* &quot;-&quot;??_);_(@_)"/>
    <numFmt numFmtId="188" formatCode="#,##0_ ;\-#,##0\ "/>
    <numFmt numFmtId="189" formatCode="_-* #,##0_-;\-* #,##0_-;_-* &quot;-&quot;??_-;_-@_-"/>
    <numFmt numFmtId="190" formatCode="_-* #,##0.0000_-;\-* #,##0.0000_-;_-* &quot;-&quot;??_-;_-@_-"/>
    <numFmt numFmtId="191" formatCode="_(* #,##0.0000_);_(* \(#,##0.0000\);_(* &quot;-&quot;??_);_(@_)"/>
    <numFmt numFmtId="192" formatCode="0.0"/>
    <numFmt numFmtId="193" formatCode="#,##0.00_);\(#,##0.00\)"/>
  </numFmts>
  <fonts count="115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Angsana New"/>
      <family val="1"/>
    </font>
    <font>
      <b/>
      <sz val="16"/>
      <name val="Angsana New"/>
      <family val="1"/>
    </font>
    <font>
      <b/>
      <sz val="18"/>
      <name val="Angsana New"/>
      <family val="1"/>
    </font>
    <font>
      <b/>
      <sz val="26"/>
      <name val="Angsana New"/>
      <family val="1"/>
    </font>
    <font>
      <sz val="18"/>
      <name val="Angsana New"/>
      <family val="1"/>
    </font>
    <font>
      <b/>
      <sz val="20"/>
      <name val="AngsanaUPC"/>
      <family val="1"/>
      <charset val="222"/>
    </font>
    <font>
      <b/>
      <sz val="16"/>
      <name val="AngsanaUPC"/>
      <family val="1"/>
      <charset val="222"/>
    </font>
    <font>
      <sz val="16"/>
      <name val="AngsanaUPC"/>
      <family val="1"/>
      <charset val="222"/>
    </font>
    <font>
      <b/>
      <sz val="26"/>
      <name val="AngsanaUPC"/>
      <family val="1"/>
      <charset val="222"/>
    </font>
    <font>
      <b/>
      <sz val="20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b/>
      <sz val="22"/>
      <name val="AngsanaUPC"/>
      <family val="1"/>
    </font>
    <font>
      <sz val="18"/>
      <name val="TH SarabunPSK"/>
      <family val="2"/>
    </font>
    <font>
      <b/>
      <sz val="19"/>
      <name val="AngsanaUPC"/>
      <family val="1"/>
      <charset val="222"/>
    </font>
    <font>
      <b/>
      <sz val="19"/>
      <name val="AngsanaUPC"/>
      <family val="1"/>
    </font>
    <font>
      <b/>
      <sz val="18"/>
      <name val="AngsanaUPC"/>
      <family val="1"/>
      <charset val="222"/>
    </font>
    <font>
      <sz val="16"/>
      <name val="AngsanaUPC"/>
      <family val="1"/>
    </font>
    <font>
      <b/>
      <sz val="16"/>
      <name val="AngsanaUPC"/>
      <family val="1"/>
    </font>
    <font>
      <sz val="18"/>
      <name val="AngsanaUPC"/>
      <family val="1"/>
    </font>
    <font>
      <b/>
      <sz val="18"/>
      <name val="AngsanaUPC"/>
      <family val="1"/>
    </font>
    <font>
      <b/>
      <sz val="22"/>
      <name val="Angsana New"/>
      <family val="1"/>
    </font>
    <font>
      <b/>
      <sz val="14"/>
      <name val="Cordia New"/>
      <family val="2"/>
    </font>
    <font>
      <b/>
      <sz val="14"/>
      <name val="Angsana New"/>
      <family val="1"/>
    </font>
    <font>
      <b/>
      <sz val="18"/>
      <name val="Cordia New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22"/>
      <name val="Angsana New"/>
      <family val="1"/>
    </font>
    <font>
      <sz val="14"/>
      <name val="TH SarabunPSK"/>
      <family val="2"/>
    </font>
    <font>
      <b/>
      <sz val="14"/>
      <name val="TH SarabunPSK"/>
      <family val="2"/>
    </font>
    <font>
      <b/>
      <sz val="22"/>
      <name val="TH SarabunPSK"/>
      <family val="2"/>
    </font>
    <font>
      <b/>
      <sz val="24"/>
      <name val="TH SarabunPSK"/>
      <family val="2"/>
    </font>
    <font>
      <b/>
      <u/>
      <sz val="18"/>
      <color indexed="8"/>
      <name val="TH SarabunPSK"/>
      <family val="2"/>
    </font>
    <font>
      <b/>
      <sz val="18"/>
      <color indexed="8"/>
      <name val="Angsana New"/>
      <family val="1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Angsana New"/>
      <family val="1"/>
    </font>
    <font>
      <b/>
      <sz val="16"/>
      <color rgb="FFFF0000"/>
      <name val="Angsana New"/>
      <family val="1"/>
    </font>
    <font>
      <sz val="18"/>
      <color rgb="FFFF0000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22"/>
      <color theme="1"/>
      <name val="TH SarabunPSK"/>
      <family val="2"/>
    </font>
    <font>
      <b/>
      <sz val="26"/>
      <color theme="1"/>
      <name val="TH SarabunPSK"/>
      <family val="2"/>
    </font>
    <font>
      <b/>
      <sz val="20"/>
      <color rgb="FFFF0000"/>
      <name val="TH SarabunPSK"/>
      <family val="2"/>
    </font>
    <font>
      <b/>
      <sz val="18"/>
      <color rgb="FFFF0000"/>
      <name val="TH SarabunPSK"/>
      <family val="2"/>
    </font>
    <font>
      <b/>
      <sz val="36"/>
      <color theme="1"/>
      <name val="TH SarabunPSK"/>
      <family val="2"/>
    </font>
    <font>
      <sz val="16"/>
      <color theme="1"/>
      <name val="Angsana New"/>
      <family val="1"/>
    </font>
    <font>
      <b/>
      <sz val="19"/>
      <color theme="1"/>
      <name val="TH SarabunPSK"/>
      <family val="2"/>
    </font>
    <font>
      <sz val="24"/>
      <color theme="1"/>
      <name val="TH SarabunPSK"/>
      <family val="2"/>
    </font>
    <font>
      <sz val="20"/>
      <color theme="1"/>
      <name val="TH SarabunPSK"/>
      <family val="2"/>
    </font>
    <font>
      <sz val="22"/>
      <color theme="1"/>
      <name val="TH SarabunPSK"/>
      <family val="2"/>
    </font>
    <font>
      <b/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24"/>
      <color theme="1"/>
      <name val="TH SarabunPSK"/>
      <family val="2"/>
    </font>
    <font>
      <b/>
      <sz val="22"/>
      <color theme="1"/>
      <name val="Angsana New"/>
      <family val="1"/>
    </font>
    <font>
      <sz val="18"/>
      <color theme="1"/>
      <name val="Angsana New"/>
      <family val="1"/>
    </font>
    <font>
      <sz val="18"/>
      <name val="AngsanaUPC"/>
      <family val="1"/>
      <charset val="222"/>
    </font>
    <font>
      <sz val="16"/>
      <color rgb="FFFF0000"/>
      <name val="Angsana New"/>
      <family val="1"/>
    </font>
    <font>
      <sz val="28"/>
      <name val="Cordia New"/>
      <family val="2"/>
    </font>
    <font>
      <b/>
      <sz val="34"/>
      <name val="TH SarabunPSK"/>
      <family val="2"/>
    </font>
    <font>
      <b/>
      <sz val="36"/>
      <name val="TH SarabunPSK"/>
      <family val="2"/>
    </font>
    <font>
      <b/>
      <sz val="26"/>
      <name val="TH SarabunPSK"/>
      <family val="2"/>
    </font>
    <font>
      <b/>
      <u/>
      <sz val="26"/>
      <name val="TH SarabunPSK"/>
      <family val="2"/>
    </font>
    <font>
      <b/>
      <sz val="27"/>
      <name val="TH SarabunPSK"/>
      <family val="2"/>
    </font>
    <font>
      <sz val="22"/>
      <name val="TH SarabunPSK"/>
      <family val="2"/>
    </font>
    <font>
      <sz val="26"/>
      <name val="TH SarabunPSK"/>
      <family val="2"/>
    </font>
    <font>
      <b/>
      <sz val="26"/>
      <color theme="0"/>
      <name val="TH SarabunPSK"/>
      <family val="2"/>
    </font>
    <font>
      <b/>
      <sz val="40"/>
      <name val="TH SarabunPSK"/>
      <family val="2"/>
    </font>
    <font>
      <sz val="40"/>
      <name val="TH SarabunPSK"/>
      <family val="2"/>
    </font>
    <font>
      <b/>
      <sz val="72"/>
      <name val="TH SarabunPSK"/>
      <family val="2"/>
    </font>
    <font>
      <b/>
      <sz val="44"/>
      <name val="TH SarabunPSK"/>
      <family val="2"/>
    </font>
    <font>
      <sz val="44"/>
      <name val="TH SarabunPSK"/>
      <family val="2"/>
    </font>
    <font>
      <b/>
      <sz val="28"/>
      <name val="TH SarabunPSK"/>
      <family val="2"/>
    </font>
    <font>
      <sz val="28"/>
      <name val="TH SarabunPSK"/>
      <family val="2"/>
    </font>
    <font>
      <b/>
      <sz val="30"/>
      <name val="TH SarabunPSK"/>
      <family val="2"/>
    </font>
    <font>
      <sz val="30"/>
      <name val="TH SarabunPSK"/>
      <family val="2"/>
    </font>
    <font>
      <sz val="24"/>
      <name val="TH SarabunPSK"/>
      <family val="2"/>
    </font>
    <font>
      <sz val="16.5"/>
      <name val="TH SarabunPSK"/>
      <family val="2"/>
    </font>
    <font>
      <b/>
      <sz val="20"/>
      <color theme="0"/>
      <name val="TH SarabunPSK"/>
      <family val="2"/>
    </font>
    <font>
      <sz val="20"/>
      <color theme="0"/>
      <name val="TH SarabunPSK"/>
      <family val="2"/>
    </font>
    <font>
      <b/>
      <sz val="48"/>
      <name val="TH SarabunPSK"/>
      <family val="2"/>
    </font>
    <font>
      <b/>
      <sz val="20"/>
      <color indexed="8"/>
      <name val="Angsana New"/>
      <family val="1"/>
    </font>
    <font>
      <b/>
      <sz val="46"/>
      <name val="TH SarabunPSK"/>
      <family val="2"/>
    </font>
    <font>
      <b/>
      <u/>
      <sz val="18"/>
      <name val="TH SarabunPSK"/>
      <family val="2"/>
    </font>
    <font>
      <b/>
      <sz val="23"/>
      <color theme="1"/>
      <name val="TH SarabunPSK"/>
      <family val="2"/>
    </font>
    <font>
      <sz val="18"/>
      <name val="Cordia New"/>
      <family val="2"/>
    </font>
    <font>
      <sz val="22"/>
      <color theme="1"/>
      <name val="Angsana New"/>
      <family val="1"/>
    </font>
    <font>
      <b/>
      <sz val="20"/>
      <color theme="1"/>
      <name val="Angsana New"/>
      <family val="1"/>
    </font>
    <font>
      <b/>
      <sz val="18"/>
      <color theme="0"/>
      <name val="Angsana New"/>
      <family val="1"/>
    </font>
    <font>
      <sz val="20"/>
      <color theme="1"/>
      <name val="Angsana New"/>
      <family val="1"/>
    </font>
    <font>
      <b/>
      <sz val="24"/>
      <color theme="1"/>
      <name val="Angsana New"/>
      <family val="1"/>
    </font>
    <font>
      <b/>
      <sz val="18"/>
      <color rgb="FFFF0000"/>
      <name val="Angsana New"/>
      <family val="1"/>
    </font>
    <font>
      <b/>
      <sz val="18"/>
      <color theme="0" tint="-4.9989318521683403E-2"/>
      <name val="Angsana New"/>
      <family val="1"/>
    </font>
    <font>
      <b/>
      <sz val="19"/>
      <name val="TH SarabunPSK"/>
      <family val="2"/>
    </font>
    <font>
      <b/>
      <sz val="18"/>
      <color indexed="8"/>
      <name val="TH SarabunPSK"/>
      <family val="2"/>
    </font>
    <font>
      <b/>
      <sz val="26"/>
      <color rgb="FFFF0000"/>
      <name val="TH SarabunPSK"/>
      <family val="2"/>
    </font>
    <font>
      <b/>
      <sz val="16"/>
      <name val="TH SarabunPSK"/>
      <family val="2"/>
      <charset val="222"/>
    </font>
    <font>
      <b/>
      <sz val="16"/>
      <name val="Cordia New"/>
      <family val="2"/>
      <charset val="222"/>
    </font>
    <font>
      <sz val="8"/>
      <name val="Cordia New"/>
      <family val="2"/>
    </font>
    <font>
      <sz val="14"/>
      <color theme="1"/>
      <name val="TH SarabunPSK"/>
      <family val="2"/>
    </font>
    <font>
      <sz val="16"/>
      <color rgb="FF000000"/>
      <name val="TH SarabunPSK"/>
      <family val="2"/>
    </font>
    <font>
      <b/>
      <u val="singleAccounting"/>
      <sz val="18"/>
      <color theme="1"/>
      <name val="TH SarabunPSK"/>
      <family val="2"/>
    </font>
    <font>
      <b/>
      <u/>
      <sz val="16"/>
      <name val="TH SarabunPSK"/>
      <family val="2"/>
    </font>
    <font>
      <u/>
      <sz val="18"/>
      <name val="TH SarabunPSK"/>
      <family val="2"/>
    </font>
    <font>
      <b/>
      <sz val="22"/>
      <color theme="0"/>
      <name val="TH SarabunPSK"/>
      <family val="2"/>
    </font>
    <font>
      <b/>
      <u/>
      <sz val="22"/>
      <color theme="1"/>
      <name val="TH SarabunPSK"/>
      <family val="2"/>
    </font>
  </fonts>
  <fills count="1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</cellStyleXfs>
  <cellXfs count="1339">
    <xf numFmtId="0" fontId="0" fillId="0" borderId="0" xfId="0"/>
    <xf numFmtId="43" fontId="4" fillId="0" borderId="1" xfId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43" fontId="22" fillId="0" borderId="1" xfId="0" applyNumberFormat="1" applyFont="1" applyFill="1" applyBorder="1" applyAlignment="1">
      <alignment vertical="center"/>
    </xf>
    <xf numFmtId="43" fontId="19" fillId="4" borderId="9" xfId="1" applyFont="1" applyFill="1" applyBorder="1" applyAlignment="1">
      <alignment horizontal="center" vertical="center" shrinkToFit="1"/>
    </xf>
    <xf numFmtId="43" fontId="21" fillId="4" borderId="4" xfId="1" applyFont="1" applyFill="1" applyBorder="1" applyAlignment="1">
      <alignment horizontal="center" vertical="center" shrinkToFit="1"/>
    </xf>
    <xf numFmtId="0" fontId="9" fillId="0" borderId="0" xfId="0" applyFont="1" applyFill="1"/>
    <xf numFmtId="0" fontId="9" fillId="0" borderId="0" xfId="0" applyFont="1" applyFill="1" applyAlignment="1">
      <alignment vertical="center"/>
    </xf>
    <xf numFmtId="0" fontId="19" fillId="5" borderId="9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3" fontId="19" fillId="5" borderId="9" xfId="0" applyNumberFormat="1" applyFont="1" applyFill="1" applyBorder="1" applyAlignment="1">
      <alignment horizontal="center" vertical="center"/>
    </xf>
    <xf numFmtId="43" fontId="19" fillId="5" borderId="9" xfId="0" applyNumberFormat="1" applyFont="1" applyFill="1" applyBorder="1" applyAlignment="1">
      <alignment horizontal="center" vertical="center" shrinkToFit="1"/>
    </xf>
    <xf numFmtId="43" fontId="20" fillId="5" borderId="9" xfId="0" applyNumberFormat="1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43" fontId="19" fillId="5" borderId="4" xfId="0" applyNumberFormat="1" applyFont="1" applyFill="1" applyBorder="1" applyAlignment="1">
      <alignment horizontal="center" vertical="center"/>
    </xf>
    <xf numFmtId="43" fontId="20" fillId="5" borderId="4" xfId="0" applyNumberFormat="1" applyFont="1" applyFill="1" applyBorder="1" applyAlignment="1">
      <alignment horizontal="center" vertical="center"/>
    </xf>
    <xf numFmtId="0" fontId="11" fillId="0" borderId="0" xfId="0" applyFont="1" applyFill="1"/>
    <xf numFmtId="43" fontId="11" fillId="0" borderId="0" xfId="0" applyNumberFormat="1" applyFont="1" applyFill="1"/>
    <xf numFmtId="43" fontId="23" fillId="0" borderId="0" xfId="0" applyNumberFormat="1" applyFont="1" applyFill="1"/>
    <xf numFmtId="43" fontId="6" fillId="0" borderId="0" xfId="1" applyFont="1" applyFill="1" applyBorder="1" applyAlignment="1">
      <alignment horizontal="center" vertical="center"/>
    </xf>
    <xf numFmtId="188" fontId="4" fillId="0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43" fontId="6" fillId="0" borderId="1" xfId="1" applyFont="1" applyFill="1" applyBorder="1" applyAlignment="1">
      <alignment horizontal="center" vertical="center"/>
    </xf>
    <xf numFmtId="43" fontId="6" fillId="0" borderId="1" xfId="1" applyFont="1" applyFill="1" applyBorder="1" applyAlignment="1">
      <alignment horizontal="left" vertical="center" shrinkToFit="1"/>
    </xf>
    <xf numFmtId="189" fontId="4" fillId="0" borderId="0" xfId="1" applyNumberFormat="1" applyFont="1" applyFill="1" applyBorder="1" applyAlignment="1">
      <alignment horizontal="center"/>
    </xf>
    <xf numFmtId="43" fontId="4" fillId="0" borderId="0" xfId="1" applyFont="1" applyFill="1" applyBorder="1" applyAlignment="1">
      <alignment horizontal="center"/>
    </xf>
    <xf numFmtId="49" fontId="4" fillId="0" borderId="0" xfId="1" applyNumberFormat="1" applyFont="1" applyFill="1" applyBorder="1" applyAlignment="1">
      <alignment horizontal="center"/>
    </xf>
    <xf numFmtId="43" fontId="4" fillId="0" borderId="0" xfId="1" applyFont="1" applyFill="1" applyBorder="1" applyAlignment="1">
      <alignment horizontal="left"/>
    </xf>
    <xf numFmtId="49" fontId="6" fillId="0" borderId="1" xfId="1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vertical="center" shrinkToFit="1"/>
    </xf>
    <xf numFmtId="43" fontId="17" fillId="5" borderId="10" xfId="0" applyNumberFormat="1" applyFont="1" applyFill="1" applyBorder="1" applyAlignment="1">
      <alignment vertical="center" shrinkToFit="1"/>
    </xf>
    <xf numFmtId="39" fontId="17" fillId="5" borderId="10" xfId="0" applyNumberFormat="1" applyFont="1" applyFill="1" applyBorder="1" applyAlignment="1">
      <alignment vertical="center" shrinkToFit="1"/>
    </xf>
    <xf numFmtId="2" fontId="17" fillId="5" borderId="10" xfId="0" applyNumberFormat="1" applyFont="1" applyFill="1" applyBorder="1" applyAlignment="1">
      <alignment horizontal="center" vertical="center" shrinkToFit="1"/>
    </xf>
    <xf numFmtId="0" fontId="17" fillId="0" borderId="0" xfId="0" applyFont="1" applyFill="1" applyAlignment="1">
      <alignment vertical="center" shrinkToFit="1"/>
    </xf>
    <xf numFmtId="43" fontId="24" fillId="0" borderId="1" xfId="0" applyNumberFormat="1" applyFont="1" applyFill="1" applyBorder="1" applyAlignment="1">
      <alignment vertical="center" shrinkToFit="1"/>
    </xf>
    <xf numFmtId="43" fontId="25" fillId="0" borderId="1" xfId="0" applyNumberFormat="1" applyFont="1" applyFill="1" applyBorder="1" applyAlignment="1">
      <alignment vertical="center" shrinkToFit="1"/>
    </xf>
    <xf numFmtId="2" fontId="25" fillId="0" borderId="1" xfId="0" applyNumberFormat="1" applyFont="1" applyFill="1" applyBorder="1" applyAlignment="1">
      <alignment horizontal="center" vertical="center" shrinkToFit="1"/>
    </xf>
    <xf numFmtId="0" fontId="27" fillId="0" borderId="0" xfId="0" applyFont="1"/>
    <xf numFmtId="43" fontId="6" fillId="0" borderId="1" xfId="1" applyFont="1" applyFill="1" applyBorder="1" applyAlignment="1">
      <alignment horizontal="center" vertical="center" shrinkToFit="1"/>
    </xf>
    <xf numFmtId="0" fontId="20" fillId="5" borderId="11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vertical="center"/>
    </xf>
    <xf numFmtId="0" fontId="25" fillId="0" borderId="7" xfId="0" applyFont="1" applyFill="1" applyBorder="1" applyAlignment="1">
      <alignment vertical="center" shrinkToFit="1"/>
    </xf>
    <xf numFmtId="0" fontId="25" fillId="0" borderId="6" xfId="0" applyFont="1" applyFill="1" applyBorder="1" applyAlignment="1">
      <alignment vertical="center"/>
    </xf>
    <xf numFmtId="0" fontId="25" fillId="0" borderId="8" xfId="0" applyFont="1" applyFill="1" applyBorder="1" applyAlignment="1">
      <alignment vertical="center" shrinkToFit="1"/>
    </xf>
    <xf numFmtId="0" fontId="23" fillId="0" borderId="0" xfId="0" applyFont="1" applyFill="1"/>
    <xf numFmtId="39" fontId="25" fillId="0" borderId="1" xfId="0" applyNumberFormat="1" applyFont="1" applyFill="1" applyBorder="1" applyAlignment="1">
      <alignment vertical="center" shrinkToFit="1"/>
    </xf>
    <xf numFmtId="0" fontId="29" fillId="0" borderId="9" xfId="0" applyFont="1" applyBorder="1" applyAlignment="1">
      <alignment horizontal="center"/>
    </xf>
    <xf numFmtId="43" fontId="29" fillId="0" borderId="9" xfId="1" applyNumberFormat="1" applyFont="1" applyBorder="1" applyAlignment="1">
      <alignment horizontal="center"/>
    </xf>
    <xf numFmtId="0" fontId="29" fillId="0" borderId="0" xfId="0" applyFont="1"/>
    <xf numFmtId="0" fontId="29" fillId="0" borderId="11" xfId="0" applyFont="1" applyBorder="1"/>
    <xf numFmtId="43" fontId="29" fillId="0" borderId="11" xfId="1" applyNumberFormat="1" applyFont="1" applyBorder="1"/>
    <xf numFmtId="43" fontId="29" fillId="0" borderId="12" xfId="1" applyNumberFormat="1" applyFont="1" applyBorder="1"/>
    <xf numFmtId="43" fontId="29" fillId="3" borderId="11" xfId="1" applyNumberFormat="1" applyFont="1" applyFill="1" applyBorder="1"/>
    <xf numFmtId="0" fontId="29" fillId="0" borderId="4" xfId="0" applyFont="1" applyBorder="1"/>
    <xf numFmtId="43" fontId="29" fillId="0" borderId="4" xfId="1" applyNumberFormat="1" applyFont="1" applyBorder="1"/>
    <xf numFmtId="43" fontId="29" fillId="0" borderId="0" xfId="1" applyNumberFormat="1" applyFont="1"/>
    <xf numFmtId="43" fontId="29" fillId="0" borderId="11" xfId="0" applyNumberFormat="1" applyFont="1" applyBorder="1"/>
    <xf numFmtId="43" fontId="29" fillId="3" borderId="1" xfId="1" applyNumberFormat="1" applyFont="1" applyFill="1" applyBorder="1"/>
    <xf numFmtId="43" fontId="29" fillId="2" borderId="1" xfId="1" applyFont="1" applyFill="1" applyBorder="1"/>
    <xf numFmtId="0" fontId="4" fillId="0" borderId="1" xfId="0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 shrinkToFit="1"/>
    </xf>
    <xf numFmtId="43" fontId="19" fillId="4" borderId="4" xfId="1" applyNumberFormat="1" applyFont="1" applyFill="1" applyBorder="1" applyAlignment="1">
      <alignment horizontal="center" vertical="center"/>
    </xf>
    <xf numFmtId="43" fontId="22" fillId="0" borderId="1" xfId="1" applyNumberFormat="1" applyFont="1" applyFill="1" applyBorder="1" applyAlignment="1">
      <alignment vertical="center"/>
    </xf>
    <xf numFmtId="43" fontId="29" fillId="0" borderId="0" xfId="1" applyFont="1"/>
    <xf numFmtId="43" fontId="4" fillId="0" borderId="5" xfId="1" applyFont="1" applyFill="1" applyBorder="1" applyAlignment="1">
      <alignment vertical="center" shrinkToFit="1"/>
    </xf>
    <xf numFmtId="43" fontId="4" fillId="0" borderId="0" xfId="1" applyFont="1" applyFill="1" applyBorder="1" applyAlignment="1">
      <alignment shrinkToFit="1"/>
    </xf>
    <xf numFmtId="43" fontId="5" fillId="0" borderId="1" xfId="1" applyFont="1" applyFill="1" applyBorder="1" applyAlignment="1">
      <alignment horizontal="left" vertical="center" shrinkToFit="1"/>
    </xf>
    <xf numFmtId="43" fontId="5" fillId="0" borderId="0" xfId="1" applyFont="1" applyFill="1" applyBorder="1" applyAlignment="1">
      <alignment horizontal="center"/>
    </xf>
    <xf numFmtId="43" fontId="8" fillId="0" borderId="0" xfId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0" fontId="39" fillId="0" borderId="0" xfId="0" applyFont="1" applyFill="1" applyAlignment="1">
      <alignment vertical="center" shrinkToFit="1"/>
    </xf>
    <xf numFmtId="43" fontId="26" fillId="0" borderId="1" xfId="1" applyFont="1" applyFill="1" applyBorder="1" applyAlignment="1">
      <alignment horizontal="center" vertical="center"/>
    </xf>
    <xf numFmtId="43" fontId="26" fillId="0" borderId="1" xfId="1" applyFont="1" applyFill="1" applyBorder="1" applyAlignment="1">
      <alignment horizontal="center" vertical="center" shrinkToFit="1"/>
    </xf>
    <xf numFmtId="43" fontId="26" fillId="0" borderId="1" xfId="1" applyFont="1" applyFill="1" applyBorder="1" applyAlignment="1">
      <alignment horizontal="left" vertical="center" shrinkToFit="1"/>
    </xf>
    <xf numFmtId="43" fontId="32" fillId="0" borderId="0" xfId="1" applyFont="1" applyFill="1" applyBorder="1" applyAlignment="1">
      <alignment horizontal="center" shrinkToFit="1"/>
    </xf>
    <xf numFmtId="0" fontId="4" fillId="0" borderId="1" xfId="0" applyFont="1" applyBorder="1" applyAlignment="1">
      <alignment vertical="center"/>
    </xf>
    <xf numFmtId="43" fontId="29" fillId="0" borderId="0" xfId="0" applyNumberFormat="1" applyFont="1"/>
    <xf numFmtId="0" fontId="40" fillId="0" borderId="0" xfId="0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39" fillId="0" borderId="0" xfId="0" applyFont="1" applyFill="1" applyAlignment="1">
      <alignment horizontal="center" vertical="center"/>
    </xf>
    <xf numFmtId="0" fontId="42" fillId="0" borderId="0" xfId="0" applyFont="1" applyFill="1" applyAlignment="1">
      <alignment horizontal="center" vertical="center"/>
    </xf>
    <xf numFmtId="0" fontId="39" fillId="0" borderId="0" xfId="0" applyFont="1" applyFill="1" applyAlignment="1">
      <alignment vertical="center"/>
    </xf>
    <xf numFmtId="0" fontId="42" fillId="0" borderId="0" xfId="0" applyFont="1" applyFill="1" applyAlignment="1">
      <alignment vertical="center"/>
    </xf>
    <xf numFmtId="43" fontId="40" fillId="0" borderId="0" xfId="0" applyNumberFormat="1" applyFont="1" applyFill="1" applyAlignment="1">
      <alignment vertical="center"/>
    </xf>
    <xf numFmtId="0" fontId="42" fillId="0" borderId="0" xfId="0" applyFont="1" applyFill="1" applyAlignment="1">
      <alignment vertical="center" shrinkToFit="1"/>
    </xf>
    <xf numFmtId="0" fontId="41" fillId="0" borderId="0" xfId="0" applyFont="1" applyFill="1" applyAlignment="1">
      <alignment vertical="center" shrinkToFit="1"/>
    </xf>
    <xf numFmtId="43" fontId="6" fillId="0" borderId="1" xfId="1" applyFont="1" applyFill="1" applyBorder="1" applyAlignment="1">
      <alignment horizontal="center" vertical="center" wrapText="1" shrinkToFit="1"/>
    </xf>
    <xf numFmtId="43" fontId="4" fillId="0" borderId="1" xfId="1" applyFont="1" applyFill="1" applyBorder="1" applyAlignment="1">
      <alignment horizontal="left" vertical="center" wrapText="1" shrinkToFit="1"/>
    </xf>
    <xf numFmtId="0" fontId="4" fillId="0" borderId="1" xfId="0" applyFont="1" applyBorder="1" applyAlignment="1">
      <alignment vertical="center" wrapText="1"/>
    </xf>
    <xf numFmtId="43" fontId="4" fillId="0" borderId="0" xfId="1" applyFont="1" applyFill="1" applyBorder="1" applyAlignment="1">
      <alignment horizontal="center" wrapText="1" shrinkToFit="1"/>
    </xf>
    <xf numFmtId="43" fontId="29" fillId="0" borderId="1" xfId="1" applyNumberFormat="1" applyFont="1" applyBorder="1"/>
    <xf numFmtId="43" fontId="29" fillId="0" borderId="1" xfId="0" applyNumberFormat="1" applyFont="1" applyBorder="1"/>
    <xf numFmtId="0" fontId="4" fillId="0" borderId="7" xfId="0" applyFont="1" applyBorder="1" applyAlignment="1">
      <alignment horizontal="left" vertical="center" wrapText="1" shrinkToFit="1"/>
    </xf>
    <xf numFmtId="43" fontId="5" fillId="0" borderId="1" xfId="1" applyFont="1" applyFill="1" applyBorder="1" applyAlignment="1">
      <alignment horizontal="left" vertical="center" wrapText="1"/>
    </xf>
    <xf numFmtId="43" fontId="43" fillId="0" borderId="0" xfId="1" applyFont="1" applyBorder="1" applyAlignment="1">
      <alignment horizontal="center"/>
    </xf>
    <xf numFmtId="0" fontId="42" fillId="0" borderId="1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 shrinkToFit="1"/>
    </xf>
    <xf numFmtId="0" fontId="41" fillId="0" borderId="1" xfId="0" applyFont="1" applyFill="1" applyBorder="1" applyAlignment="1">
      <alignment vertical="center"/>
    </xf>
    <xf numFmtId="43" fontId="41" fillId="0" borderId="1" xfId="1" applyFont="1" applyFill="1" applyBorder="1" applyAlignment="1">
      <alignment vertical="center"/>
    </xf>
    <xf numFmtId="43" fontId="41" fillId="0" borderId="1" xfId="1" applyFont="1" applyFill="1" applyBorder="1" applyAlignment="1">
      <alignment vertical="center" shrinkToFit="1"/>
    </xf>
    <xf numFmtId="43" fontId="41" fillId="0" borderId="1" xfId="0" applyNumberFormat="1" applyFont="1" applyFill="1" applyBorder="1" applyAlignment="1">
      <alignment vertical="center"/>
    </xf>
    <xf numFmtId="0" fontId="42" fillId="0" borderId="1" xfId="0" applyFont="1" applyFill="1" applyBorder="1" applyAlignment="1">
      <alignment vertical="center"/>
    </xf>
    <xf numFmtId="43" fontId="42" fillId="0" borderId="1" xfId="1" applyFont="1" applyFill="1" applyBorder="1" applyAlignment="1">
      <alignment vertical="center"/>
    </xf>
    <xf numFmtId="43" fontId="42" fillId="0" borderId="1" xfId="0" applyNumberFormat="1" applyFont="1" applyFill="1" applyBorder="1" applyAlignment="1">
      <alignment vertical="center"/>
    </xf>
    <xf numFmtId="0" fontId="41" fillId="0" borderId="1" xfId="0" applyFont="1" applyFill="1" applyBorder="1" applyAlignment="1">
      <alignment vertical="center" shrinkToFit="1"/>
    </xf>
    <xf numFmtId="43" fontId="42" fillId="0" borderId="1" xfId="1" applyFont="1" applyFill="1" applyBorder="1" applyAlignment="1">
      <alignment vertical="center" shrinkToFit="1"/>
    </xf>
    <xf numFmtId="43" fontId="42" fillId="0" borderId="1" xfId="0" applyNumberFormat="1" applyFont="1" applyFill="1" applyBorder="1" applyAlignment="1">
      <alignment vertical="center" shrinkToFit="1"/>
    </xf>
    <xf numFmtId="0" fontId="45" fillId="0" borderId="0" xfId="0" applyFont="1" applyFill="1" applyAlignment="1">
      <alignment vertical="center"/>
    </xf>
    <xf numFmtId="0" fontId="46" fillId="0" borderId="0" xfId="0" applyFont="1" applyFill="1" applyAlignment="1">
      <alignment vertical="center"/>
    </xf>
    <xf numFmtId="43" fontId="39" fillId="0" borderId="0" xfId="0" applyNumberFormat="1" applyFont="1" applyFill="1" applyAlignment="1">
      <alignment vertical="center" shrinkToFit="1"/>
    </xf>
    <xf numFmtId="0" fontId="41" fillId="0" borderId="5" xfId="0" applyFont="1" applyFill="1" applyBorder="1" applyAlignment="1">
      <alignment vertical="center"/>
    </xf>
    <xf numFmtId="0" fontId="41" fillId="0" borderId="15" xfId="0" applyFont="1" applyFill="1" applyBorder="1" applyAlignment="1">
      <alignment vertical="center" shrinkToFit="1"/>
    </xf>
    <xf numFmtId="0" fontId="41" fillId="0" borderId="7" xfId="0" applyFont="1" applyFill="1" applyBorder="1" applyAlignment="1">
      <alignment vertical="center"/>
    </xf>
    <xf numFmtId="0" fontId="42" fillId="0" borderId="5" xfId="0" applyFont="1" applyFill="1" applyBorder="1" applyAlignment="1">
      <alignment vertical="center"/>
    </xf>
    <xf numFmtId="0" fontId="42" fillId="0" borderId="15" xfId="0" applyFont="1" applyFill="1" applyBorder="1" applyAlignment="1">
      <alignment vertical="center" shrinkToFit="1"/>
    </xf>
    <xf numFmtId="0" fontId="42" fillId="0" borderId="7" xfId="0" applyFont="1" applyFill="1" applyBorder="1" applyAlignment="1">
      <alignment vertical="center"/>
    </xf>
    <xf numFmtId="0" fontId="39" fillId="0" borderId="15" xfId="0" applyFont="1" applyFill="1" applyBorder="1" applyAlignment="1">
      <alignment vertical="center"/>
    </xf>
    <xf numFmtId="43" fontId="42" fillId="0" borderId="7" xfId="0" applyNumberFormat="1" applyFont="1" applyFill="1" applyBorder="1" applyAlignment="1">
      <alignment vertical="center"/>
    </xf>
    <xf numFmtId="0" fontId="47" fillId="0" borderId="1" xfId="0" applyNumberFormat="1" applyFont="1" applyFill="1" applyBorder="1" applyAlignment="1">
      <alignment vertical="center"/>
    </xf>
    <xf numFmtId="0" fontId="42" fillId="0" borderId="1" xfId="0" applyFont="1" applyFill="1" applyBorder="1" applyAlignment="1">
      <alignment horizontal="right" vertical="center" shrinkToFit="1"/>
    </xf>
    <xf numFmtId="0" fontId="47" fillId="0" borderId="0" xfId="0" applyFont="1" applyFill="1" applyAlignment="1">
      <alignment vertical="center"/>
    </xf>
    <xf numFmtId="0" fontId="47" fillId="0" borderId="0" xfId="1" applyNumberFormat="1" applyFont="1" applyFill="1" applyBorder="1" applyAlignment="1">
      <alignment horizontal="left" vertical="center"/>
    </xf>
    <xf numFmtId="43" fontId="47" fillId="0" borderId="0" xfId="1" applyFont="1" applyFill="1" applyBorder="1" applyAlignment="1">
      <alignment horizontal="left" vertical="center"/>
    </xf>
    <xf numFmtId="0" fontId="47" fillId="0" borderId="0" xfId="0" applyFont="1" applyFill="1" applyAlignment="1">
      <alignment vertical="center" shrinkToFit="1"/>
    </xf>
    <xf numFmtId="43" fontId="47" fillId="0" borderId="0" xfId="0" applyNumberFormat="1" applyFont="1" applyFill="1" applyAlignment="1">
      <alignment vertical="center" shrinkToFit="1"/>
    </xf>
    <xf numFmtId="4" fontId="47" fillId="0" borderId="0" xfId="0" applyNumberFormat="1" applyFont="1" applyFill="1" applyAlignment="1">
      <alignment vertical="center" shrinkToFit="1"/>
    </xf>
    <xf numFmtId="0" fontId="44" fillId="0" borderId="0" xfId="0" applyFont="1"/>
    <xf numFmtId="0" fontId="46" fillId="0" borderId="1" xfId="0" applyFont="1" applyFill="1" applyBorder="1" applyAlignment="1">
      <alignment vertical="center"/>
    </xf>
    <xf numFmtId="43" fontId="46" fillId="0" borderId="1" xfId="1" applyFont="1" applyFill="1" applyBorder="1" applyAlignment="1">
      <alignment vertical="center"/>
    </xf>
    <xf numFmtId="43" fontId="46" fillId="0" borderId="1" xfId="1" applyFont="1" applyFill="1" applyBorder="1" applyAlignment="1">
      <alignment vertical="center" shrinkToFit="1"/>
    </xf>
    <xf numFmtId="43" fontId="46" fillId="0" borderId="1" xfId="0" applyNumberFormat="1" applyFont="1" applyFill="1" applyBorder="1" applyAlignment="1">
      <alignment vertical="center"/>
    </xf>
    <xf numFmtId="43" fontId="46" fillId="0" borderId="1" xfId="1" applyFont="1" applyFill="1" applyBorder="1" applyAlignment="1">
      <alignment horizontal="left" vertical="center"/>
    </xf>
    <xf numFmtId="43" fontId="48" fillId="0" borderId="1" xfId="1" applyFont="1" applyFill="1" applyBorder="1" applyAlignment="1">
      <alignment vertical="center"/>
    </xf>
    <xf numFmtId="0" fontId="46" fillId="0" borderId="1" xfId="0" applyFont="1" applyFill="1" applyBorder="1" applyAlignment="1">
      <alignment vertical="center" shrinkToFit="1"/>
    </xf>
    <xf numFmtId="43" fontId="48" fillId="0" borderId="1" xfId="1" applyFont="1" applyFill="1" applyBorder="1" applyAlignment="1">
      <alignment vertical="center" shrinkToFit="1"/>
    </xf>
    <xf numFmtId="0" fontId="49" fillId="0" borderId="1" xfId="0" applyFont="1" applyFill="1" applyBorder="1" applyAlignment="1">
      <alignment vertical="center"/>
    </xf>
    <xf numFmtId="43" fontId="50" fillId="0" borderId="1" xfId="0" applyNumberFormat="1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0" xfId="1" applyNumberFormat="1" applyFont="1" applyFill="1" applyBorder="1" applyAlignment="1">
      <alignment horizontal="left" vertical="center"/>
    </xf>
    <xf numFmtId="43" fontId="16" fillId="0" borderId="0" xfId="1" applyFont="1" applyFill="1" applyBorder="1" applyAlignment="1">
      <alignment horizontal="left" vertical="center"/>
    </xf>
    <xf numFmtId="43" fontId="28" fillId="0" borderId="0" xfId="1" applyFont="1" applyAlignment="1">
      <alignment horizontal="center"/>
    </xf>
    <xf numFmtId="0" fontId="14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43" fontId="16" fillId="0" borderId="0" xfId="1" applyFont="1" applyFill="1" applyBorder="1" applyAlignment="1">
      <alignment horizontal="center" vertical="center"/>
    </xf>
    <xf numFmtId="43" fontId="13" fillId="0" borderId="1" xfId="1" applyFont="1" applyFill="1" applyBorder="1" applyAlignment="1">
      <alignment horizontal="center" vertical="center"/>
    </xf>
    <xf numFmtId="43" fontId="15" fillId="0" borderId="0" xfId="1" applyFont="1" applyFill="1" applyBorder="1" applyAlignment="1">
      <alignment horizontal="left" vertical="center"/>
    </xf>
    <xf numFmtId="0" fontId="18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9" fontId="15" fillId="0" borderId="9" xfId="1" applyNumberFormat="1" applyFont="1" applyFill="1" applyBorder="1" applyAlignment="1">
      <alignment horizontal="center" vertical="center"/>
    </xf>
    <xf numFmtId="0" fontId="15" fillId="0" borderId="4" xfId="1" applyNumberFormat="1" applyFont="1" applyFill="1" applyBorder="1" applyAlignment="1">
      <alignment horizontal="right" vertical="center"/>
    </xf>
    <xf numFmtId="43" fontId="15" fillId="0" borderId="4" xfId="1" applyFont="1" applyFill="1" applyBorder="1" applyAlignment="1">
      <alignment horizontal="center" vertical="center"/>
    </xf>
    <xf numFmtId="43" fontId="16" fillId="0" borderId="0" xfId="1" applyFont="1" applyFill="1" applyBorder="1" applyAlignment="1">
      <alignment horizontal="right" vertical="top"/>
    </xf>
    <xf numFmtId="0" fontId="41" fillId="0" borderId="15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4" fillId="0" borderId="7" xfId="1" applyNumberFormat="1" applyFont="1" applyBorder="1" applyAlignment="1">
      <alignment vertical="center" wrapText="1"/>
    </xf>
    <xf numFmtId="0" fontId="51" fillId="0" borderId="1" xfId="0" applyFont="1" applyFill="1" applyBorder="1" applyAlignment="1">
      <alignment horizontal="center" vertical="center" shrinkToFit="1"/>
    </xf>
    <xf numFmtId="0" fontId="52" fillId="0" borderId="0" xfId="0" applyFont="1" applyFill="1" applyAlignment="1">
      <alignment vertical="center" shrinkToFit="1"/>
    </xf>
    <xf numFmtId="43" fontId="52" fillId="0" borderId="0" xfId="0" applyNumberFormat="1" applyFont="1" applyFill="1" applyAlignment="1">
      <alignment vertical="center" shrinkToFit="1"/>
    </xf>
    <xf numFmtId="4" fontId="52" fillId="0" borderId="0" xfId="0" applyNumberFormat="1" applyFont="1" applyFill="1" applyAlignment="1">
      <alignment vertical="center" shrinkToFit="1"/>
    </xf>
    <xf numFmtId="0" fontId="48" fillId="0" borderId="1" xfId="0" applyFont="1" applyFill="1" applyBorder="1" applyAlignment="1">
      <alignment horizontal="center" vertical="center" shrinkToFit="1"/>
    </xf>
    <xf numFmtId="0" fontId="42" fillId="0" borderId="0" xfId="0" applyFont="1" applyFill="1" applyBorder="1" applyAlignment="1">
      <alignment horizontal="left" vertical="center"/>
    </xf>
    <xf numFmtId="0" fontId="13" fillId="0" borderId="0" xfId="1" applyNumberFormat="1" applyFont="1" applyFill="1" applyBorder="1" applyAlignment="1">
      <alignment horizontal="left" vertical="center"/>
    </xf>
    <xf numFmtId="43" fontId="13" fillId="0" borderId="0" xfId="1" applyFont="1" applyFill="1" applyBorder="1" applyAlignment="1">
      <alignment horizontal="left" vertical="center"/>
    </xf>
    <xf numFmtId="0" fontId="48" fillId="0" borderId="5" xfId="0" applyFont="1" applyFill="1" applyBorder="1" applyAlignment="1">
      <alignment horizontal="left" vertical="center" shrinkToFit="1"/>
    </xf>
    <xf numFmtId="0" fontId="48" fillId="0" borderId="7" xfId="0" applyFont="1" applyFill="1" applyBorder="1" applyAlignment="1">
      <alignment horizontal="center" vertical="center" shrinkToFit="1"/>
    </xf>
    <xf numFmtId="43" fontId="51" fillId="0" borderId="1" xfId="0" applyNumberFormat="1" applyFont="1" applyFill="1" applyBorder="1" applyAlignment="1">
      <alignment vertical="center" shrinkToFit="1"/>
    </xf>
    <xf numFmtId="43" fontId="41" fillId="0" borderId="1" xfId="0" applyNumberFormat="1" applyFont="1" applyFill="1" applyBorder="1" applyAlignment="1">
      <alignment horizontal="left" vertical="center" shrinkToFit="1"/>
    </xf>
    <xf numFmtId="0" fontId="48" fillId="0" borderId="1" xfId="0" applyFont="1" applyFill="1" applyBorder="1" applyAlignment="1">
      <alignment horizontal="left" vertical="center" shrinkToFit="1"/>
    </xf>
    <xf numFmtId="43" fontId="48" fillId="0" borderId="1" xfId="0" applyNumberFormat="1" applyFont="1" applyFill="1" applyBorder="1" applyAlignment="1">
      <alignment vertical="center"/>
    </xf>
    <xf numFmtId="0" fontId="41" fillId="0" borderId="6" xfId="0" applyFont="1" applyFill="1" applyBorder="1" applyAlignment="1">
      <alignment vertical="center"/>
    </xf>
    <xf numFmtId="43" fontId="41" fillId="0" borderId="9" xfId="1" applyFont="1" applyFill="1" applyBorder="1" applyAlignment="1">
      <alignment horizontal="left" vertical="center" shrinkToFit="1"/>
    </xf>
    <xf numFmtId="43" fontId="42" fillId="0" borderId="9" xfId="1" applyFont="1" applyFill="1" applyBorder="1" applyAlignment="1">
      <alignment vertical="center"/>
    </xf>
    <xf numFmtId="0" fontId="53" fillId="0" borderId="0" xfId="0" applyFont="1" applyFill="1" applyAlignment="1">
      <alignment vertical="center"/>
    </xf>
    <xf numFmtId="0" fontId="48" fillId="0" borderId="0" xfId="0" applyFont="1" applyFill="1" applyAlignment="1">
      <alignment vertical="center"/>
    </xf>
    <xf numFmtId="0" fontId="48" fillId="7" borderId="1" xfId="0" applyFont="1" applyFill="1" applyBorder="1" applyAlignment="1">
      <alignment horizontal="center" vertical="center"/>
    </xf>
    <xf numFmtId="0" fontId="48" fillId="7" borderId="1" xfId="0" applyFont="1" applyFill="1" applyBorder="1" applyAlignment="1">
      <alignment horizontal="center" vertical="center" shrinkToFit="1"/>
    </xf>
    <xf numFmtId="0" fontId="48" fillId="7" borderId="1" xfId="0" applyFont="1" applyFill="1" applyBorder="1" applyAlignment="1">
      <alignment horizontal="center" vertical="center" wrapText="1"/>
    </xf>
    <xf numFmtId="0" fontId="42" fillId="7" borderId="1" xfId="0" applyFont="1" applyFill="1" applyBorder="1" applyAlignment="1">
      <alignment horizontal="center" vertical="center"/>
    </xf>
    <xf numFmtId="43" fontId="19" fillId="4" borderId="1" xfId="1" applyNumberFormat="1" applyFont="1" applyFill="1" applyBorder="1" applyAlignment="1">
      <alignment horizontal="center" vertical="center"/>
    </xf>
    <xf numFmtId="43" fontId="19" fillId="4" borderId="17" xfId="1" applyNumberFormat="1" applyFont="1" applyFill="1" applyBorder="1" applyAlignment="1">
      <alignment horizontal="center" vertical="center"/>
    </xf>
    <xf numFmtId="43" fontId="22" fillId="0" borderId="18" xfId="1" applyNumberFormat="1" applyFont="1" applyFill="1" applyBorder="1" applyAlignment="1">
      <alignment vertical="center"/>
    </xf>
    <xf numFmtId="43" fontId="19" fillId="4" borderId="7" xfId="1" applyNumberFormat="1" applyFont="1" applyFill="1" applyBorder="1" applyAlignment="1">
      <alignment horizontal="center" vertical="center"/>
    </xf>
    <xf numFmtId="43" fontId="19" fillId="4" borderId="19" xfId="1" applyNumberFormat="1" applyFont="1" applyFill="1" applyBorder="1" applyAlignment="1">
      <alignment horizontal="center" vertical="center"/>
    </xf>
    <xf numFmtId="43" fontId="22" fillId="0" borderId="18" xfId="0" applyNumberFormat="1" applyFont="1" applyFill="1" applyBorder="1" applyAlignment="1">
      <alignment vertical="center"/>
    </xf>
    <xf numFmtId="43" fontId="21" fillId="8" borderId="21" xfId="1" applyNumberFormat="1" applyFont="1" applyFill="1" applyBorder="1" applyAlignment="1">
      <alignment vertical="center" shrinkToFit="1"/>
    </xf>
    <xf numFmtId="43" fontId="21" fillId="8" borderId="21" xfId="1" applyFont="1" applyFill="1" applyBorder="1" applyAlignment="1">
      <alignment horizontal="center" vertical="center" shrinkToFit="1"/>
    </xf>
    <xf numFmtId="43" fontId="21" fillId="8" borderId="22" xfId="1" applyNumberFormat="1" applyFont="1" applyFill="1" applyBorder="1" applyAlignment="1">
      <alignment vertical="center" shrinkToFit="1"/>
    </xf>
    <xf numFmtId="43" fontId="21" fillId="8" borderId="23" xfId="1" applyNumberFormat="1" applyFont="1" applyFill="1" applyBorder="1" applyAlignment="1">
      <alignment vertical="center" shrinkToFit="1"/>
    </xf>
    <xf numFmtId="43" fontId="41" fillId="0" borderId="0" xfId="0" applyNumberFormat="1" applyFont="1" applyFill="1" applyAlignment="1">
      <alignment vertical="center"/>
    </xf>
    <xf numFmtId="0" fontId="48" fillId="7" borderId="1" xfId="0" applyFont="1" applyFill="1" applyBorder="1" applyAlignment="1">
      <alignment horizontal="center" vertical="center" shrinkToFit="1"/>
    </xf>
    <xf numFmtId="0" fontId="54" fillId="7" borderId="1" xfId="0" applyFont="1" applyFill="1" applyBorder="1" applyAlignment="1">
      <alignment horizontal="center" vertical="center" shrinkToFit="1"/>
    </xf>
    <xf numFmtId="0" fontId="48" fillId="7" borderId="1" xfId="0" applyFont="1" applyFill="1" applyBorder="1" applyAlignment="1">
      <alignment horizontal="center" vertical="center" shrinkToFit="1"/>
    </xf>
    <xf numFmtId="0" fontId="48" fillId="7" borderId="1" xfId="0" applyFont="1" applyFill="1" applyBorder="1" applyAlignment="1">
      <alignment horizontal="center" vertical="center"/>
    </xf>
    <xf numFmtId="43" fontId="6" fillId="0" borderId="0" xfId="1" applyFont="1" applyFill="1" applyBorder="1" applyAlignment="1">
      <alignment horizontal="center"/>
    </xf>
    <xf numFmtId="0" fontId="55" fillId="0" borderId="7" xfId="0" applyFont="1" applyBorder="1" applyAlignment="1">
      <alignment vertical="center" wrapText="1"/>
    </xf>
    <xf numFmtId="0" fontId="55" fillId="0" borderId="1" xfId="0" applyFont="1" applyBorder="1" applyAlignment="1">
      <alignment vertical="center" wrapText="1"/>
    </xf>
    <xf numFmtId="49" fontId="55" fillId="0" borderId="1" xfId="0" applyNumberFormat="1" applyFont="1" applyFill="1" applyBorder="1" applyAlignment="1">
      <alignment horizontal="center" vertical="center"/>
    </xf>
    <xf numFmtId="0" fontId="55" fillId="0" borderId="1" xfId="0" applyFont="1" applyFill="1" applyBorder="1" applyAlignment="1">
      <alignment vertical="center" wrapText="1"/>
    </xf>
    <xf numFmtId="0" fontId="42" fillId="0" borderId="15" xfId="0" applyFont="1" applyFill="1" applyBorder="1" applyAlignment="1">
      <alignment vertical="center"/>
    </xf>
    <xf numFmtId="43" fontId="41" fillId="0" borderId="1" xfId="0" applyNumberFormat="1" applyFont="1" applyFill="1" applyBorder="1" applyAlignment="1">
      <alignment vertical="center" shrinkToFit="1"/>
    </xf>
    <xf numFmtId="0" fontId="14" fillId="0" borderId="15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right" vertical="center" wrapText="1"/>
    </xf>
    <xf numFmtId="0" fontId="14" fillId="0" borderId="7" xfId="0" applyFont="1" applyBorder="1" applyAlignment="1">
      <alignment horizontal="left" vertical="center" wrapText="1"/>
    </xf>
    <xf numFmtId="0" fontId="48" fillId="0" borderId="1" xfId="1" applyNumberFormat="1" applyFont="1" applyFill="1" applyBorder="1" applyAlignment="1">
      <alignment horizontal="center" vertical="center" shrinkToFit="1"/>
    </xf>
    <xf numFmtId="43" fontId="54" fillId="0" borderId="1" xfId="0" applyNumberFormat="1" applyFont="1" applyFill="1" applyBorder="1" applyAlignment="1">
      <alignment horizontal="center" vertical="center" shrinkToFit="1"/>
    </xf>
    <xf numFmtId="43" fontId="5" fillId="0" borderId="1" xfId="1" applyFont="1" applyFill="1" applyBorder="1" applyAlignment="1">
      <alignment horizontal="left" vertical="center" wrapText="1" shrinkToFit="1"/>
    </xf>
    <xf numFmtId="0" fontId="42" fillId="0" borderId="6" xfId="0" applyFont="1" applyFill="1" applyBorder="1" applyAlignment="1">
      <alignment vertical="center"/>
    </xf>
    <xf numFmtId="0" fontId="42" fillId="0" borderId="8" xfId="0" applyFont="1" applyFill="1" applyBorder="1" applyAlignment="1">
      <alignment vertical="center"/>
    </xf>
    <xf numFmtId="0" fontId="42" fillId="0" borderId="8" xfId="0" applyFont="1" applyFill="1" applyBorder="1" applyAlignment="1">
      <alignment vertical="center" shrinkToFit="1"/>
    </xf>
    <xf numFmtId="0" fontId="42" fillId="0" borderId="9" xfId="0" applyFont="1" applyFill="1" applyBorder="1" applyAlignment="1">
      <alignment vertical="center"/>
    </xf>
    <xf numFmtId="0" fontId="42" fillId="0" borderId="16" xfId="0" applyFont="1" applyFill="1" applyBorder="1" applyAlignment="1">
      <alignment vertical="center"/>
    </xf>
    <xf numFmtId="43" fontId="42" fillId="0" borderId="24" xfId="0" applyNumberFormat="1" applyFont="1" applyFill="1" applyBorder="1" applyAlignment="1">
      <alignment vertical="center"/>
    </xf>
    <xf numFmtId="43" fontId="42" fillId="0" borderId="4" xfId="1" applyFont="1" applyFill="1" applyBorder="1" applyAlignment="1">
      <alignment vertical="center" shrinkToFit="1"/>
    </xf>
    <xf numFmtId="43" fontId="42" fillId="0" borderId="4" xfId="0" applyNumberFormat="1" applyFont="1" applyFill="1" applyBorder="1" applyAlignment="1">
      <alignment vertical="center"/>
    </xf>
    <xf numFmtId="43" fontId="42" fillId="0" borderId="4" xfId="1" applyFont="1" applyFill="1" applyBorder="1" applyAlignment="1">
      <alignment vertical="center"/>
    </xf>
    <xf numFmtId="0" fontId="48" fillId="0" borderId="1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vertical="center" shrinkToFit="1"/>
    </xf>
    <xf numFmtId="0" fontId="48" fillId="7" borderId="1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vertical="center" shrinkToFit="1"/>
    </xf>
    <xf numFmtId="0" fontId="25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shrinkToFit="1"/>
    </xf>
    <xf numFmtId="0" fontId="10" fillId="5" borderId="9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 wrapText="1"/>
    </xf>
    <xf numFmtId="0" fontId="48" fillId="7" borderId="1" xfId="0" applyFont="1" applyFill="1" applyBorder="1" applyAlignment="1">
      <alignment horizontal="center" vertical="center" shrinkToFit="1"/>
    </xf>
    <xf numFmtId="0" fontId="54" fillId="0" borderId="1" xfId="1" applyNumberFormat="1" applyFont="1" applyFill="1" applyBorder="1" applyAlignment="1">
      <alignment horizontal="center" vertical="center" shrinkToFit="1"/>
    </xf>
    <xf numFmtId="43" fontId="56" fillId="0" borderId="1" xfId="0" applyNumberFormat="1" applyFont="1" applyFill="1" applyBorder="1" applyAlignment="1">
      <alignment vertical="center"/>
    </xf>
    <xf numFmtId="43" fontId="56" fillId="0" borderId="1" xfId="0" applyNumberFormat="1" applyFont="1" applyFill="1" applyBorder="1" applyAlignment="1">
      <alignment vertical="center" shrinkToFit="1"/>
    </xf>
    <xf numFmtId="0" fontId="48" fillId="7" borderId="1" xfId="0" applyFont="1" applyFill="1" applyBorder="1" applyAlignment="1">
      <alignment horizontal="center" vertical="center"/>
    </xf>
    <xf numFmtId="0" fontId="48" fillId="0" borderId="15" xfId="0" applyFont="1" applyFill="1" applyBorder="1" applyAlignment="1">
      <alignment horizontal="left" vertical="center" shrinkToFit="1"/>
    </xf>
    <xf numFmtId="0" fontId="41" fillId="0" borderId="26" xfId="0" applyFont="1" applyFill="1" applyBorder="1" applyAlignment="1">
      <alignment vertical="center"/>
    </xf>
    <xf numFmtId="0" fontId="42" fillId="0" borderId="26" xfId="0" applyFont="1" applyFill="1" applyBorder="1" applyAlignment="1">
      <alignment vertical="center"/>
    </xf>
    <xf numFmtId="0" fontId="42" fillId="0" borderId="27" xfId="0" applyFont="1" applyFill="1" applyBorder="1" applyAlignment="1">
      <alignment vertical="center"/>
    </xf>
    <xf numFmtId="43" fontId="49" fillId="0" borderId="0" xfId="1" applyFont="1" applyFill="1" applyAlignment="1">
      <alignment vertical="center"/>
    </xf>
    <xf numFmtId="43" fontId="41" fillId="0" borderId="0" xfId="1" applyFont="1" applyFill="1" applyAlignment="1">
      <alignment vertical="center"/>
    </xf>
    <xf numFmtId="43" fontId="48" fillId="0" borderId="15" xfId="1" applyFont="1" applyFill="1" applyBorder="1" applyAlignment="1">
      <alignment horizontal="left" vertical="center"/>
    </xf>
    <xf numFmtId="0" fontId="57" fillId="0" borderId="0" xfId="0" applyFont="1" applyFill="1" applyAlignment="1">
      <alignment vertical="center"/>
    </xf>
    <xf numFmtId="0" fontId="58" fillId="0" borderId="0" xfId="0" applyFont="1" applyFill="1" applyAlignment="1">
      <alignment vertical="center"/>
    </xf>
    <xf numFmtId="0" fontId="46" fillId="0" borderId="5" xfId="0" applyFont="1" applyFill="1" applyBorder="1" applyAlignment="1">
      <alignment vertical="center"/>
    </xf>
    <xf numFmtId="43" fontId="46" fillId="0" borderId="15" xfId="1" applyFont="1" applyFill="1" applyBorder="1" applyAlignment="1">
      <alignment vertical="center"/>
    </xf>
    <xf numFmtId="0" fontId="18" fillId="0" borderId="15" xfId="0" applyFont="1" applyBorder="1" applyAlignment="1">
      <alignment horizontal="right" vertical="center" wrapText="1"/>
    </xf>
    <xf numFmtId="0" fontId="59" fillId="0" borderId="0" xfId="0" applyFont="1" applyFill="1" applyAlignment="1">
      <alignment vertical="center"/>
    </xf>
    <xf numFmtId="0" fontId="48" fillId="0" borderId="1" xfId="0" applyFont="1" applyFill="1" applyBorder="1" applyAlignment="1">
      <alignment vertical="center"/>
    </xf>
    <xf numFmtId="0" fontId="48" fillId="0" borderId="1" xfId="0" applyFont="1" applyFill="1" applyBorder="1" applyAlignment="1">
      <alignment vertical="center" shrinkToFit="1"/>
    </xf>
    <xf numFmtId="43" fontId="46" fillId="0" borderId="1" xfId="0" applyNumberFormat="1" applyFont="1" applyFill="1" applyBorder="1" applyAlignment="1">
      <alignment horizontal="center" vertical="center"/>
    </xf>
    <xf numFmtId="43" fontId="50" fillId="0" borderId="1" xfId="0" applyNumberFormat="1" applyFont="1" applyFill="1" applyBorder="1" applyAlignment="1">
      <alignment horizontal="center" vertical="center"/>
    </xf>
    <xf numFmtId="4" fontId="55" fillId="0" borderId="1" xfId="0" applyNumberFormat="1" applyFont="1" applyBorder="1" applyAlignment="1">
      <alignment vertical="top"/>
    </xf>
    <xf numFmtId="43" fontId="46" fillId="0" borderId="5" xfId="0" applyNumberFormat="1" applyFont="1" applyFill="1" applyBorder="1" applyAlignment="1">
      <alignment horizontal="center" vertical="center"/>
    </xf>
    <xf numFmtId="43" fontId="38" fillId="5" borderId="4" xfId="1" applyFont="1" applyFill="1" applyBorder="1" applyAlignment="1">
      <alignment horizontal="center" vertical="center"/>
    </xf>
    <xf numFmtId="43" fontId="38" fillId="5" borderId="6" xfId="1" applyFont="1" applyFill="1" applyBorder="1" applyAlignment="1">
      <alignment horizontal="center" vertical="center"/>
    </xf>
    <xf numFmtId="43" fontId="38" fillId="5" borderId="29" xfId="1" applyFont="1" applyFill="1" applyBorder="1" applyAlignment="1">
      <alignment horizontal="center" vertical="center"/>
    </xf>
    <xf numFmtId="0" fontId="46" fillId="0" borderId="7" xfId="0" applyFont="1" applyFill="1" applyBorder="1" applyAlignment="1">
      <alignment horizontal="center" vertical="center"/>
    </xf>
    <xf numFmtId="43" fontId="48" fillId="0" borderId="1" xfId="0" applyNumberFormat="1" applyFont="1" applyFill="1" applyBorder="1" applyAlignment="1">
      <alignment horizontal="center" vertical="center"/>
    </xf>
    <xf numFmtId="0" fontId="49" fillId="5" borderId="1" xfId="0" applyFont="1" applyFill="1" applyBorder="1" applyAlignment="1">
      <alignment horizontal="center" vertical="center"/>
    </xf>
    <xf numFmtId="0" fontId="49" fillId="5" borderId="1" xfId="0" applyFont="1" applyFill="1" applyBorder="1" applyAlignment="1">
      <alignment horizontal="center" vertical="center" shrinkToFit="1"/>
    </xf>
    <xf numFmtId="43" fontId="60" fillId="0" borderId="1" xfId="1" applyFont="1" applyBorder="1" applyAlignment="1">
      <alignment vertical="top"/>
    </xf>
    <xf numFmtId="49" fontId="55" fillId="0" borderId="1" xfId="0" applyNumberFormat="1" applyFont="1" applyBorder="1" applyAlignment="1">
      <alignment horizontal="center" vertical="top"/>
    </xf>
    <xf numFmtId="0" fontId="44" fillId="0" borderId="0" xfId="0" applyFont="1" applyAlignment="1">
      <alignment shrinkToFit="1"/>
    </xf>
    <xf numFmtId="43" fontId="44" fillId="0" borderId="0" xfId="1" applyNumberFormat="1" applyFont="1"/>
    <xf numFmtId="43" fontId="44" fillId="0" borderId="0" xfId="1" applyFont="1"/>
    <xf numFmtId="43" fontId="44" fillId="0" borderId="0" xfId="0" applyNumberFormat="1" applyFont="1"/>
    <xf numFmtId="0" fontId="6" fillId="0" borderId="0" xfId="0" applyFont="1"/>
    <xf numFmtId="0" fontId="16" fillId="0" borderId="0" xfId="0" applyFont="1"/>
    <xf numFmtId="0" fontId="14" fillId="0" borderId="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vertical="center" shrinkToFit="1"/>
    </xf>
    <xf numFmtId="43" fontId="14" fillId="0" borderId="1" xfId="0" applyNumberFormat="1" applyFont="1" applyFill="1" applyBorder="1" applyAlignment="1">
      <alignment vertical="center"/>
    </xf>
    <xf numFmtId="0" fontId="14" fillId="0" borderId="0" xfId="0" applyFont="1"/>
    <xf numFmtId="43" fontId="14" fillId="0" borderId="0" xfId="0" applyNumberFormat="1" applyFont="1"/>
    <xf numFmtId="0" fontId="14" fillId="0" borderId="0" xfId="0" applyFont="1" applyBorder="1"/>
    <xf numFmtId="0" fontId="14" fillId="0" borderId="0" xfId="0" applyFont="1" applyAlignment="1">
      <alignment shrinkToFit="1"/>
    </xf>
    <xf numFmtId="0" fontId="14" fillId="0" borderId="0" xfId="0" applyFont="1" applyFill="1"/>
    <xf numFmtId="43" fontId="14" fillId="0" borderId="0" xfId="1" applyFont="1"/>
    <xf numFmtId="0" fontId="16" fillId="0" borderId="0" xfId="0" applyFont="1" applyFill="1"/>
    <xf numFmtId="43" fontId="16" fillId="4" borderId="4" xfId="1" applyFont="1" applyFill="1" applyBorder="1" applyAlignment="1">
      <alignment horizontal="center" vertical="center"/>
    </xf>
    <xf numFmtId="0" fontId="16" fillId="0" borderId="0" xfId="0" applyFont="1" applyFill="1" applyAlignment="1">
      <alignment shrinkToFit="1"/>
    </xf>
    <xf numFmtId="43" fontId="14" fillId="0" borderId="1" xfId="1" applyFont="1" applyBorder="1"/>
    <xf numFmtId="43" fontId="16" fillId="0" borderId="1" xfId="0" applyNumberFormat="1" applyFont="1" applyFill="1" applyBorder="1" applyAlignment="1">
      <alignment vertical="center"/>
    </xf>
    <xf numFmtId="2" fontId="16" fillId="0" borderId="1" xfId="0" applyNumberFormat="1" applyFont="1" applyFill="1" applyBorder="1" applyAlignment="1">
      <alignment horizontal="center" vertical="center"/>
    </xf>
    <xf numFmtId="43" fontId="16" fillId="0" borderId="1" xfId="1" applyFont="1" applyFill="1" applyBorder="1" applyAlignment="1">
      <alignment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vertical="center"/>
    </xf>
    <xf numFmtId="0" fontId="14" fillId="0" borderId="28" xfId="0" applyFont="1" applyFill="1" applyBorder="1" applyAlignment="1">
      <alignment vertical="center" shrinkToFit="1"/>
    </xf>
    <xf numFmtId="43" fontId="22" fillId="0" borderId="7" xfId="0" applyNumberFormat="1" applyFont="1" applyFill="1" applyBorder="1" applyAlignment="1">
      <alignment vertical="center"/>
    </xf>
    <xf numFmtId="43" fontId="65" fillId="8" borderId="21" xfId="1" applyNumberFormat="1" applyFont="1" applyFill="1" applyBorder="1" applyAlignment="1">
      <alignment vertical="center" shrinkToFit="1"/>
    </xf>
    <xf numFmtId="43" fontId="65" fillId="8" borderId="23" xfId="1" applyNumberFormat="1" applyFont="1" applyFill="1" applyBorder="1" applyAlignment="1">
      <alignment vertical="center" shrinkToFit="1"/>
    </xf>
    <xf numFmtId="0" fontId="66" fillId="0" borderId="0" xfId="0" applyFont="1"/>
    <xf numFmtId="0" fontId="3" fillId="0" borderId="0" xfId="0" applyFont="1"/>
    <xf numFmtId="43" fontId="20" fillId="4" borderId="1" xfId="1" applyNumberFormat="1" applyFont="1" applyFill="1" applyBorder="1" applyAlignment="1">
      <alignment horizontal="center" vertical="center"/>
    </xf>
    <xf numFmtId="0" fontId="27" fillId="0" borderId="0" xfId="0" applyFont="1" applyAlignment="1">
      <alignment shrinkToFit="1"/>
    </xf>
    <xf numFmtId="0" fontId="55" fillId="0" borderId="1" xfId="0" applyFont="1" applyBorder="1" applyAlignment="1">
      <alignment vertical="top" wrapText="1" shrinkToFit="1"/>
    </xf>
    <xf numFmtId="43" fontId="16" fillId="4" borderId="9" xfId="1" applyFont="1" applyFill="1" applyBorder="1" applyAlignment="1">
      <alignment horizontal="center" vertical="center" shrinkToFit="1"/>
    </xf>
    <xf numFmtId="43" fontId="3" fillId="0" borderId="0" xfId="0" applyNumberFormat="1" applyFont="1"/>
    <xf numFmtId="0" fontId="48" fillId="0" borderId="0" xfId="0" applyFont="1" applyFill="1" applyAlignment="1">
      <alignment vertical="center" shrinkToFit="1"/>
    </xf>
    <xf numFmtId="0" fontId="48" fillId="5" borderId="9" xfId="0" applyFont="1" applyFill="1" applyBorder="1" applyAlignment="1">
      <alignment horizontal="center" vertical="center" shrinkToFit="1"/>
    </xf>
    <xf numFmtId="0" fontId="48" fillId="0" borderId="1" xfId="0" applyFont="1" applyFill="1" applyBorder="1" applyAlignment="1">
      <alignment horizontal="center"/>
    </xf>
    <xf numFmtId="0" fontId="48" fillId="5" borderId="1" xfId="0" applyFont="1" applyFill="1" applyBorder="1" applyAlignment="1">
      <alignment horizontal="center"/>
    </xf>
    <xf numFmtId="43" fontId="48" fillId="0" borderId="5" xfId="1" applyNumberFormat="1" applyFont="1" applyFill="1" applyBorder="1" applyAlignment="1">
      <alignment horizontal="center" vertical="center"/>
    </xf>
    <xf numFmtId="43" fontId="48" fillId="0" borderId="1" xfId="1" applyNumberFormat="1" applyFont="1" applyFill="1" applyBorder="1" applyAlignment="1">
      <alignment horizontal="center" vertical="center" shrinkToFit="1"/>
    </xf>
    <xf numFmtId="0" fontId="48" fillId="0" borderId="1" xfId="0" applyFont="1" applyFill="1" applyBorder="1" applyAlignment="1">
      <alignment horizontal="center" vertical="center"/>
    </xf>
    <xf numFmtId="0" fontId="48" fillId="5" borderId="1" xfId="0" applyFont="1" applyFill="1" applyBorder="1" applyAlignment="1">
      <alignment horizontal="center" vertical="center"/>
    </xf>
    <xf numFmtId="43" fontId="67" fillId="0" borderId="0" xfId="1" applyFont="1"/>
    <xf numFmtId="189" fontId="67" fillId="0" borderId="0" xfId="1" applyNumberFormat="1" applyFont="1"/>
    <xf numFmtId="43" fontId="5" fillId="6" borderId="1" xfId="1" applyFont="1" applyFill="1" applyBorder="1" applyAlignment="1">
      <alignment horizontal="center" vertical="center"/>
    </xf>
    <xf numFmtId="43" fontId="4" fillId="6" borderId="1" xfId="1" applyFont="1" applyFill="1" applyBorder="1" applyAlignment="1">
      <alignment horizontal="center" vertical="center"/>
    </xf>
    <xf numFmtId="43" fontId="5" fillId="6" borderId="1" xfId="1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vertical="center" wrapText="1"/>
    </xf>
    <xf numFmtId="43" fontId="42" fillId="0" borderId="0" xfId="1" applyFont="1" applyFill="1" applyAlignment="1">
      <alignment vertical="center"/>
    </xf>
    <xf numFmtId="43" fontId="41" fillId="0" borderId="0" xfId="1" applyFont="1" applyFill="1" applyAlignment="1">
      <alignment horizontal="right" vertical="center"/>
    </xf>
    <xf numFmtId="0" fontId="51" fillId="0" borderId="0" xfId="0" applyFont="1" applyFill="1" applyAlignment="1">
      <alignment vertical="center" shrinkToFit="1"/>
    </xf>
    <xf numFmtId="0" fontId="64" fillId="0" borderId="0" xfId="0" applyFont="1"/>
    <xf numFmtId="0" fontId="61" fillId="0" borderId="0" xfId="0" applyFont="1"/>
    <xf numFmtId="0" fontId="64" fillId="0" borderId="0" xfId="0" applyFont="1" applyAlignment="1">
      <alignment wrapText="1" shrinkToFit="1"/>
    </xf>
    <xf numFmtId="0" fontId="64" fillId="0" borderId="0" xfId="0" applyFont="1" applyAlignment="1">
      <alignment horizontal="center"/>
    </xf>
    <xf numFmtId="49" fontId="64" fillId="0" borderId="0" xfId="0" applyNumberFormat="1" applyFont="1" applyAlignment="1">
      <alignment horizontal="center"/>
    </xf>
    <xf numFmtId="0" fontId="55" fillId="0" borderId="0" xfId="0" applyFont="1"/>
    <xf numFmtId="0" fontId="55" fillId="0" borderId="1" xfId="0" applyFont="1" applyBorder="1"/>
    <xf numFmtId="0" fontId="55" fillId="0" borderId="7" xfId="0" applyFont="1" applyBorder="1"/>
    <xf numFmtId="0" fontId="60" fillId="0" borderId="7" xfId="0" applyFont="1" applyBorder="1"/>
    <xf numFmtId="0" fontId="60" fillId="0" borderId="1" xfId="0" applyFont="1" applyBorder="1"/>
    <xf numFmtId="0" fontId="60" fillId="0" borderId="0" xfId="0" applyFont="1"/>
    <xf numFmtId="187" fontId="64" fillId="0" borderId="0" xfId="0" applyNumberFormat="1" applyFont="1"/>
    <xf numFmtId="0" fontId="60" fillId="0" borderId="9" xfId="0" applyFont="1" applyBorder="1" applyAlignment="1">
      <alignment horizontal="center" vertical="center"/>
    </xf>
    <xf numFmtId="0" fontId="60" fillId="0" borderId="4" xfId="0" applyFont="1" applyBorder="1" applyAlignment="1">
      <alignment horizontal="center" vertical="center"/>
    </xf>
    <xf numFmtId="0" fontId="55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 shrinkToFit="1"/>
    </xf>
    <xf numFmtId="43" fontId="55" fillId="0" borderId="7" xfId="1" applyFont="1" applyBorder="1" applyAlignment="1">
      <alignment vertical="top"/>
    </xf>
    <xf numFmtId="4" fontId="55" fillId="0" borderId="7" xfId="0" applyNumberFormat="1" applyFont="1" applyBorder="1" applyAlignment="1">
      <alignment vertical="top"/>
    </xf>
    <xf numFmtId="4" fontId="60" fillId="0" borderId="1" xfId="0" applyNumberFormat="1" applyFont="1" applyBorder="1" applyAlignment="1">
      <alignment vertical="top"/>
    </xf>
    <xf numFmtId="43" fontId="60" fillId="0" borderId="7" xfId="1" applyFont="1" applyBorder="1" applyAlignment="1">
      <alignment vertical="top"/>
    </xf>
    <xf numFmtId="43" fontId="61" fillId="0" borderId="1" xfId="1" applyFont="1" applyBorder="1" applyAlignment="1">
      <alignment vertical="top"/>
    </xf>
    <xf numFmtId="187" fontId="61" fillId="0" borderId="0" xfId="0" applyNumberFormat="1" applyFont="1"/>
    <xf numFmtId="0" fontId="55" fillId="0" borderId="1" xfId="0" applyFont="1" applyBorder="1" applyAlignment="1">
      <alignment horizontal="center" vertical="top"/>
    </xf>
    <xf numFmtId="0" fontId="49" fillId="0" borderId="0" xfId="0" applyFont="1" applyFill="1" applyBorder="1" applyAlignment="1">
      <alignment horizontal="right" vertical="center"/>
    </xf>
    <xf numFmtId="43" fontId="49" fillId="0" borderId="0" xfId="0" applyNumberFormat="1" applyFont="1" applyFill="1" applyBorder="1" applyAlignment="1">
      <alignment horizontal="center" vertical="center"/>
    </xf>
    <xf numFmtId="0" fontId="46" fillId="0" borderId="5" xfId="0" applyFont="1" applyFill="1" applyBorder="1" applyAlignment="1">
      <alignment vertical="top"/>
    </xf>
    <xf numFmtId="43" fontId="16" fillId="4" borderId="9" xfId="1" applyFont="1" applyFill="1" applyBorder="1" applyAlignment="1">
      <alignment horizontal="center" vertical="center"/>
    </xf>
    <xf numFmtId="43" fontId="16" fillId="0" borderId="0" xfId="1" applyFont="1"/>
    <xf numFmtId="187" fontId="14" fillId="0" borderId="0" xfId="0" applyNumberFormat="1" applyFont="1" applyFill="1"/>
    <xf numFmtId="43" fontId="13" fillId="0" borderId="0" xfId="1" applyFont="1" applyFill="1" applyBorder="1" applyAlignment="1">
      <alignment vertical="center" shrinkToFit="1"/>
    </xf>
    <xf numFmtId="43" fontId="70" fillId="0" borderId="0" xfId="1" applyFont="1" applyFill="1" applyBorder="1" applyAlignment="1">
      <alignment horizontal="center" vertical="center" shrinkToFit="1"/>
    </xf>
    <xf numFmtId="43" fontId="70" fillId="0" borderId="1" xfId="1" applyFont="1" applyFill="1" applyBorder="1" applyAlignment="1">
      <alignment horizontal="center" vertical="center" shrinkToFit="1"/>
    </xf>
    <xf numFmtId="43" fontId="35" fillId="0" borderId="1" xfId="1" applyFont="1" applyFill="1" applyBorder="1" applyAlignment="1">
      <alignment vertical="center" shrinkToFit="1"/>
    </xf>
    <xf numFmtId="43" fontId="72" fillId="0" borderId="1" xfId="1" applyFont="1" applyFill="1" applyBorder="1" applyAlignment="1">
      <alignment vertical="center" shrinkToFit="1"/>
    </xf>
    <xf numFmtId="43" fontId="35" fillId="0" borderId="0" xfId="1" applyFont="1" applyFill="1" applyBorder="1" applyAlignment="1">
      <alignment vertical="center" shrinkToFit="1"/>
    </xf>
    <xf numFmtId="43" fontId="73" fillId="0" borderId="0" xfId="1" applyFont="1" applyFill="1" applyBorder="1" applyAlignment="1">
      <alignment vertical="center" shrinkToFit="1"/>
    </xf>
    <xf numFmtId="0" fontId="70" fillId="0" borderId="1" xfId="1" applyNumberFormat="1" applyFont="1" applyFill="1" applyBorder="1" applyAlignment="1">
      <alignment horizontal="left" vertical="center"/>
    </xf>
    <xf numFmtId="49" fontId="70" fillId="0" borderId="1" xfId="0" applyNumberFormat="1" applyFont="1" applyFill="1" applyBorder="1"/>
    <xf numFmtId="0" fontId="71" fillId="0" borderId="1" xfId="1" applyNumberFormat="1" applyFont="1" applyFill="1" applyBorder="1" applyAlignment="1">
      <alignment vertical="center"/>
    </xf>
    <xf numFmtId="0" fontId="70" fillId="0" borderId="1" xfId="1" applyNumberFormat="1" applyFont="1" applyFill="1" applyBorder="1" applyAlignment="1">
      <alignment vertical="center"/>
    </xf>
    <xf numFmtId="49" fontId="70" fillId="0" borderId="1" xfId="0" applyNumberFormat="1" applyFont="1" applyFill="1" applyBorder="1" applyAlignment="1">
      <alignment vertical="center"/>
    </xf>
    <xf numFmtId="43" fontId="74" fillId="0" borderId="0" xfId="1" applyFont="1" applyFill="1" applyBorder="1" applyAlignment="1">
      <alignment vertical="center" shrinkToFit="1"/>
    </xf>
    <xf numFmtId="43" fontId="75" fillId="0" borderId="1" xfId="1" applyNumberFormat="1" applyFont="1" applyFill="1" applyBorder="1" applyAlignment="1">
      <alignment vertical="center"/>
    </xf>
    <xf numFmtId="43" fontId="75" fillId="0" borderId="1" xfId="1" applyFont="1" applyFill="1" applyBorder="1" applyAlignment="1">
      <alignment vertical="center"/>
    </xf>
    <xf numFmtId="0" fontId="70" fillId="0" borderId="1" xfId="1" applyNumberFormat="1" applyFont="1" applyFill="1" applyBorder="1" applyAlignment="1">
      <alignment horizontal="left" vertical="center" shrinkToFit="1"/>
    </xf>
    <xf numFmtId="0" fontId="70" fillId="0" borderId="1" xfId="1" applyNumberFormat="1" applyFont="1" applyFill="1" applyBorder="1" applyAlignment="1">
      <alignment vertical="center" shrinkToFit="1"/>
    </xf>
    <xf numFmtId="0" fontId="71" fillId="0" borderId="1" xfId="1" applyNumberFormat="1" applyFont="1" applyFill="1" applyBorder="1" applyAlignment="1">
      <alignment vertical="center" shrinkToFit="1"/>
    </xf>
    <xf numFmtId="43" fontId="72" fillId="10" borderId="1" xfId="1" applyFont="1" applyFill="1" applyBorder="1" applyAlignment="1">
      <alignment vertical="center" shrinkToFit="1"/>
    </xf>
    <xf numFmtId="0" fontId="70" fillId="0" borderId="1" xfId="0" applyNumberFormat="1" applyFont="1" applyFill="1" applyBorder="1" applyAlignment="1">
      <alignment horizontal="left" vertical="center"/>
    </xf>
    <xf numFmtId="43" fontId="70" fillId="0" borderId="1" xfId="1" applyFont="1" applyFill="1" applyBorder="1" applyAlignment="1">
      <alignment horizontal="left" vertical="center" shrinkToFit="1"/>
    </xf>
    <xf numFmtId="0" fontId="70" fillId="0" borderId="1" xfId="1" applyNumberFormat="1" applyFont="1" applyFill="1" applyBorder="1" applyAlignment="1">
      <alignment horizontal="center" vertical="center"/>
    </xf>
    <xf numFmtId="0" fontId="76" fillId="0" borderId="1" xfId="1" applyNumberFormat="1" applyFont="1" applyFill="1" applyBorder="1" applyAlignment="1">
      <alignment horizontal="center" vertical="center" shrinkToFit="1"/>
    </xf>
    <xf numFmtId="0" fontId="76" fillId="0" borderId="1" xfId="1" applyNumberFormat="1" applyFont="1" applyFill="1" applyBorder="1" applyAlignment="1">
      <alignment horizontal="center" vertical="center"/>
    </xf>
    <xf numFmtId="43" fontId="76" fillId="0" borderId="1" xfId="1" applyFont="1" applyFill="1" applyBorder="1" applyAlignment="1">
      <alignment vertical="center" shrinkToFit="1"/>
    </xf>
    <xf numFmtId="43" fontId="77" fillId="0" borderId="0" xfId="1" applyFont="1" applyFill="1" applyBorder="1" applyAlignment="1">
      <alignment vertical="center" shrinkToFit="1"/>
    </xf>
    <xf numFmtId="43" fontId="76" fillId="0" borderId="0" xfId="1" applyFont="1" applyFill="1" applyBorder="1" applyAlignment="1">
      <alignment vertical="center" shrinkToFit="1"/>
    </xf>
    <xf numFmtId="43" fontId="76" fillId="6" borderId="1" xfId="1" applyFont="1" applyFill="1" applyBorder="1" applyAlignment="1">
      <alignment vertical="center" shrinkToFit="1"/>
    </xf>
    <xf numFmtId="43" fontId="78" fillId="0" borderId="1" xfId="1" applyFont="1" applyFill="1" applyBorder="1" applyAlignment="1">
      <alignment vertical="center" shrinkToFit="1"/>
    </xf>
    <xf numFmtId="0" fontId="79" fillId="0" borderId="1" xfId="1" applyNumberFormat="1" applyFont="1" applyFill="1" applyBorder="1" applyAlignment="1">
      <alignment horizontal="center" vertical="center" shrinkToFit="1"/>
    </xf>
    <xf numFmtId="0" fontId="79" fillId="0" borderId="1" xfId="1" applyNumberFormat="1" applyFont="1" applyFill="1" applyBorder="1" applyAlignment="1">
      <alignment horizontal="center" vertical="center"/>
    </xf>
    <xf numFmtId="43" fontId="79" fillId="0" borderId="1" xfId="1" applyFont="1" applyFill="1" applyBorder="1" applyAlignment="1">
      <alignment vertical="center" shrinkToFit="1"/>
    </xf>
    <xf numFmtId="43" fontId="80" fillId="0" borderId="0" xfId="1" applyFont="1" applyFill="1" applyBorder="1" applyAlignment="1">
      <alignment vertical="center" shrinkToFit="1"/>
    </xf>
    <xf numFmtId="43" fontId="79" fillId="0" borderId="0" xfId="1" applyFont="1" applyFill="1" applyBorder="1" applyAlignment="1">
      <alignment vertical="center" shrinkToFit="1"/>
    </xf>
    <xf numFmtId="43" fontId="79" fillId="6" borderId="1" xfId="1" applyFont="1" applyFill="1" applyBorder="1" applyAlignment="1">
      <alignment vertical="center" shrinkToFit="1"/>
    </xf>
    <xf numFmtId="0" fontId="70" fillId="0" borderId="11" xfId="1" applyNumberFormat="1" applyFont="1" applyFill="1" applyBorder="1" applyAlignment="1">
      <alignment horizontal="center" vertical="center" shrinkToFit="1"/>
    </xf>
    <xf numFmtId="43" fontId="35" fillId="0" borderId="4" xfId="1" applyFont="1" applyFill="1" applyBorder="1" applyAlignment="1">
      <alignment vertical="center" shrinkToFit="1"/>
    </xf>
    <xf numFmtId="43" fontId="72" fillId="0" borderId="11" xfId="1" applyFont="1" applyFill="1" applyBorder="1" applyAlignment="1">
      <alignment vertical="center" shrinkToFit="1"/>
    </xf>
    <xf numFmtId="43" fontId="72" fillId="0" borderId="4" xfId="1" applyFont="1" applyFill="1" applyBorder="1" applyAlignment="1">
      <alignment vertical="center" shrinkToFit="1"/>
    </xf>
    <xf numFmtId="0" fontId="70" fillId="0" borderId="13" xfId="1" applyNumberFormat="1" applyFont="1" applyFill="1" applyBorder="1" applyAlignment="1">
      <alignment horizontal="center" vertical="center" shrinkToFit="1"/>
    </xf>
    <xf numFmtId="43" fontId="35" fillId="0" borderId="2" xfId="1" applyFont="1" applyFill="1" applyBorder="1" applyAlignment="1">
      <alignment vertical="center" shrinkToFit="1"/>
    </xf>
    <xf numFmtId="43" fontId="72" fillId="0" borderId="2" xfId="1" applyFont="1" applyFill="1" applyBorder="1" applyAlignment="1">
      <alignment vertical="center" shrinkToFit="1"/>
    </xf>
    <xf numFmtId="0" fontId="70" fillId="0" borderId="14" xfId="1" applyNumberFormat="1" applyFont="1" applyFill="1" applyBorder="1" applyAlignment="1">
      <alignment horizontal="center" vertical="center" shrinkToFit="1"/>
    </xf>
    <xf numFmtId="43" fontId="72" fillId="0" borderId="3" xfId="1" applyFont="1" applyFill="1" applyBorder="1" applyAlignment="1">
      <alignment vertical="center" shrinkToFit="1"/>
    </xf>
    <xf numFmtId="0" fontId="70" fillId="0" borderId="0" xfId="1" applyNumberFormat="1" applyFont="1" applyFill="1" applyBorder="1" applyAlignment="1">
      <alignment horizontal="center" vertical="center" shrinkToFit="1"/>
    </xf>
    <xf numFmtId="0" fontId="71" fillId="0" borderId="0" xfId="1" applyNumberFormat="1" applyFont="1" applyFill="1" applyAlignment="1">
      <alignment vertical="center"/>
    </xf>
    <xf numFmtId="43" fontId="81" fillId="0" borderId="0" xfId="1" applyFont="1" applyFill="1" applyAlignment="1">
      <alignment vertical="center" shrinkToFit="1"/>
    </xf>
    <xf numFmtId="43" fontId="81" fillId="0" borderId="0" xfId="1" applyFont="1" applyFill="1" applyBorder="1" applyAlignment="1">
      <alignment vertical="center" shrinkToFit="1"/>
    </xf>
    <xf numFmtId="0" fontId="70" fillId="0" borderId="0" xfId="1" applyNumberFormat="1" applyFont="1" applyFill="1" applyAlignment="1">
      <alignment horizontal="right" vertical="center"/>
    </xf>
    <xf numFmtId="43" fontId="81" fillId="0" borderId="0" xfId="1" applyFont="1" applyFill="1" applyAlignment="1">
      <alignment horizontal="center" vertical="center" shrinkToFit="1"/>
    </xf>
    <xf numFmtId="0" fontId="70" fillId="0" borderId="0" xfId="1" applyNumberFormat="1" applyFont="1" applyFill="1" applyAlignment="1">
      <alignment vertical="center"/>
    </xf>
    <xf numFmtId="43" fontId="82" fillId="0" borderId="0" xfId="1" applyFont="1" applyFill="1" applyAlignment="1">
      <alignment vertical="center" shrinkToFit="1"/>
    </xf>
    <xf numFmtId="43" fontId="82" fillId="0" borderId="0" xfId="1" applyFont="1" applyFill="1" applyBorder="1" applyAlignment="1">
      <alignment vertical="center" shrinkToFit="1"/>
    </xf>
    <xf numFmtId="43" fontId="84" fillId="0" borderId="0" xfId="1" applyFont="1" applyFill="1" applyBorder="1" applyAlignment="1">
      <alignment vertical="center" shrinkToFit="1"/>
    </xf>
    <xf numFmtId="0" fontId="74" fillId="0" borderId="0" xfId="1" applyNumberFormat="1" applyFont="1" applyFill="1" applyAlignment="1">
      <alignment vertical="center"/>
    </xf>
    <xf numFmtId="43" fontId="85" fillId="0" borderId="0" xfId="1" applyFont="1" applyFill="1" applyAlignment="1">
      <alignment vertical="center" shrinkToFit="1"/>
    </xf>
    <xf numFmtId="43" fontId="85" fillId="0" borderId="0" xfId="1" applyFont="1" applyFill="1" applyBorder="1" applyAlignment="1">
      <alignment vertical="center" shrinkToFit="1"/>
    </xf>
    <xf numFmtId="43" fontId="14" fillId="0" borderId="0" xfId="1" applyFont="1" applyFill="1" applyAlignment="1">
      <alignment vertical="center" shrinkToFit="1"/>
    </xf>
    <xf numFmtId="43" fontId="86" fillId="0" borderId="0" xfId="1" applyFont="1" applyFill="1" applyAlignment="1">
      <alignment vertical="center" shrinkToFit="1"/>
    </xf>
    <xf numFmtId="43" fontId="74" fillId="0" borderId="0" xfId="1" applyFont="1" applyFill="1" applyAlignment="1">
      <alignment vertical="center" shrinkToFit="1"/>
    </xf>
    <xf numFmtId="43" fontId="14" fillId="0" borderId="0" xfId="1" applyFont="1" applyFill="1" applyBorder="1" applyAlignment="1">
      <alignment vertical="center" shrinkToFit="1"/>
    </xf>
    <xf numFmtId="0" fontId="70" fillId="0" borderId="11" xfId="1" applyNumberFormat="1" applyFont="1" applyFill="1" applyBorder="1" applyAlignment="1">
      <alignment horizontal="left" vertical="center"/>
    </xf>
    <xf numFmtId="0" fontId="70" fillId="0" borderId="11" xfId="1" applyNumberFormat="1" applyFont="1" applyFill="1" applyBorder="1" applyAlignment="1">
      <alignment vertical="center"/>
    </xf>
    <xf numFmtId="0" fontId="70" fillId="0" borderId="11" xfId="1" applyNumberFormat="1" applyFont="1" applyFill="1" applyBorder="1" applyAlignment="1">
      <alignment horizontal="left" vertical="center" shrinkToFit="1"/>
    </xf>
    <xf numFmtId="0" fontId="70" fillId="0" borderId="11" xfId="1" applyNumberFormat="1" applyFont="1" applyFill="1" applyBorder="1" applyAlignment="1">
      <alignment vertical="center" shrinkToFit="1"/>
    </xf>
    <xf numFmtId="0" fontId="71" fillId="0" borderId="11" xfId="1" applyNumberFormat="1" applyFont="1" applyFill="1" applyBorder="1" applyAlignment="1">
      <alignment vertical="center" shrinkToFit="1"/>
    </xf>
    <xf numFmtId="0" fontId="70" fillId="0" borderId="11" xfId="0" applyNumberFormat="1" applyFont="1" applyFill="1" applyBorder="1" applyAlignment="1">
      <alignment horizontal="left" vertical="center"/>
    </xf>
    <xf numFmtId="43" fontId="70" fillId="0" borderId="0" xfId="1" applyFont="1" applyFill="1" applyBorder="1" applyAlignment="1">
      <alignment vertical="center" shrinkToFit="1"/>
    </xf>
    <xf numFmtId="43" fontId="14" fillId="0" borderId="1" xfId="1" applyFont="1" applyFill="1" applyBorder="1" applyAlignment="1">
      <alignment vertical="center"/>
    </xf>
    <xf numFmtId="191" fontId="70" fillId="0" borderId="11" xfId="1" applyNumberFormat="1" applyFont="1" applyFill="1" applyBorder="1" applyAlignment="1">
      <alignment vertical="center" shrinkToFit="1"/>
    </xf>
    <xf numFmtId="0" fontId="87" fillId="0" borderId="0" xfId="0" applyFont="1" applyFill="1" applyAlignment="1">
      <alignment vertical="center"/>
    </xf>
    <xf numFmtId="43" fontId="88" fillId="0" borderId="0" xfId="1" applyFont="1" applyFill="1" applyAlignment="1">
      <alignment vertical="center"/>
    </xf>
    <xf numFmtId="0" fontId="88" fillId="0" borderId="0" xfId="0" applyFont="1" applyFill="1" applyAlignment="1">
      <alignment vertical="center"/>
    </xf>
    <xf numFmtId="43" fontId="48" fillId="0" borderId="15" xfId="0" applyNumberFormat="1" applyFont="1" applyFill="1" applyBorder="1" applyAlignment="1">
      <alignment horizontal="center" vertical="center"/>
    </xf>
    <xf numFmtId="43" fontId="38" fillId="5" borderId="9" xfId="1" applyFont="1" applyFill="1" applyBorder="1" applyAlignment="1">
      <alignment horizontal="center" vertical="center"/>
    </xf>
    <xf numFmtId="43" fontId="38" fillId="5" borderId="11" xfId="1" applyFont="1" applyFill="1" applyBorder="1" applyAlignment="1">
      <alignment horizontal="center" vertical="center"/>
    </xf>
    <xf numFmtId="43" fontId="46" fillId="0" borderId="1" xfId="0" applyNumberFormat="1" applyFont="1" applyFill="1" applyBorder="1" applyAlignment="1">
      <alignment horizontal="center" vertical="top"/>
    </xf>
    <xf numFmtId="0" fontId="51" fillId="6" borderId="1" xfId="0" applyFont="1" applyFill="1" applyBorder="1" applyAlignment="1">
      <alignment horizontal="center" vertical="center" shrinkToFit="1"/>
    </xf>
    <xf numFmtId="43" fontId="51" fillId="6" borderId="1" xfId="1" applyFont="1" applyFill="1" applyBorder="1" applyAlignment="1">
      <alignment vertical="center" shrinkToFit="1"/>
    </xf>
    <xf numFmtId="4" fontId="14" fillId="0" borderId="1" xfId="0" applyNumberFormat="1" applyFont="1" applyBorder="1"/>
    <xf numFmtId="43" fontId="14" fillId="0" borderId="1" xfId="1" applyFont="1" applyFill="1" applyBorder="1"/>
    <xf numFmtId="43" fontId="72" fillId="6" borderId="1" xfId="1" applyFont="1" applyFill="1" applyBorder="1" applyAlignment="1">
      <alignment vertical="center" shrinkToFit="1"/>
    </xf>
    <xf numFmtId="0" fontId="70" fillId="6" borderId="11" xfId="1" applyNumberFormat="1" applyFont="1" applyFill="1" applyBorder="1" applyAlignment="1">
      <alignment horizontal="center" vertical="center"/>
    </xf>
    <xf numFmtId="43" fontId="35" fillId="6" borderId="1" xfId="1" applyFont="1" applyFill="1" applyBorder="1" applyAlignment="1">
      <alignment vertical="center" shrinkToFit="1"/>
    </xf>
    <xf numFmtId="0" fontId="76" fillId="6" borderId="11" xfId="1" applyNumberFormat="1" applyFont="1" applyFill="1" applyBorder="1" applyAlignment="1">
      <alignment horizontal="center" vertical="center"/>
    </xf>
    <xf numFmtId="0" fontId="89" fillId="0" borderId="11" xfId="1" applyNumberFormat="1" applyFont="1" applyFill="1" applyBorder="1" applyAlignment="1">
      <alignment horizontal="center" vertical="center"/>
    </xf>
    <xf numFmtId="0" fontId="90" fillId="5" borderId="4" xfId="1" applyNumberFormat="1" applyFont="1" applyFill="1" applyBorder="1" applyAlignment="1">
      <alignment horizontal="center" vertical="center"/>
    </xf>
    <xf numFmtId="0" fontId="90" fillId="5" borderId="16" xfId="1" applyNumberFormat="1" applyFont="1" applyFill="1" applyBorder="1" applyAlignment="1">
      <alignment horizontal="center" vertical="center"/>
    </xf>
    <xf numFmtId="43" fontId="48" fillId="0" borderId="15" xfId="1" applyFont="1" applyFill="1" applyBorder="1" applyAlignment="1">
      <alignment vertical="center"/>
    </xf>
    <xf numFmtId="0" fontId="48" fillId="0" borderId="7" xfId="0" applyFont="1" applyFill="1" applyBorder="1" applyAlignment="1">
      <alignment horizontal="center" vertical="center"/>
    </xf>
    <xf numFmtId="0" fontId="3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3" fontId="41" fillId="0" borderId="1" xfId="1" applyFont="1" applyFill="1" applyBorder="1" applyAlignment="1">
      <alignment horizontal="center" vertical="center"/>
    </xf>
    <xf numFmtId="0" fontId="42" fillId="6" borderId="1" xfId="0" applyFont="1" applyFill="1" applyBorder="1" applyAlignment="1">
      <alignment horizontal="center" vertical="center" shrinkToFit="1"/>
    </xf>
    <xf numFmtId="0" fontId="14" fillId="0" borderId="11" xfId="0" applyFont="1" applyFill="1" applyBorder="1"/>
    <xf numFmtId="2" fontId="0" fillId="0" borderId="0" xfId="0" applyNumberFormat="1"/>
    <xf numFmtId="187" fontId="42" fillId="0" borderId="0" xfId="0" applyNumberFormat="1" applyFont="1" applyFill="1" applyAlignment="1">
      <alignment vertical="center"/>
    </xf>
    <xf numFmtId="0" fontId="48" fillId="0" borderId="5" xfId="0" applyFont="1" applyFill="1" applyBorder="1" applyAlignment="1">
      <alignment horizontal="left" vertical="center"/>
    </xf>
    <xf numFmtId="0" fontId="18" fillId="0" borderId="15" xfId="0" applyFont="1" applyBorder="1" applyAlignment="1">
      <alignment horizontal="left" vertical="center" wrapText="1"/>
    </xf>
    <xf numFmtId="0" fontId="48" fillId="0" borderId="7" xfId="0" applyFont="1" applyFill="1" applyBorder="1" applyAlignment="1">
      <alignment horizontal="left" vertical="center"/>
    </xf>
    <xf numFmtId="0" fontId="48" fillId="5" borderId="9" xfId="0" applyFont="1" applyFill="1" applyBorder="1" applyAlignment="1">
      <alignment horizontal="center" vertical="center"/>
    </xf>
    <xf numFmtId="0" fontId="33" fillId="0" borderId="0" xfId="0" applyFont="1"/>
    <xf numFmtId="0" fontId="34" fillId="0" borderId="0" xfId="0" applyFont="1"/>
    <xf numFmtId="0" fontId="16" fillId="0" borderId="9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87" fontId="14" fillId="0" borderId="18" xfId="0" applyNumberFormat="1" applyFont="1" applyBorder="1"/>
    <xf numFmtId="43" fontId="14" fillId="0" borderId="20" xfId="1" applyFont="1" applyBorder="1"/>
    <xf numFmtId="187" fontId="14" fillId="0" borderId="7" xfId="0" applyNumberFormat="1" applyFont="1" applyBorder="1"/>
    <xf numFmtId="187" fontId="14" fillId="0" borderId="1" xfId="0" applyNumberFormat="1" applyFont="1" applyBorder="1"/>
    <xf numFmtId="2" fontId="14" fillId="0" borderId="18" xfId="0" applyNumberFormat="1" applyFont="1" applyBorder="1"/>
    <xf numFmtId="0" fontId="14" fillId="0" borderId="7" xfId="0" applyFont="1" applyBorder="1"/>
    <xf numFmtId="0" fontId="42" fillId="0" borderId="5" xfId="0" applyFont="1" applyFill="1" applyBorder="1" applyAlignment="1">
      <alignment vertical="center" shrinkToFit="1"/>
    </xf>
    <xf numFmtId="43" fontId="16" fillId="0" borderId="1" xfId="1" applyFont="1" applyBorder="1"/>
    <xf numFmtId="2" fontId="16" fillId="0" borderId="18" xfId="0" applyNumberFormat="1" applyFont="1" applyBorder="1"/>
    <xf numFmtId="43" fontId="16" fillId="0" borderId="20" xfId="1" applyFont="1" applyBorder="1"/>
    <xf numFmtId="0" fontId="16" fillId="0" borderId="7" xfId="0" applyFont="1" applyBorder="1"/>
    <xf numFmtId="187" fontId="16" fillId="0" borderId="1" xfId="0" applyNumberFormat="1" applyFont="1" applyBorder="1"/>
    <xf numFmtId="187" fontId="14" fillId="0" borderId="20" xfId="0" applyNumberFormat="1" applyFont="1" applyBorder="1"/>
    <xf numFmtId="43" fontId="14" fillId="0" borderId="1" xfId="0" applyNumberFormat="1" applyFont="1" applyBorder="1"/>
    <xf numFmtId="43" fontId="14" fillId="0" borderId="18" xfId="0" applyNumberFormat="1" applyFont="1" applyBorder="1"/>
    <xf numFmtId="43" fontId="14" fillId="0" borderId="20" xfId="0" applyNumberFormat="1" applyFont="1" applyBorder="1"/>
    <xf numFmtId="43" fontId="14" fillId="0" borderId="7" xfId="0" applyNumberFormat="1" applyFont="1" applyBorder="1"/>
    <xf numFmtId="0" fontId="42" fillId="0" borderId="7" xfId="0" applyFont="1" applyFill="1" applyBorder="1" applyAlignment="1">
      <alignment horizontal="left" vertical="center"/>
    </xf>
    <xf numFmtId="0" fontId="42" fillId="0" borderId="7" xfId="0" applyFont="1" applyFill="1" applyBorder="1" applyAlignment="1">
      <alignment horizontal="left" vertical="center" shrinkToFit="1"/>
    </xf>
    <xf numFmtId="0" fontId="16" fillId="0" borderId="17" xfId="0" applyFont="1" applyBorder="1" applyAlignment="1">
      <alignment horizontal="center" vertical="center" shrinkToFit="1"/>
    </xf>
    <xf numFmtId="0" fontId="70" fillId="6" borderId="11" xfId="1" applyNumberFormat="1" applyFont="1" applyFill="1" applyBorder="1" applyAlignment="1">
      <alignment horizontal="center" vertical="center" shrinkToFit="1"/>
    </xf>
    <xf numFmtId="0" fontId="70" fillId="0" borderId="11" xfId="1" applyNumberFormat="1" applyFont="1" applyFill="1" applyBorder="1" applyAlignment="1">
      <alignment horizontal="center" vertical="center"/>
    </xf>
    <xf numFmtId="43" fontId="70" fillId="0" borderId="11" xfId="1" applyFont="1" applyFill="1" applyBorder="1" applyAlignment="1">
      <alignment horizontal="left" vertical="center" shrinkToFit="1"/>
    </xf>
    <xf numFmtId="43" fontId="16" fillId="0" borderId="35" xfId="1" applyFont="1" applyFill="1" applyBorder="1" applyAlignment="1">
      <alignment vertical="center" shrinkToFit="1"/>
    </xf>
    <xf numFmtId="49" fontId="70" fillId="0" borderId="11" xfId="0" applyNumberFormat="1" applyFont="1" applyFill="1" applyBorder="1"/>
    <xf numFmtId="49" fontId="70" fillId="0" borderId="11" xfId="0" applyNumberFormat="1" applyFont="1" applyFill="1" applyBorder="1" applyAlignment="1">
      <alignment vertical="center"/>
    </xf>
    <xf numFmtId="43" fontId="70" fillId="6" borderId="11" xfId="1" applyFont="1" applyFill="1" applyBorder="1" applyAlignment="1">
      <alignment vertical="center" shrinkToFit="1"/>
    </xf>
    <xf numFmtId="0" fontId="71" fillId="0" borderId="0" xfId="1" applyNumberFormat="1" applyFont="1" applyFill="1" applyBorder="1" applyAlignment="1">
      <alignment vertical="center"/>
    </xf>
    <xf numFmtId="0" fontId="70" fillId="0" borderId="0" xfId="1" applyNumberFormat="1" applyFont="1" applyFill="1" applyBorder="1" applyAlignment="1">
      <alignment horizontal="right" vertical="center"/>
    </xf>
    <xf numFmtId="0" fontId="70" fillId="0" borderId="0" xfId="1" applyNumberFormat="1" applyFont="1" applyFill="1" applyBorder="1" applyAlignment="1">
      <alignment vertical="center"/>
    </xf>
    <xf numFmtId="0" fontId="74" fillId="0" borderId="0" xfId="1" applyNumberFormat="1" applyFont="1" applyFill="1" applyBorder="1" applyAlignment="1">
      <alignment vertical="center"/>
    </xf>
    <xf numFmtId="49" fontId="70" fillId="0" borderId="4" xfId="0" applyNumberFormat="1" applyFont="1" applyFill="1" applyBorder="1"/>
    <xf numFmtId="49" fontId="70" fillId="0" borderId="4" xfId="0" applyNumberFormat="1" applyFont="1" applyFill="1" applyBorder="1" applyAlignment="1">
      <alignment vertical="center"/>
    </xf>
    <xf numFmtId="43" fontId="75" fillId="0" borderId="4" xfId="1" applyNumberFormat="1" applyFont="1" applyFill="1" applyBorder="1" applyAlignment="1">
      <alignment vertical="center"/>
    </xf>
    <xf numFmtId="0" fontId="71" fillId="0" borderId="4" xfId="1" applyNumberFormat="1" applyFont="1" applyFill="1" applyBorder="1" applyAlignment="1">
      <alignment vertical="center" shrinkToFit="1"/>
    </xf>
    <xf numFmtId="0" fontId="70" fillId="0" borderId="4" xfId="1" applyNumberFormat="1" applyFont="1" applyFill="1" applyBorder="1" applyAlignment="1">
      <alignment vertical="center"/>
    </xf>
    <xf numFmtId="0" fontId="70" fillId="0" borderId="9" xfId="1" applyNumberFormat="1" applyFont="1" applyFill="1" applyBorder="1" applyAlignment="1">
      <alignment horizontal="center" vertical="center"/>
    </xf>
    <xf numFmtId="0" fontId="70" fillId="0" borderId="4" xfId="1" applyNumberFormat="1" applyFont="1" applyFill="1" applyBorder="1" applyAlignment="1">
      <alignment horizontal="center" vertical="center"/>
    </xf>
    <xf numFmtId="0" fontId="70" fillId="6" borderId="4" xfId="1" applyNumberFormat="1" applyFont="1" applyFill="1" applyBorder="1" applyAlignment="1">
      <alignment horizontal="center" vertical="center" shrinkToFit="1"/>
    </xf>
    <xf numFmtId="0" fontId="70" fillId="6" borderId="4" xfId="1" applyNumberFormat="1" applyFont="1" applyFill="1" applyBorder="1" applyAlignment="1">
      <alignment horizontal="center" vertical="center"/>
    </xf>
    <xf numFmtId="43" fontId="70" fillId="7" borderId="9" xfId="1" applyFont="1" applyFill="1" applyBorder="1" applyAlignment="1">
      <alignment horizontal="center" vertical="center" shrinkToFit="1"/>
    </xf>
    <xf numFmtId="43" fontId="70" fillId="7" borderId="4" xfId="1" applyFont="1" applyFill="1" applyBorder="1" applyAlignment="1">
      <alignment horizontal="center" vertical="center" shrinkToFit="1"/>
    </xf>
    <xf numFmtId="0" fontId="3" fillId="0" borderId="0" xfId="0" applyFont="1" applyAlignment="1">
      <alignment shrinkToFit="1"/>
    </xf>
    <xf numFmtId="43" fontId="3" fillId="0" borderId="0" xfId="1" applyNumberFormat="1" applyFont="1"/>
    <xf numFmtId="43" fontId="3" fillId="0" borderId="0" xfId="1" applyFont="1"/>
    <xf numFmtId="43" fontId="22" fillId="0" borderId="1" xfId="1" applyFont="1" applyFill="1" applyBorder="1" applyAlignment="1">
      <alignment horizontal="center" vertical="center"/>
    </xf>
    <xf numFmtId="43" fontId="24" fillId="8" borderId="21" xfId="1" applyNumberFormat="1" applyFont="1" applyFill="1" applyBorder="1" applyAlignment="1">
      <alignment vertical="center" shrinkToFit="1"/>
    </xf>
    <xf numFmtId="43" fontId="24" fillId="8" borderId="21" xfId="1" applyFont="1" applyFill="1" applyBorder="1" applyAlignment="1">
      <alignment horizontal="center" vertical="center" shrinkToFit="1"/>
    </xf>
    <xf numFmtId="43" fontId="27" fillId="0" borderId="0" xfId="0" applyNumberFormat="1" applyFont="1"/>
    <xf numFmtId="43" fontId="27" fillId="0" borderId="0" xfId="1" applyFont="1"/>
    <xf numFmtId="0" fontId="16" fillId="0" borderId="1" xfId="0" applyFont="1" applyBorder="1" applyAlignment="1">
      <alignment horizontal="center"/>
    </xf>
    <xf numFmtId="2" fontId="27" fillId="0" borderId="0" xfId="0" applyNumberFormat="1" applyFont="1"/>
    <xf numFmtId="0" fontId="94" fillId="0" borderId="0" xfId="0" applyFont="1"/>
    <xf numFmtId="43" fontId="61" fillId="0" borderId="1" xfId="1" applyFont="1" applyFill="1" applyBorder="1" applyAlignment="1">
      <alignment vertical="center"/>
    </xf>
    <xf numFmtId="49" fontId="55" fillId="0" borderId="1" xfId="0" applyNumberFormat="1" applyFont="1" applyFill="1" applyBorder="1" applyAlignment="1">
      <alignment horizontal="center" vertical="top"/>
    </xf>
    <xf numFmtId="43" fontId="64" fillId="0" borderId="0" xfId="1" applyFont="1" applyBorder="1" applyAlignment="1">
      <alignment vertical="top"/>
    </xf>
    <xf numFmtId="43" fontId="61" fillId="0" borderId="0" xfId="1" applyFont="1" applyBorder="1" applyAlignment="1">
      <alignment horizontal="center" vertical="top"/>
    </xf>
    <xf numFmtId="43" fontId="64" fillId="0" borderId="1" xfId="1" applyFont="1" applyBorder="1" applyAlignment="1">
      <alignment horizontal="center" vertical="top"/>
    </xf>
    <xf numFmtId="43" fontId="64" fillId="0" borderId="1" xfId="1" applyFont="1" applyFill="1" applyBorder="1" applyAlignment="1">
      <alignment horizontal="center" vertical="top"/>
    </xf>
    <xf numFmtId="43" fontId="61" fillId="0" borderId="1" xfId="1" applyFont="1" applyFill="1" applyBorder="1" applyAlignment="1">
      <alignment horizontal="right" vertical="top"/>
    </xf>
    <xf numFmtId="43" fontId="61" fillId="0" borderId="1" xfId="1" applyFont="1" applyBorder="1" applyAlignment="1">
      <alignment vertical="top" wrapText="1"/>
    </xf>
    <xf numFmtId="43" fontId="61" fillId="0" borderId="0" xfId="1" applyFont="1" applyBorder="1" applyAlignment="1">
      <alignment vertical="top"/>
    </xf>
    <xf numFmtId="43" fontId="64" fillId="0" borderId="1" xfId="1" applyFont="1" applyBorder="1" applyAlignment="1">
      <alignment horizontal="right" vertical="top" wrapText="1" shrinkToFit="1"/>
    </xf>
    <xf numFmtId="43" fontId="61" fillId="0" borderId="1" xfId="1" applyFont="1" applyFill="1" applyBorder="1" applyAlignment="1">
      <alignment vertical="top" wrapText="1"/>
    </xf>
    <xf numFmtId="43" fontId="61" fillId="0" borderId="0" xfId="1" applyFont="1" applyFill="1" applyBorder="1" applyAlignment="1">
      <alignment vertical="top"/>
    </xf>
    <xf numFmtId="43" fontId="64" fillId="0" borderId="1" xfId="1" applyFont="1" applyBorder="1" applyAlignment="1">
      <alignment horizontal="left" vertical="top"/>
    </xf>
    <xf numFmtId="43" fontId="64" fillId="0" borderId="1" xfId="1" applyFont="1" applyFill="1" applyBorder="1" applyAlignment="1">
      <alignment vertical="top"/>
    </xf>
    <xf numFmtId="43" fontId="61" fillId="0" borderId="1" xfId="1" applyFont="1" applyFill="1" applyBorder="1" applyAlignment="1">
      <alignment vertical="top"/>
    </xf>
    <xf numFmtId="0" fontId="61" fillId="0" borderId="5" xfId="1" applyNumberFormat="1" applyFont="1" applyFill="1" applyBorder="1" applyAlignment="1">
      <alignment horizontal="center" vertical="top"/>
    </xf>
    <xf numFmtId="43" fontId="64" fillId="0" borderId="1" xfId="1" applyFont="1" applyFill="1" applyBorder="1" applyAlignment="1">
      <alignment horizontal="right" vertical="top"/>
    </xf>
    <xf numFmtId="43" fontId="64" fillId="0" borderId="0" xfId="1" applyFont="1" applyFill="1" applyBorder="1" applyAlignment="1">
      <alignment vertical="top"/>
    </xf>
    <xf numFmtId="190" fontId="61" fillId="0" borderId="1" xfId="1" applyNumberFormat="1" applyFont="1" applyFill="1" applyBorder="1" applyAlignment="1">
      <alignment vertical="top"/>
    </xf>
    <xf numFmtId="190" fontId="64" fillId="0" borderId="1" xfId="1" applyNumberFormat="1" applyFont="1" applyFill="1" applyBorder="1" applyAlignment="1">
      <alignment vertical="top"/>
    </xf>
    <xf numFmtId="43" fontId="61" fillId="0" borderId="0" xfId="1" applyFont="1" applyFill="1" applyBorder="1" applyAlignment="1">
      <alignment vertical="top" wrapText="1"/>
    </xf>
    <xf numFmtId="0" fontId="61" fillId="0" borderId="0" xfId="0" applyFont="1" applyBorder="1" applyAlignment="1">
      <alignment vertical="top"/>
    </xf>
    <xf numFmtId="0" fontId="64" fillId="0" borderId="0" xfId="1" applyNumberFormat="1" applyFont="1" applyBorder="1" applyAlignment="1">
      <alignment vertical="top"/>
    </xf>
    <xf numFmtId="43" fontId="61" fillId="0" borderId="0" xfId="1" applyFont="1" applyBorder="1" applyAlignment="1">
      <alignment vertical="top" wrapText="1"/>
    </xf>
    <xf numFmtId="43" fontId="64" fillId="0" borderId="0" xfId="1" applyFont="1" applyBorder="1" applyAlignment="1">
      <alignment horizontal="left" vertical="top" wrapText="1"/>
    </xf>
    <xf numFmtId="0" fontId="64" fillId="0" borderId="0" xfId="0" applyFont="1" applyFill="1"/>
    <xf numFmtId="0" fontId="60" fillId="0" borderId="9" xfId="0" applyFont="1" applyFill="1" applyBorder="1" applyAlignment="1">
      <alignment horizontal="center" vertical="center" wrapText="1"/>
    </xf>
    <xf numFmtId="0" fontId="60" fillId="0" borderId="0" xfId="0" applyFont="1" applyFill="1"/>
    <xf numFmtId="0" fontId="60" fillId="0" borderId="4" xfId="0" applyFont="1" applyFill="1" applyBorder="1" applyAlignment="1">
      <alignment horizontal="center" vertical="center" wrapText="1"/>
    </xf>
    <xf numFmtId="0" fontId="55" fillId="0" borderId="1" xfId="0" applyFont="1" applyFill="1" applyBorder="1" applyAlignment="1">
      <alignment horizontal="center" vertical="top"/>
    </xf>
    <xf numFmtId="0" fontId="55" fillId="0" borderId="1" xfId="0" applyFont="1" applyFill="1" applyBorder="1" applyAlignment="1">
      <alignment vertical="top"/>
    </xf>
    <xf numFmtId="0" fontId="55" fillId="0" borderId="1" xfId="0" applyFont="1" applyFill="1" applyBorder="1" applyAlignment="1">
      <alignment vertical="top" shrinkToFit="1"/>
    </xf>
    <xf numFmtId="4" fontId="55" fillId="0" borderId="1" xfId="0" applyNumberFormat="1" applyFont="1" applyFill="1" applyBorder="1" applyAlignment="1">
      <alignment vertical="top"/>
    </xf>
    <xf numFmtId="43" fontId="55" fillId="0" borderId="7" xfId="1" applyFont="1" applyFill="1" applyBorder="1" applyAlignment="1">
      <alignment vertical="top"/>
    </xf>
    <xf numFmtId="43" fontId="60" fillId="0" borderId="7" xfId="1" applyFont="1" applyFill="1" applyBorder="1" applyAlignment="1">
      <alignment vertical="top"/>
    </xf>
    <xf numFmtId="43" fontId="60" fillId="0" borderId="1" xfId="1" applyFont="1" applyFill="1" applyBorder="1" applyAlignment="1">
      <alignment vertical="top" wrapText="1"/>
    </xf>
    <xf numFmtId="0" fontId="55" fillId="0" borderId="7" xfId="0" applyFont="1" applyFill="1" applyBorder="1"/>
    <xf numFmtId="0" fontId="55" fillId="0" borderId="1" xfId="0" applyFont="1" applyFill="1" applyBorder="1"/>
    <xf numFmtId="0" fontId="55" fillId="0" borderId="0" xfId="0" applyFont="1" applyFill="1"/>
    <xf numFmtId="0" fontId="55" fillId="0" borderId="1" xfId="0" applyFont="1" applyFill="1" applyBorder="1" applyAlignment="1">
      <alignment vertical="top" wrapText="1"/>
    </xf>
    <xf numFmtId="43" fontId="100" fillId="0" borderId="1" xfId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shrinkToFit="1"/>
    </xf>
    <xf numFmtId="43" fontId="100" fillId="0" borderId="1" xfId="1" applyFont="1" applyFill="1" applyBorder="1" applyAlignment="1">
      <alignment vertical="top" wrapText="1"/>
    </xf>
    <xf numFmtId="4" fontId="60" fillId="0" borderId="1" xfId="0" applyNumberFormat="1" applyFont="1" applyFill="1" applyBorder="1" applyAlignment="1">
      <alignment vertical="top"/>
    </xf>
    <xf numFmtId="0" fontId="60" fillId="0" borderId="7" xfId="0" applyFont="1" applyFill="1" applyBorder="1"/>
    <xf numFmtId="0" fontId="60" fillId="0" borderId="1" xfId="0" applyFont="1" applyFill="1" applyBorder="1"/>
    <xf numFmtId="43" fontId="5" fillId="0" borderId="1" xfId="1" applyFont="1" applyFill="1" applyBorder="1" applyAlignment="1">
      <alignment vertical="top" wrapText="1"/>
    </xf>
    <xf numFmtId="0" fontId="55" fillId="0" borderId="1" xfId="0" applyFont="1" applyFill="1" applyBorder="1" applyAlignment="1">
      <alignment vertical="top" wrapText="1" shrinkToFit="1"/>
    </xf>
    <xf numFmtId="43" fontId="60" fillId="0" borderId="1" xfId="1" applyFont="1" applyFill="1" applyBorder="1" applyAlignment="1">
      <alignment vertical="top"/>
    </xf>
    <xf numFmtId="43" fontId="61" fillId="0" borderId="7" xfId="1" applyFont="1" applyFill="1" applyBorder="1" applyAlignment="1">
      <alignment vertical="top"/>
    </xf>
    <xf numFmtId="0" fontId="61" fillId="0" borderId="0" xfId="0" applyFont="1" applyFill="1"/>
    <xf numFmtId="0" fontId="64" fillId="0" borderId="0" xfId="0" applyFont="1" applyFill="1" applyAlignment="1">
      <alignment horizontal="center"/>
    </xf>
    <xf numFmtId="49" fontId="64" fillId="0" borderId="0" xfId="0" applyNumberFormat="1" applyFont="1" applyFill="1" applyAlignment="1">
      <alignment horizontal="center"/>
    </xf>
    <xf numFmtId="0" fontId="64" fillId="0" borderId="0" xfId="0" applyFont="1" applyFill="1" applyAlignment="1">
      <alignment shrinkToFit="1"/>
    </xf>
    <xf numFmtId="187" fontId="64" fillId="0" borderId="0" xfId="0" applyNumberFormat="1" applyFont="1" applyFill="1"/>
    <xf numFmtId="43" fontId="64" fillId="0" borderId="0" xfId="1" applyFont="1" applyFill="1"/>
    <xf numFmtId="187" fontId="61" fillId="0" borderId="0" xfId="0" applyNumberFormat="1" applyFont="1" applyFill="1"/>
    <xf numFmtId="187" fontId="61" fillId="0" borderId="0" xfId="0" applyNumberFormat="1" applyFont="1" applyFill="1" applyAlignment="1">
      <alignment wrapText="1"/>
    </xf>
    <xf numFmtId="0" fontId="61" fillId="0" borderId="0" xfId="0" applyFont="1" applyFill="1" applyAlignment="1">
      <alignment wrapText="1"/>
    </xf>
    <xf numFmtId="43" fontId="61" fillId="0" borderId="0" xfId="1" applyFont="1" applyBorder="1" applyAlignment="1">
      <alignment horizontal="center" vertical="center"/>
    </xf>
    <xf numFmtId="43" fontId="61" fillId="0" borderId="0" xfId="1" applyFont="1" applyFill="1" applyBorder="1" applyAlignment="1">
      <alignment vertical="center"/>
    </xf>
    <xf numFmtId="15" fontId="61" fillId="0" borderId="1" xfId="1" applyNumberFormat="1" applyFont="1" applyFill="1" applyBorder="1" applyAlignment="1">
      <alignment vertical="top" wrapText="1"/>
    </xf>
    <xf numFmtId="0" fontId="61" fillId="0" borderId="0" xfId="1" applyNumberFormat="1" applyFont="1" applyBorder="1" applyAlignment="1">
      <alignment vertical="top"/>
    </xf>
    <xf numFmtId="43" fontId="97" fillId="0" borderId="0" xfId="1" applyFont="1" applyFill="1" applyBorder="1" applyAlignment="1">
      <alignment vertical="top" wrapText="1"/>
    </xf>
    <xf numFmtId="43" fontId="5" fillId="0" borderId="0" xfId="0" applyNumberFormat="1" applyFont="1" applyFill="1" applyBorder="1" applyAlignment="1">
      <alignment horizontal="left" vertical="top"/>
    </xf>
    <xf numFmtId="43" fontId="61" fillId="0" borderId="4" xfId="1" applyFont="1" applyFill="1" applyBorder="1" applyAlignment="1">
      <alignment vertical="top"/>
    </xf>
    <xf numFmtId="43" fontId="61" fillId="0" borderId="4" xfId="1" applyFont="1" applyFill="1" applyBorder="1" applyAlignment="1">
      <alignment vertical="center"/>
    </xf>
    <xf numFmtId="43" fontId="101" fillId="0" borderId="1" xfId="1" applyFont="1" applyFill="1" applyBorder="1" applyAlignment="1">
      <alignment vertical="top" wrapText="1"/>
    </xf>
    <xf numFmtId="43" fontId="97" fillId="0" borderId="1" xfId="1" applyFont="1" applyFill="1" applyBorder="1" applyAlignment="1">
      <alignment vertical="top" wrapText="1"/>
    </xf>
    <xf numFmtId="0" fontId="96" fillId="0" borderId="0" xfId="1" applyNumberFormat="1" applyFont="1" applyBorder="1" applyAlignment="1">
      <alignment horizontal="left" vertical="top" wrapText="1" shrinkToFit="1"/>
    </xf>
    <xf numFmtId="0" fontId="96" fillId="0" borderId="0" xfId="1" applyNumberFormat="1" applyFont="1" applyBorder="1" applyAlignment="1">
      <alignment horizontal="left" vertical="top" wrapText="1"/>
    </xf>
    <xf numFmtId="0" fontId="98" fillId="0" borderId="0" xfId="1" applyNumberFormat="1" applyFont="1" applyBorder="1" applyAlignment="1">
      <alignment vertical="top"/>
    </xf>
    <xf numFmtId="0" fontId="96" fillId="0" borderId="0" xfId="1" applyNumberFormat="1" applyFont="1" applyBorder="1" applyAlignment="1">
      <alignment vertical="top"/>
    </xf>
    <xf numFmtId="43" fontId="96" fillId="0" borderId="0" xfId="1" applyFont="1" applyBorder="1" applyAlignment="1">
      <alignment vertical="top"/>
    </xf>
    <xf numFmtId="43" fontId="96" fillId="0" borderId="0" xfId="1" applyFont="1" applyBorder="1" applyAlignment="1">
      <alignment vertical="top" wrapText="1"/>
    </xf>
    <xf numFmtId="0" fontId="61" fillId="12" borderId="11" xfId="0" applyFont="1" applyFill="1" applyBorder="1" applyAlignment="1">
      <alignment horizontal="center" vertical="center"/>
    </xf>
    <xf numFmtId="43" fontId="61" fillId="0" borderId="5" xfId="1" applyFont="1" applyFill="1" applyBorder="1" applyAlignment="1">
      <alignment horizontal="right" vertical="top"/>
    </xf>
    <xf numFmtId="43" fontId="61" fillId="0" borderId="15" xfId="1" applyFont="1" applyFill="1" applyBorder="1" applyAlignment="1">
      <alignment horizontal="right" vertical="top"/>
    </xf>
    <xf numFmtId="43" fontId="61" fillId="0" borderId="7" xfId="1" applyFont="1" applyFill="1" applyBorder="1" applyAlignment="1">
      <alignment horizontal="right" vertical="top"/>
    </xf>
    <xf numFmtId="43" fontId="96" fillId="0" borderId="0" xfId="1" applyFont="1" applyBorder="1" applyAlignment="1">
      <alignment horizontal="center" vertical="top"/>
    </xf>
    <xf numFmtId="43" fontId="61" fillId="0" borderId="5" xfId="1" applyFont="1" applyFill="1" applyBorder="1" applyAlignment="1">
      <alignment horizontal="center" vertical="top"/>
    </xf>
    <xf numFmtId="43" fontId="61" fillId="0" borderId="15" xfId="1" applyFont="1" applyFill="1" applyBorder="1" applyAlignment="1">
      <alignment horizontal="center" vertical="top"/>
    </xf>
    <xf numFmtId="43" fontId="61" fillId="0" borderId="7" xfId="1" applyFont="1" applyFill="1" applyBorder="1" applyAlignment="1">
      <alignment horizontal="center" vertical="top"/>
    </xf>
    <xf numFmtId="0" fontId="96" fillId="0" borderId="0" xfId="1" applyNumberFormat="1" applyFont="1" applyBorder="1" applyAlignment="1">
      <alignment horizontal="center" vertical="top" wrapText="1" shrinkToFit="1"/>
    </xf>
    <xf numFmtId="0" fontId="98" fillId="0" borderId="0" xfId="1" applyNumberFormat="1" applyFont="1" applyBorder="1" applyAlignment="1">
      <alignment horizontal="center" vertical="top"/>
    </xf>
    <xf numFmtId="0" fontId="64" fillId="0" borderId="0" xfId="1" applyNumberFormat="1" applyFont="1" applyBorder="1" applyAlignment="1">
      <alignment horizontal="center" vertical="top"/>
    </xf>
    <xf numFmtId="0" fontId="96" fillId="0" borderId="5" xfId="1" applyNumberFormat="1" applyFont="1" applyFill="1" applyBorder="1" applyAlignment="1">
      <alignment vertical="top"/>
    </xf>
    <xf numFmtId="0" fontId="96" fillId="0" borderId="15" xfId="1" applyNumberFormat="1" applyFont="1" applyFill="1" applyBorder="1" applyAlignment="1">
      <alignment vertical="top"/>
    </xf>
    <xf numFmtId="0" fontId="96" fillId="0" borderId="15" xfId="1" applyNumberFormat="1" applyFont="1" applyFill="1" applyBorder="1" applyAlignment="1">
      <alignment horizontal="center" vertical="top"/>
    </xf>
    <xf numFmtId="0" fontId="96" fillId="0" borderId="7" xfId="1" applyNumberFormat="1" applyFont="1" applyFill="1" applyBorder="1" applyAlignment="1">
      <alignment vertical="top"/>
    </xf>
    <xf numFmtId="43" fontId="96" fillId="0" borderId="1" xfId="1" applyFont="1" applyFill="1" applyBorder="1" applyAlignment="1">
      <alignment horizontal="center" vertical="top"/>
    </xf>
    <xf numFmtId="43" fontId="96" fillId="0" borderId="1" xfId="1" applyFont="1" applyBorder="1" applyAlignment="1">
      <alignment vertical="top"/>
    </xf>
    <xf numFmtId="43" fontId="96" fillId="0" borderId="1" xfId="1" applyFont="1" applyFill="1" applyBorder="1" applyAlignment="1">
      <alignment horizontal="center" vertical="top" wrapText="1"/>
    </xf>
    <xf numFmtId="43" fontId="96" fillId="0" borderId="0" xfId="1" applyFont="1" applyFill="1" applyBorder="1" applyAlignment="1">
      <alignment vertical="top"/>
    </xf>
    <xf numFmtId="43" fontId="95" fillId="0" borderId="0" xfId="1" applyFont="1" applyBorder="1" applyAlignment="1">
      <alignment vertical="top"/>
    </xf>
    <xf numFmtId="2" fontId="61" fillId="0" borderId="1" xfId="0" applyNumberFormat="1" applyFont="1" applyBorder="1" applyAlignment="1">
      <alignment horizontal="left" vertical="top" wrapText="1"/>
    </xf>
    <xf numFmtId="43" fontId="63" fillId="0" borderId="0" xfId="1" applyFont="1" applyFill="1" applyBorder="1" applyAlignment="1">
      <alignment horizontal="center" vertical="top"/>
    </xf>
    <xf numFmtId="0" fontId="61" fillId="0" borderId="9" xfId="0" applyFont="1" applyFill="1" applyBorder="1" applyAlignment="1">
      <alignment horizontal="center" vertical="top"/>
    </xf>
    <xf numFmtId="0" fontId="61" fillId="0" borderId="6" xfId="1" applyNumberFormat="1" applyFont="1" applyFill="1" applyBorder="1" applyAlignment="1">
      <alignment horizontal="center" vertical="top" wrapText="1"/>
    </xf>
    <xf numFmtId="43" fontId="61" fillId="0" borderId="8" xfId="1" applyFont="1" applyFill="1" applyBorder="1" applyAlignment="1">
      <alignment horizontal="center" vertical="center"/>
    </xf>
    <xf numFmtId="43" fontId="61" fillId="0" borderId="9" xfId="1" applyFont="1" applyFill="1" applyBorder="1" applyAlignment="1">
      <alignment horizontal="center" vertical="center"/>
    </xf>
    <xf numFmtId="0" fontId="61" fillId="0" borderId="11" xfId="0" applyFont="1" applyFill="1" applyBorder="1" applyAlignment="1">
      <alignment horizontal="center" vertical="top"/>
    </xf>
    <xf numFmtId="0" fontId="61" fillId="0" borderId="11" xfId="1" applyNumberFormat="1" applyFont="1" applyFill="1" applyBorder="1" applyAlignment="1">
      <alignment horizontal="center" vertical="top"/>
    </xf>
    <xf numFmtId="0" fontId="61" fillId="0" borderId="29" xfId="1" applyNumberFormat="1" applyFont="1" applyFill="1" applyBorder="1" applyAlignment="1">
      <alignment horizontal="center" vertical="top" wrapText="1"/>
    </xf>
    <xf numFmtId="43" fontId="61" fillId="0" borderId="28" xfId="1" applyFont="1" applyFill="1" applyBorder="1" applyAlignment="1">
      <alignment horizontal="center" vertical="center" wrapText="1"/>
    </xf>
    <xf numFmtId="43" fontId="61" fillId="0" borderId="11" xfId="1" applyFont="1" applyFill="1" applyBorder="1" applyAlignment="1">
      <alignment horizontal="center" vertical="center" wrapText="1"/>
    </xf>
    <xf numFmtId="43" fontId="61" fillId="0" borderId="11" xfId="1" applyFont="1" applyFill="1" applyBorder="1" applyAlignment="1">
      <alignment horizontal="center" vertical="center"/>
    </xf>
    <xf numFmtId="0" fontId="61" fillId="0" borderId="11" xfId="0" applyFont="1" applyFill="1" applyBorder="1" applyAlignment="1">
      <alignment horizontal="center" vertical="center"/>
    </xf>
    <xf numFmtId="0" fontId="61" fillId="0" borderId="4" xfId="1" applyNumberFormat="1" applyFont="1" applyFill="1" applyBorder="1" applyAlignment="1">
      <alignment horizontal="center" vertical="top"/>
    </xf>
    <xf numFmtId="0" fontId="61" fillId="0" borderId="16" xfId="1" applyNumberFormat="1" applyFont="1" applyFill="1" applyBorder="1" applyAlignment="1">
      <alignment horizontal="center" vertical="top" wrapText="1"/>
    </xf>
    <xf numFmtId="49" fontId="61" fillId="0" borderId="24" xfId="1" applyNumberFormat="1" applyFont="1" applyFill="1" applyBorder="1" applyAlignment="1">
      <alignment horizontal="center" vertical="center"/>
    </xf>
    <xf numFmtId="49" fontId="61" fillId="0" borderId="4" xfId="1" applyNumberFormat="1" applyFont="1" applyFill="1" applyBorder="1" applyAlignment="1">
      <alignment horizontal="center" vertical="center"/>
    </xf>
    <xf numFmtId="43" fontId="61" fillId="0" borderId="4" xfId="1" applyFont="1" applyFill="1" applyBorder="1" applyAlignment="1">
      <alignment horizontal="center" vertical="center"/>
    </xf>
    <xf numFmtId="0" fontId="61" fillId="0" borderId="4" xfId="0" applyFont="1" applyFill="1" applyBorder="1" applyAlignment="1">
      <alignment horizontal="center" vertical="top"/>
    </xf>
    <xf numFmtId="0" fontId="61" fillId="0" borderId="4" xfId="0" applyFont="1" applyFill="1" applyBorder="1" applyAlignment="1">
      <alignment horizontal="center" vertical="top" shrinkToFit="1"/>
    </xf>
    <xf numFmtId="0" fontId="61" fillId="12" borderId="11" xfId="0" applyFont="1" applyFill="1" applyBorder="1" applyAlignment="1">
      <alignment horizontal="center" vertical="top"/>
    </xf>
    <xf numFmtId="0" fontId="61" fillId="12" borderId="4" xfId="0" applyFont="1" applyFill="1" applyBorder="1" applyAlignment="1">
      <alignment horizontal="center" vertical="top"/>
    </xf>
    <xf numFmtId="43" fontId="96" fillId="12" borderId="1" xfId="1" applyFont="1" applyFill="1" applyBorder="1" applyAlignment="1">
      <alignment horizontal="center" vertical="top"/>
    </xf>
    <xf numFmtId="43" fontId="61" fillId="12" borderId="1" xfId="1" applyFont="1" applyFill="1" applyBorder="1" applyAlignment="1">
      <alignment vertical="top"/>
    </xf>
    <xf numFmtId="0" fontId="64" fillId="0" borderId="5" xfId="1" applyNumberFormat="1" applyFont="1" applyFill="1" applyBorder="1" applyAlignment="1">
      <alignment horizontal="center" vertical="top"/>
    </xf>
    <xf numFmtId="49" fontId="61" fillId="0" borderId="15" xfId="0" applyNumberFormat="1" applyFont="1" applyBorder="1" applyAlignment="1">
      <alignment horizontal="left" vertical="top"/>
    </xf>
    <xf numFmtId="49" fontId="61" fillId="0" borderId="7" xfId="0" applyNumberFormat="1" applyFont="1" applyFill="1" applyBorder="1" applyAlignment="1">
      <alignment horizontal="center" vertical="top"/>
    </xf>
    <xf numFmtId="43" fontId="70" fillId="0" borderId="11" xfId="1" applyFont="1" applyFill="1" applyBorder="1" applyAlignment="1">
      <alignment vertical="center"/>
    </xf>
    <xf numFmtId="0" fontId="60" fillId="0" borderId="9" xfId="0" applyFont="1" applyFill="1" applyBorder="1" applyAlignment="1">
      <alignment horizontal="center" vertical="center"/>
    </xf>
    <xf numFmtId="0" fontId="60" fillId="0" borderId="4" xfId="0" applyFont="1" applyFill="1" applyBorder="1" applyAlignment="1">
      <alignment horizontal="center" vertical="center"/>
    </xf>
    <xf numFmtId="43" fontId="55" fillId="10" borderId="7" xfId="1" applyFont="1" applyFill="1" applyBorder="1" applyAlignment="1">
      <alignment vertical="top"/>
    </xf>
    <xf numFmtId="43" fontId="61" fillId="10" borderId="1" xfId="1" applyFont="1" applyFill="1" applyBorder="1" applyAlignment="1">
      <alignment vertical="top"/>
    </xf>
    <xf numFmtId="43" fontId="15" fillId="0" borderId="0" xfId="1" applyFont="1"/>
    <xf numFmtId="0" fontId="15" fillId="0" borderId="0" xfId="0" applyFont="1"/>
    <xf numFmtId="43" fontId="15" fillId="4" borderId="9" xfId="0" applyNumberFormat="1" applyFont="1" applyFill="1" applyBorder="1" applyAlignment="1">
      <alignment horizontal="center" vertical="center"/>
    </xf>
    <xf numFmtId="43" fontId="15" fillId="4" borderId="9" xfId="0" applyNumberFormat="1" applyFont="1" applyFill="1" applyBorder="1" applyAlignment="1">
      <alignment horizontal="center" vertical="center" shrinkToFit="1"/>
    </xf>
    <xf numFmtId="43" fontId="15" fillId="4" borderId="9" xfId="1" applyFont="1" applyFill="1" applyBorder="1" applyAlignment="1">
      <alignment horizontal="center" vertical="center"/>
    </xf>
    <xf numFmtId="43" fontId="15" fillId="4" borderId="4" xfId="0" applyNumberFormat="1" applyFont="1" applyFill="1" applyBorder="1" applyAlignment="1">
      <alignment horizontal="center" vertical="center"/>
    </xf>
    <xf numFmtId="43" fontId="15" fillId="4" borderId="4" xfId="1" applyFont="1" applyFill="1" applyBorder="1" applyAlignment="1">
      <alignment horizontal="center" vertical="center"/>
    </xf>
    <xf numFmtId="43" fontId="18" fillId="0" borderId="0" xfId="1" applyFont="1"/>
    <xf numFmtId="0" fontId="18" fillId="0" borderId="0" xfId="0" applyFont="1"/>
    <xf numFmtId="0" fontId="18" fillId="0" borderId="0" xfId="0" applyFont="1" applyBorder="1"/>
    <xf numFmtId="0" fontId="18" fillId="0" borderId="0" xfId="0" applyFont="1" applyAlignment="1">
      <alignment shrinkToFit="1"/>
    </xf>
    <xf numFmtId="43" fontId="18" fillId="0" borderId="0" xfId="0" applyNumberFormat="1" applyFont="1"/>
    <xf numFmtId="0" fontId="15" fillId="0" borderId="0" xfId="0" applyFont="1" applyFill="1"/>
    <xf numFmtId="43" fontId="15" fillId="4" borderId="9" xfId="1" applyFont="1" applyFill="1" applyBorder="1" applyAlignment="1">
      <alignment horizontal="center" vertical="center" shrinkToFit="1"/>
    </xf>
    <xf numFmtId="0" fontId="15" fillId="4" borderId="9" xfId="0" applyFont="1" applyFill="1" applyBorder="1" applyAlignment="1">
      <alignment horizontal="center" vertical="center" shrinkToFit="1"/>
    </xf>
    <xf numFmtId="43" fontId="15" fillId="4" borderId="4" xfId="1" applyFont="1" applyFill="1" applyBorder="1" applyAlignment="1">
      <alignment horizontal="center" vertical="center" shrinkToFit="1"/>
    </xf>
    <xf numFmtId="0" fontId="15" fillId="4" borderId="4" xfId="0" applyFont="1" applyFill="1" applyBorder="1" applyAlignment="1">
      <alignment horizontal="center" vertical="center" shrinkToFit="1"/>
    </xf>
    <xf numFmtId="0" fontId="18" fillId="0" borderId="0" xfId="0" applyFont="1" applyFill="1"/>
    <xf numFmtId="0" fontId="45" fillId="0" borderId="0" xfId="0" applyFont="1" applyFill="1"/>
    <xf numFmtId="0" fontId="45" fillId="0" borderId="0" xfId="0" applyFont="1" applyFill="1" applyBorder="1"/>
    <xf numFmtId="43" fontId="18" fillId="0" borderId="0" xfId="1" applyFont="1" applyFill="1" applyAlignment="1">
      <alignment shrinkToFit="1"/>
    </xf>
    <xf numFmtId="0" fontId="18" fillId="0" borderId="0" xfId="0" applyFont="1" applyFill="1" applyBorder="1"/>
    <xf numFmtId="0" fontId="18" fillId="0" borderId="0" xfId="0" applyFont="1" applyFill="1" applyAlignment="1">
      <alignment shrinkToFit="1"/>
    </xf>
    <xf numFmtId="43" fontId="18" fillId="0" borderId="0" xfId="1" applyFont="1" applyFill="1"/>
    <xf numFmtId="43" fontId="15" fillId="0" borderId="0" xfId="1" applyFont="1" applyFill="1"/>
    <xf numFmtId="187" fontId="15" fillId="0" borderId="0" xfId="0" applyNumberFormat="1" applyFont="1" applyFill="1"/>
    <xf numFmtId="43" fontId="16" fillId="0" borderId="10" xfId="1" applyFont="1" applyFill="1" applyBorder="1" applyAlignment="1">
      <alignment vertical="center"/>
    </xf>
    <xf numFmtId="43" fontId="16" fillId="0" borderId="10" xfId="1" applyFont="1" applyFill="1" applyBorder="1" applyAlignment="1">
      <alignment vertical="center" shrinkToFit="1"/>
    </xf>
    <xf numFmtId="43" fontId="14" fillId="0" borderId="0" xfId="0" applyNumberFormat="1" applyFont="1" applyFill="1"/>
    <xf numFmtId="43" fontId="41" fillId="0" borderId="1" xfId="1" applyFont="1" applyFill="1" applyBorder="1" applyAlignment="1">
      <alignment horizontal="center" vertical="top"/>
    </xf>
    <xf numFmtId="4" fontId="41" fillId="0" borderId="1" xfId="0" applyNumberFormat="1" applyFont="1" applyFill="1" applyBorder="1" applyAlignment="1">
      <alignment vertical="top"/>
    </xf>
    <xf numFmtId="43" fontId="42" fillId="0" borderId="1" xfId="1" applyFont="1" applyFill="1" applyBorder="1" applyAlignment="1">
      <alignment vertical="top" wrapText="1"/>
    </xf>
    <xf numFmtId="43" fontId="41" fillId="0" borderId="1" xfId="1" applyFont="1" applyFill="1" applyBorder="1" applyAlignment="1">
      <alignment vertical="top"/>
    </xf>
    <xf numFmtId="0" fontId="14" fillId="0" borderId="1" xfId="0" applyFont="1" applyFill="1" applyBorder="1" applyAlignment="1">
      <alignment horizontal="left" vertical="top" wrapText="1"/>
    </xf>
    <xf numFmtId="43" fontId="42" fillId="0" borderId="1" xfId="1" applyFont="1" applyFill="1" applyBorder="1" applyAlignment="1">
      <alignment vertical="top"/>
    </xf>
    <xf numFmtId="0" fontId="41" fillId="0" borderId="1" xfId="0" applyFont="1" applyFill="1" applyBorder="1" applyAlignment="1">
      <alignment vertical="top" wrapText="1"/>
    </xf>
    <xf numFmtId="43" fontId="42" fillId="0" borderId="1" xfId="1" applyFont="1" applyFill="1" applyBorder="1" applyAlignment="1">
      <alignment vertical="center" wrapText="1"/>
    </xf>
    <xf numFmtId="0" fontId="42" fillId="0" borderId="0" xfId="0" applyFont="1" applyBorder="1" applyAlignment="1">
      <alignment vertical="top"/>
    </xf>
    <xf numFmtId="0" fontId="15" fillId="0" borderId="0" xfId="0" applyFont="1" applyAlignment="1">
      <alignment horizontal="center"/>
    </xf>
    <xf numFmtId="187" fontId="14" fillId="0" borderId="0" xfId="0" applyNumberFormat="1" applyFont="1"/>
    <xf numFmtId="0" fontId="14" fillId="0" borderId="9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vertical="center"/>
    </xf>
    <xf numFmtId="43" fontId="16" fillId="4" borderId="10" xfId="0" applyNumberFormat="1" applyFont="1" applyFill="1" applyBorder="1" applyAlignment="1">
      <alignment vertical="center"/>
    </xf>
    <xf numFmtId="43" fontId="16" fillId="4" borderId="10" xfId="0" applyNumberFormat="1" applyFont="1" applyFill="1" applyBorder="1" applyAlignment="1">
      <alignment vertical="center" shrinkToFit="1"/>
    </xf>
    <xf numFmtId="2" fontId="16" fillId="4" borderId="10" xfId="0" applyNumberFormat="1" applyFont="1" applyFill="1" applyBorder="1" applyAlignment="1">
      <alignment horizontal="center" vertical="center"/>
    </xf>
    <xf numFmtId="43" fontId="16" fillId="0" borderId="0" xfId="0" applyNumberFormat="1" applyFont="1" applyFill="1"/>
    <xf numFmtId="4" fontId="14" fillId="0" borderId="0" xfId="0" applyNumberFormat="1" applyFont="1" applyFill="1"/>
    <xf numFmtId="0" fontId="16" fillId="0" borderId="0" xfId="0" applyFont="1" applyFill="1" applyAlignment="1">
      <alignment horizontal="left" vertical="top"/>
    </xf>
    <xf numFmtId="43" fontId="48" fillId="0" borderId="1" xfId="1" applyFont="1" applyFill="1" applyBorder="1" applyAlignment="1">
      <alignment horizontal="right" vertical="center"/>
    </xf>
    <xf numFmtId="43" fontId="14" fillId="0" borderId="1" xfId="1" applyNumberFormat="1" applyFont="1" applyFill="1" applyBorder="1" applyAlignment="1">
      <alignment vertical="center"/>
    </xf>
    <xf numFmtId="43" fontId="14" fillId="0" borderId="18" xfId="1" applyNumberFormat="1" applyFont="1" applyFill="1" applyBorder="1" applyAlignment="1">
      <alignment vertical="center"/>
    </xf>
    <xf numFmtId="43" fontId="14" fillId="0" borderId="18" xfId="0" applyNumberFormat="1" applyFont="1" applyFill="1" applyBorder="1" applyAlignment="1">
      <alignment vertical="center"/>
    </xf>
    <xf numFmtId="43" fontId="14" fillId="0" borderId="7" xfId="0" applyNumberFormat="1" applyFont="1" applyFill="1" applyBorder="1" applyAlignment="1">
      <alignment vertical="center"/>
    </xf>
    <xf numFmtId="43" fontId="16" fillId="0" borderId="1" xfId="1" applyFont="1" applyFill="1" applyBorder="1" applyAlignment="1">
      <alignment horizontal="center" vertical="center"/>
    </xf>
    <xf numFmtId="43" fontId="15" fillId="8" borderId="21" xfId="1" applyNumberFormat="1" applyFont="1" applyFill="1" applyBorder="1" applyAlignment="1">
      <alignment vertical="center" shrinkToFit="1"/>
    </xf>
    <xf numFmtId="43" fontId="15" fillId="8" borderId="21" xfId="1" applyFont="1" applyFill="1" applyBorder="1" applyAlignment="1">
      <alignment horizontal="center" vertical="center" shrinkToFit="1"/>
    </xf>
    <xf numFmtId="0" fontId="49" fillId="0" borderId="0" xfId="0" applyFont="1" applyFill="1" applyAlignment="1">
      <alignment horizontal="left" vertical="center" shrinkToFit="1"/>
    </xf>
    <xf numFmtId="2" fontId="33" fillId="0" borderId="0" xfId="0" applyNumberFormat="1" applyFont="1"/>
    <xf numFmtId="2" fontId="34" fillId="0" borderId="0" xfId="0" applyNumberFormat="1" applyFont="1"/>
    <xf numFmtId="2" fontId="47" fillId="0" borderId="0" xfId="0" applyNumberFormat="1" applyFont="1"/>
    <xf numFmtId="43" fontId="103" fillId="12" borderId="11" xfId="1" applyFont="1" applyFill="1" applyBorder="1" applyAlignment="1">
      <alignment horizontal="center" vertical="center" shrinkToFit="1"/>
    </xf>
    <xf numFmtId="43" fontId="54" fillId="0" borderId="1" xfId="1" applyFont="1" applyFill="1" applyBorder="1" applyAlignment="1">
      <alignment vertical="center"/>
    </xf>
    <xf numFmtId="187" fontId="41" fillId="0" borderId="0" xfId="0" applyNumberFormat="1" applyFont="1" applyFill="1" applyAlignment="1">
      <alignment vertical="center"/>
    </xf>
    <xf numFmtId="43" fontId="54" fillId="6" borderId="1" xfId="1" applyFont="1" applyFill="1" applyBorder="1" applyAlignment="1">
      <alignment vertical="center" shrinkToFit="1"/>
    </xf>
    <xf numFmtId="0" fontId="49" fillId="0" borderId="1" xfId="0" applyFont="1" applyFill="1" applyBorder="1" applyAlignment="1">
      <alignment horizontal="left" vertical="center" shrinkToFit="1"/>
    </xf>
    <xf numFmtId="43" fontId="54" fillId="0" borderId="1" xfId="1" applyFont="1" applyFill="1" applyBorder="1" applyAlignment="1">
      <alignment vertical="center" shrinkToFit="1"/>
    </xf>
    <xf numFmtId="187" fontId="46" fillId="0" borderId="0" xfId="0" applyNumberFormat="1" applyFont="1" applyFill="1" applyAlignment="1">
      <alignment vertical="center"/>
    </xf>
    <xf numFmtId="0" fontId="48" fillId="12" borderId="1" xfId="0" applyFont="1" applyFill="1" applyBorder="1" applyAlignment="1">
      <alignment horizontal="center" vertical="center" shrinkToFit="1"/>
    </xf>
    <xf numFmtId="187" fontId="48" fillId="0" borderId="0" xfId="0" applyNumberFormat="1" applyFont="1" applyFill="1" applyAlignment="1">
      <alignment vertical="center"/>
    </xf>
    <xf numFmtId="0" fontId="50" fillId="0" borderId="1" xfId="0" applyFont="1" applyFill="1" applyBorder="1" applyAlignment="1">
      <alignment horizontal="left" vertical="center" shrinkToFit="1"/>
    </xf>
    <xf numFmtId="43" fontId="50" fillId="0" borderId="1" xfId="1" applyFont="1" applyFill="1" applyBorder="1" applyAlignment="1">
      <alignment horizontal="center" vertical="center" shrinkToFit="1"/>
    </xf>
    <xf numFmtId="0" fontId="49" fillId="0" borderId="29" xfId="0" applyFont="1" applyFill="1" applyBorder="1" applyAlignment="1">
      <alignment horizontal="center" vertical="center" shrinkToFit="1"/>
    </xf>
    <xf numFmtId="43" fontId="48" fillId="0" borderId="29" xfId="0" applyNumberFormat="1" applyFont="1" applyFill="1" applyBorder="1" applyAlignment="1">
      <alignment horizontal="center" vertical="center"/>
    </xf>
    <xf numFmtId="43" fontId="46" fillId="0" borderId="29" xfId="0" applyNumberFormat="1" applyFont="1" applyFill="1" applyBorder="1" applyAlignment="1">
      <alignment horizontal="center" vertical="center"/>
    </xf>
    <xf numFmtId="43" fontId="50" fillId="0" borderId="1" xfId="0" applyNumberFormat="1" applyFont="1" applyFill="1" applyBorder="1" applyAlignment="1">
      <alignment horizontal="right" vertical="center"/>
    </xf>
    <xf numFmtId="0" fontId="49" fillId="0" borderId="0" xfId="0" applyFont="1" applyFill="1" applyBorder="1" applyAlignment="1">
      <alignment vertical="center"/>
    </xf>
    <xf numFmtId="0" fontId="48" fillId="0" borderId="5" xfId="0" applyFont="1" applyFill="1" applyBorder="1" applyAlignment="1">
      <alignment horizontal="right" vertical="center"/>
    </xf>
    <xf numFmtId="0" fontId="15" fillId="0" borderId="15" xfId="0" applyFont="1" applyBorder="1" applyAlignment="1">
      <alignment horizontal="left" vertical="center" wrapText="1"/>
    </xf>
    <xf numFmtId="0" fontId="46" fillId="0" borderId="0" xfId="0" applyFont="1" applyFill="1"/>
    <xf numFmtId="0" fontId="42" fillId="0" borderId="9" xfId="0" applyFont="1" applyFill="1" applyBorder="1" applyAlignment="1">
      <alignment horizontal="center" vertical="center"/>
    </xf>
    <xf numFmtId="0" fontId="42" fillId="0" borderId="9" xfId="0" applyFont="1" applyFill="1" applyBorder="1" applyAlignment="1">
      <alignment horizontal="center" vertical="center" wrapText="1"/>
    </xf>
    <xf numFmtId="0" fontId="42" fillId="0" borderId="0" xfId="0" applyFont="1" applyFill="1"/>
    <xf numFmtId="0" fontId="42" fillId="0" borderId="4" xfId="0" applyFont="1" applyFill="1" applyBorder="1" applyAlignment="1">
      <alignment horizontal="center" vertical="center"/>
    </xf>
    <xf numFmtId="0" fontId="42" fillId="0" borderId="4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top"/>
    </xf>
    <xf numFmtId="0" fontId="41" fillId="0" borderId="1" xfId="0" applyFont="1" applyFill="1" applyBorder="1" applyAlignment="1">
      <alignment vertical="top"/>
    </xf>
    <xf numFmtId="49" fontId="41" fillId="0" borderId="1" xfId="0" applyNumberFormat="1" applyFont="1" applyFill="1" applyBorder="1" applyAlignment="1">
      <alignment horizontal="center" vertical="top"/>
    </xf>
    <xf numFmtId="0" fontId="41" fillId="0" borderId="1" xfId="0" applyFont="1" applyFill="1" applyBorder="1" applyAlignment="1">
      <alignment vertical="top" shrinkToFit="1"/>
    </xf>
    <xf numFmtId="43" fontId="41" fillId="0" borderId="7" xfId="1" applyFont="1" applyFill="1" applyBorder="1" applyAlignment="1">
      <alignment vertical="top"/>
    </xf>
    <xf numFmtId="43" fontId="42" fillId="0" borderId="7" xfId="1" applyFont="1" applyFill="1" applyBorder="1" applyAlignment="1">
      <alignment vertical="top"/>
    </xf>
    <xf numFmtId="0" fontId="41" fillId="0" borderId="7" xfId="0" applyFont="1" applyFill="1" applyBorder="1"/>
    <xf numFmtId="0" fontId="41" fillId="0" borderId="1" xfId="0" applyFont="1" applyFill="1" applyBorder="1"/>
    <xf numFmtId="0" fontId="41" fillId="0" borderId="0" xfId="0" applyFont="1" applyFill="1"/>
    <xf numFmtId="43" fontId="15" fillId="0" borderId="1" xfId="1" applyFont="1" applyFill="1" applyBorder="1" applyAlignment="1">
      <alignment horizontal="left" vertical="top" wrapText="1"/>
    </xf>
    <xf numFmtId="43" fontId="41" fillId="0" borderId="0" xfId="1" applyFont="1" applyFill="1"/>
    <xf numFmtId="0" fontId="14" fillId="0" borderId="1" xfId="0" applyFont="1" applyFill="1" applyBorder="1" applyAlignment="1">
      <alignment vertical="top" shrinkToFit="1"/>
    </xf>
    <xf numFmtId="4" fontId="42" fillId="0" borderId="1" xfId="0" applyNumberFormat="1" applyFont="1" applyFill="1" applyBorder="1" applyAlignment="1">
      <alignment horizontal="center" vertical="center"/>
    </xf>
    <xf numFmtId="43" fontId="42" fillId="0" borderId="7" xfId="1" applyFont="1" applyFill="1" applyBorder="1" applyAlignment="1">
      <alignment horizontal="center" vertical="center"/>
    </xf>
    <xf numFmtId="43" fontId="42" fillId="0" borderId="1" xfId="1" applyFont="1" applyFill="1" applyBorder="1" applyAlignment="1">
      <alignment horizontal="center" vertical="center" wrapText="1"/>
    </xf>
    <xf numFmtId="0" fontId="42" fillId="0" borderId="7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vertical="top" wrapText="1" shrinkToFit="1"/>
    </xf>
    <xf numFmtId="4" fontId="42" fillId="0" borderId="1" xfId="0" applyNumberFormat="1" applyFont="1" applyFill="1" applyBorder="1" applyAlignment="1">
      <alignment vertical="center"/>
    </xf>
    <xf numFmtId="43" fontId="42" fillId="0" borderId="7" xfId="1" applyFont="1" applyFill="1" applyBorder="1" applyAlignment="1">
      <alignment vertical="center"/>
    </xf>
    <xf numFmtId="4" fontId="42" fillId="0" borderId="1" xfId="0" applyNumberFormat="1" applyFont="1" applyFill="1" applyBorder="1" applyAlignment="1">
      <alignment vertical="top"/>
    </xf>
    <xf numFmtId="43" fontId="48" fillId="0" borderId="1" xfId="1" applyFont="1" applyFill="1" applyBorder="1" applyAlignment="1">
      <alignment vertical="top" wrapText="1"/>
    </xf>
    <xf numFmtId="0" fontId="48" fillId="0" borderId="0" xfId="0" applyFont="1" applyFill="1"/>
    <xf numFmtId="0" fontId="46" fillId="0" borderId="0" xfId="0" applyFont="1" applyFill="1" applyAlignment="1">
      <alignment horizontal="center"/>
    </xf>
    <xf numFmtId="49" fontId="46" fillId="0" borderId="0" xfId="0" applyNumberFormat="1" applyFont="1" applyFill="1" applyAlignment="1">
      <alignment horizontal="center"/>
    </xf>
    <xf numFmtId="0" fontId="46" fillId="0" borderId="0" xfId="0" applyFont="1" applyFill="1" applyAlignment="1">
      <alignment shrinkToFit="1"/>
    </xf>
    <xf numFmtId="187" fontId="46" fillId="0" borderId="0" xfId="0" applyNumberFormat="1" applyFont="1" applyFill="1"/>
    <xf numFmtId="43" fontId="48" fillId="0" borderId="0" xfId="1" applyFont="1" applyFill="1"/>
    <xf numFmtId="187" fontId="48" fillId="0" borderId="0" xfId="0" applyNumberFormat="1" applyFont="1" applyFill="1"/>
    <xf numFmtId="187" fontId="48" fillId="0" borderId="0" xfId="0" applyNumberFormat="1" applyFont="1" applyFill="1" applyAlignment="1">
      <alignment wrapText="1"/>
    </xf>
    <xf numFmtId="0" fontId="48" fillId="0" borderId="0" xfId="0" applyFont="1" applyFill="1" applyAlignment="1">
      <alignment wrapText="1"/>
    </xf>
    <xf numFmtId="0" fontId="42" fillId="0" borderId="0" xfId="0" applyFont="1" applyFill="1" applyBorder="1" applyAlignment="1">
      <alignment vertical="top"/>
    </xf>
    <xf numFmtId="43" fontId="41" fillId="0" borderId="1" xfId="1" applyFont="1" applyBorder="1" applyAlignment="1">
      <alignment vertical="top"/>
    </xf>
    <xf numFmtId="187" fontId="41" fillId="0" borderId="0" xfId="0" applyNumberFormat="1" applyFont="1" applyBorder="1" applyAlignment="1">
      <alignment vertical="top"/>
    </xf>
    <xf numFmtId="0" fontId="41" fillId="0" borderId="0" xfId="0" applyFont="1" applyBorder="1" applyAlignment="1">
      <alignment vertical="top"/>
    </xf>
    <xf numFmtId="43" fontId="41" fillId="0" borderId="0" xfId="0" applyNumberFormat="1" applyFont="1" applyBorder="1" applyAlignment="1">
      <alignment vertical="top"/>
    </xf>
    <xf numFmtId="0" fontId="14" fillId="0" borderId="0" xfId="1" applyNumberFormat="1" applyFont="1" applyBorder="1" applyAlignment="1">
      <alignment vertical="top"/>
    </xf>
    <xf numFmtId="0" fontId="47" fillId="0" borderId="0" xfId="0" applyFont="1" applyBorder="1" applyAlignment="1">
      <alignment vertical="top"/>
    </xf>
    <xf numFmtId="43" fontId="14" fillId="0" borderId="0" xfId="1" applyFont="1" applyBorder="1" applyAlignment="1">
      <alignment vertical="top"/>
    </xf>
    <xf numFmtId="43" fontId="16" fillId="0" borderId="0" xfId="1" applyFont="1" applyBorder="1" applyAlignment="1">
      <alignment vertical="top"/>
    </xf>
    <xf numFmtId="43" fontId="47" fillId="0" borderId="0" xfId="1" applyFont="1" applyBorder="1" applyAlignment="1">
      <alignment vertical="top"/>
    </xf>
    <xf numFmtId="2" fontId="41" fillId="0" borderId="0" xfId="0" applyNumberFormat="1" applyFont="1" applyBorder="1" applyAlignment="1">
      <alignment vertical="top"/>
    </xf>
    <xf numFmtId="43" fontId="47" fillId="0" borderId="0" xfId="0" applyNumberFormat="1" applyFont="1" applyBorder="1" applyAlignment="1">
      <alignment vertical="top"/>
    </xf>
    <xf numFmtId="43" fontId="52" fillId="0" borderId="1" xfId="1" applyFont="1" applyFill="1" applyBorder="1" applyAlignment="1">
      <alignment horizontal="right" vertical="center" shrinkToFit="1"/>
    </xf>
    <xf numFmtId="0" fontId="48" fillId="0" borderId="5" xfId="0" applyFont="1" applyFill="1" applyBorder="1" applyAlignment="1">
      <alignment vertical="center"/>
    </xf>
    <xf numFmtId="2" fontId="42" fillId="0" borderId="0" xfId="0" applyNumberFormat="1" applyFont="1" applyBorder="1" applyAlignment="1">
      <alignment vertical="top"/>
    </xf>
    <xf numFmtId="43" fontId="16" fillId="4" borderId="30" xfId="0" applyNumberFormat="1" applyFont="1" applyFill="1" applyBorder="1" applyAlignment="1">
      <alignment vertical="center" shrinkToFit="1"/>
    </xf>
    <xf numFmtId="43" fontId="16" fillId="4" borderId="30" xfId="1" applyFont="1" applyFill="1" applyBorder="1" applyAlignment="1">
      <alignment vertical="center"/>
    </xf>
    <xf numFmtId="2" fontId="16" fillId="4" borderId="30" xfId="0" applyNumberFormat="1" applyFont="1" applyFill="1" applyBorder="1" applyAlignment="1">
      <alignment horizontal="center" vertical="center"/>
    </xf>
    <xf numFmtId="43" fontId="102" fillId="6" borderId="9" xfId="0" applyNumberFormat="1" applyFont="1" applyFill="1" applyBorder="1" applyAlignment="1">
      <alignment horizontal="center" vertical="center"/>
    </xf>
    <xf numFmtId="43" fontId="102" fillId="6" borderId="9" xfId="0" applyNumberFormat="1" applyFont="1" applyFill="1" applyBorder="1" applyAlignment="1">
      <alignment horizontal="center" vertical="center" shrinkToFit="1"/>
    </xf>
    <xf numFmtId="0" fontId="102" fillId="6" borderId="9" xfId="0" applyFont="1" applyFill="1" applyBorder="1" applyAlignment="1">
      <alignment horizontal="center" vertical="center" shrinkToFit="1"/>
    </xf>
    <xf numFmtId="0" fontId="15" fillId="6" borderId="9" xfId="0" applyFont="1" applyFill="1" applyBorder="1" applyAlignment="1">
      <alignment horizontal="center" vertical="center" shrinkToFit="1"/>
    </xf>
    <xf numFmtId="43" fontId="102" fillId="6" borderId="4" xfId="0" applyNumberFormat="1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 shrinkToFit="1"/>
    </xf>
    <xf numFmtId="39" fontId="16" fillId="0" borderId="1" xfId="0" applyNumberFormat="1" applyFont="1" applyFill="1" applyBorder="1" applyAlignment="1">
      <alignment vertical="center"/>
    </xf>
    <xf numFmtId="2" fontId="15" fillId="0" borderId="1" xfId="0" applyNumberFormat="1" applyFont="1" applyFill="1" applyBorder="1" applyAlignment="1">
      <alignment horizontal="center" vertical="center" shrinkToFit="1"/>
    </xf>
    <xf numFmtId="2" fontId="15" fillId="0" borderId="1" xfId="0" applyNumberFormat="1" applyFont="1" applyBorder="1" applyAlignment="1">
      <alignment horizontal="center" vertical="center"/>
    </xf>
    <xf numFmtId="43" fontId="33" fillId="0" borderId="0" xfId="0" applyNumberFormat="1" applyFont="1"/>
    <xf numFmtId="0" fontId="14" fillId="0" borderId="8" xfId="0" applyFont="1" applyFill="1" applyBorder="1" applyAlignment="1">
      <alignment vertical="center" shrinkToFit="1"/>
    </xf>
    <xf numFmtId="43" fontId="14" fillId="0" borderId="9" xfId="0" applyNumberFormat="1" applyFont="1" applyFill="1" applyBorder="1" applyAlignment="1">
      <alignment vertical="center"/>
    </xf>
    <xf numFmtId="39" fontId="16" fillId="0" borderId="9" xfId="0" applyNumberFormat="1" applyFont="1" applyFill="1" applyBorder="1" applyAlignment="1">
      <alignment vertical="center"/>
    </xf>
    <xf numFmtId="2" fontId="15" fillId="0" borderId="9" xfId="0" applyNumberFormat="1" applyFont="1" applyFill="1" applyBorder="1" applyAlignment="1">
      <alignment horizontal="center" vertical="center" shrinkToFit="1"/>
    </xf>
    <xf numFmtId="2" fontId="15" fillId="0" borderId="9" xfId="0" applyNumberFormat="1" applyFont="1" applyBorder="1" applyAlignment="1">
      <alignment horizontal="center" vertical="center"/>
    </xf>
    <xf numFmtId="43" fontId="15" fillId="6" borderId="35" xfId="0" applyNumberFormat="1" applyFont="1" applyFill="1" applyBorder="1" applyAlignment="1">
      <alignment vertical="center" shrinkToFit="1"/>
    </xf>
    <xf numFmtId="39" fontId="15" fillId="6" borderId="35" xfId="0" applyNumberFormat="1" applyFont="1" applyFill="1" applyBorder="1" applyAlignment="1">
      <alignment vertical="center" shrinkToFit="1"/>
    </xf>
    <xf numFmtId="2" fontId="13" fillId="6" borderId="35" xfId="0" applyNumberFormat="1" applyFont="1" applyFill="1" applyBorder="1" applyAlignment="1">
      <alignment horizontal="center" vertical="center" shrinkToFit="1"/>
    </xf>
    <xf numFmtId="2" fontId="13" fillId="6" borderId="35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shrinkToFit="1"/>
    </xf>
    <xf numFmtId="43" fontId="105" fillId="4" borderId="9" xfId="1" applyFont="1" applyFill="1" applyBorder="1" applyAlignment="1">
      <alignment horizontal="center" vertical="center" shrinkToFit="1"/>
    </xf>
    <xf numFmtId="0" fontId="106" fillId="0" borderId="0" xfId="0" applyFont="1"/>
    <xf numFmtId="43" fontId="105" fillId="4" borderId="4" xfId="1" applyNumberFormat="1" applyFont="1" applyFill="1" applyBorder="1" applyAlignment="1">
      <alignment horizontal="center" vertical="center"/>
    </xf>
    <xf numFmtId="43" fontId="105" fillId="4" borderId="17" xfId="1" applyNumberFormat="1" applyFont="1" applyFill="1" applyBorder="1" applyAlignment="1">
      <alignment horizontal="center" vertical="center"/>
    </xf>
    <xf numFmtId="43" fontId="105" fillId="4" borderId="19" xfId="1" applyNumberFormat="1" applyFont="1" applyFill="1" applyBorder="1" applyAlignment="1">
      <alignment horizontal="center" vertical="center"/>
    </xf>
    <xf numFmtId="43" fontId="105" fillId="4" borderId="7" xfId="1" applyNumberFormat="1" applyFont="1" applyFill="1" applyBorder="1" applyAlignment="1">
      <alignment horizontal="center" vertical="center"/>
    </xf>
    <xf numFmtId="43" fontId="105" fillId="4" borderId="1" xfId="1" applyNumberFormat="1" applyFont="1" applyFill="1" applyBorder="1" applyAlignment="1">
      <alignment horizontal="center" vertical="center"/>
    </xf>
    <xf numFmtId="43" fontId="105" fillId="4" borderId="4" xfId="1" applyFont="1" applyFill="1" applyBorder="1" applyAlignment="1">
      <alignment horizontal="center" vertical="center" shrinkToFit="1"/>
    </xf>
    <xf numFmtId="0" fontId="48" fillId="12" borderId="1" xfId="0" applyFont="1" applyFill="1" applyBorder="1" applyAlignment="1">
      <alignment horizontal="center" vertical="center" shrinkToFit="1"/>
    </xf>
    <xf numFmtId="43" fontId="48" fillId="0" borderId="7" xfId="1" applyFont="1" applyFill="1" applyBorder="1" applyAlignment="1">
      <alignment horizontal="right" vertical="center"/>
    </xf>
    <xf numFmtId="193" fontId="46" fillId="0" borderId="1" xfId="1" applyNumberFormat="1" applyFont="1" applyFill="1" applyBorder="1" applyAlignment="1">
      <alignment vertical="center"/>
    </xf>
    <xf numFmtId="43" fontId="103" fillId="12" borderId="9" xfId="1" applyFont="1" applyFill="1" applyBorder="1" applyAlignment="1">
      <alignment horizontal="center" vertical="center" shrinkToFit="1"/>
    </xf>
    <xf numFmtId="43" fontId="103" fillId="12" borderId="4" xfId="1" applyFont="1" applyFill="1" applyBorder="1" applyAlignment="1">
      <alignment horizontal="center" vertical="center" shrinkToFit="1"/>
    </xf>
    <xf numFmtId="43" fontId="103" fillId="12" borderId="6" xfId="1" applyFont="1" applyFill="1" applyBorder="1" applyAlignment="1">
      <alignment horizontal="center" vertical="center" shrinkToFit="1"/>
    </xf>
    <xf numFmtId="43" fontId="103" fillId="12" borderId="29" xfId="1" applyFont="1" applyFill="1" applyBorder="1" applyAlignment="1">
      <alignment horizontal="center" vertical="center" shrinkToFit="1"/>
    </xf>
    <xf numFmtId="0" fontId="103" fillId="12" borderId="4" xfId="1" applyNumberFormat="1" applyFont="1" applyFill="1" applyBorder="1" applyAlignment="1">
      <alignment horizontal="center" vertical="center" shrinkToFit="1"/>
    </xf>
    <xf numFmtId="0" fontId="103" fillId="12" borderId="16" xfId="1" applyNumberFormat="1" applyFont="1" applyFill="1" applyBorder="1" applyAlignment="1">
      <alignment horizontal="center" vertical="center" shrinkToFit="1"/>
    </xf>
    <xf numFmtId="43" fontId="15" fillId="8" borderId="43" xfId="1" applyNumberFormat="1" applyFont="1" applyFill="1" applyBorder="1" applyAlignment="1">
      <alignment vertical="center" shrinkToFit="1"/>
    </xf>
    <xf numFmtId="43" fontId="15" fillId="8" borderId="22" xfId="1" applyNumberFormat="1" applyFont="1" applyFill="1" applyBorder="1" applyAlignment="1">
      <alignment vertical="center" shrinkToFit="1"/>
    </xf>
    <xf numFmtId="43" fontId="16" fillId="11" borderId="11" xfId="1" applyFont="1" applyFill="1" applyBorder="1" applyAlignment="1">
      <alignment horizontal="center" vertical="center" wrapText="1"/>
    </xf>
    <xf numFmtId="49" fontId="16" fillId="11" borderId="4" xfId="1" applyNumberFormat="1" applyFont="1" applyFill="1" applyBorder="1" applyAlignment="1">
      <alignment horizontal="center" vertical="center"/>
    </xf>
    <xf numFmtId="43" fontId="16" fillId="11" borderId="4" xfId="1" applyFont="1" applyFill="1" applyBorder="1" applyAlignment="1">
      <alignment horizontal="center" vertical="center"/>
    </xf>
    <xf numFmtId="0" fontId="16" fillId="11" borderId="4" xfId="0" applyFont="1" applyFill="1" applyBorder="1" applyAlignment="1">
      <alignment horizontal="center" vertical="top"/>
    </xf>
    <xf numFmtId="43" fontId="16" fillId="0" borderId="1" xfId="1" applyFont="1" applyBorder="1" applyAlignment="1">
      <alignment vertical="top"/>
    </xf>
    <xf numFmtId="43" fontId="14" fillId="0" borderId="1" xfId="1" applyFont="1" applyBorder="1" applyAlignment="1">
      <alignment horizontal="right" vertical="top"/>
    </xf>
    <xf numFmtId="43" fontId="16" fillId="0" borderId="1" xfId="1" applyFont="1" applyFill="1" applyBorder="1" applyAlignment="1">
      <alignment horizontal="right" vertical="top"/>
    </xf>
    <xf numFmtId="43" fontId="16" fillId="0" borderId="1" xfId="1" applyFont="1" applyBorder="1" applyAlignment="1">
      <alignment vertical="top" wrapText="1"/>
    </xf>
    <xf numFmtId="43" fontId="14" fillId="0" borderId="1" xfId="1" applyFont="1" applyFill="1" applyBorder="1" applyAlignment="1">
      <alignment horizontal="right" vertical="top" wrapText="1" shrinkToFit="1"/>
    </xf>
    <xf numFmtId="43" fontId="14" fillId="0" borderId="1" xfId="1" applyFont="1" applyFill="1" applyBorder="1" applyAlignment="1">
      <alignment vertical="top"/>
    </xf>
    <xf numFmtId="0" fontId="14" fillId="0" borderId="1" xfId="0" applyFont="1" applyBorder="1" applyAlignment="1">
      <alignment vertical="top" wrapText="1"/>
    </xf>
    <xf numFmtId="43" fontId="14" fillId="0" borderId="1" xfId="1" applyFont="1" applyFill="1" applyBorder="1" applyAlignment="1">
      <alignment vertical="top" wrapText="1"/>
    </xf>
    <xf numFmtId="43" fontId="16" fillId="0" borderId="1" xfId="1" applyFont="1" applyFill="1" applyBorder="1" applyAlignment="1">
      <alignment vertical="top"/>
    </xf>
    <xf numFmtId="43" fontId="14" fillId="0" borderId="1" xfId="1" applyFont="1" applyFill="1" applyBorder="1" applyAlignment="1">
      <alignment horizontal="right" vertical="top"/>
    </xf>
    <xf numFmtId="43" fontId="14" fillId="0" borderId="0" xfId="1" applyFont="1" applyFill="1" applyBorder="1" applyAlignment="1">
      <alignment vertical="top"/>
    </xf>
    <xf numFmtId="15" fontId="14" fillId="0" borderId="1" xfId="1" applyNumberFormat="1" applyFont="1" applyFill="1" applyBorder="1" applyAlignment="1">
      <alignment vertical="top" wrapText="1"/>
    </xf>
    <xf numFmtId="43" fontId="14" fillId="0" borderId="0" xfId="1" applyFont="1" applyBorder="1" applyAlignment="1">
      <alignment vertical="top" wrapText="1"/>
    </xf>
    <xf numFmtId="43" fontId="16" fillId="12" borderId="11" xfId="1" applyFont="1" applyFill="1" applyBorder="1" applyAlignment="1">
      <alignment horizontal="center" vertical="center" wrapText="1"/>
    </xf>
    <xf numFmtId="193" fontId="48" fillId="0" borderId="1" xfId="1" applyNumberFormat="1" applyFont="1" applyFill="1" applyBorder="1" applyAlignment="1">
      <alignment vertical="center" shrinkToFit="1"/>
    </xf>
    <xf numFmtId="43" fontId="31" fillId="11" borderId="9" xfId="1" applyFont="1" applyFill="1" applyBorder="1" applyAlignment="1">
      <alignment horizontal="center" vertical="center" shrinkToFit="1"/>
    </xf>
    <xf numFmtId="43" fontId="31" fillId="11" borderId="11" xfId="1" applyFont="1" applyFill="1" applyBorder="1" applyAlignment="1">
      <alignment horizontal="center" vertical="center" shrinkToFit="1"/>
    </xf>
    <xf numFmtId="49" fontId="16" fillId="11" borderId="4" xfId="1" applyNumberFormat="1" applyFont="1" applyFill="1" applyBorder="1" applyAlignment="1">
      <alignment horizontal="center" vertical="center" shrinkToFit="1"/>
    </xf>
    <xf numFmtId="43" fontId="16" fillId="11" borderId="4" xfId="1" applyFont="1" applyFill="1" applyBorder="1" applyAlignment="1">
      <alignment horizontal="center" vertical="center" shrinkToFit="1"/>
    </xf>
    <xf numFmtId="0" fontId="42" fillId="11" borderId="9" xfId="0" applyFont="1" applyFill="1" applyBorder="1" applyAlignment="1">
      <alignment horizontal="center" vertical="top" shrinkToFit="1"/>
    </xf>
    <xf numFmtId="0" fontId="42" fillId="11" borderId="11" xfId="0" applyFont="1" applyFill="1" applyBorder="1" applyAlignment="1">
      <alignment horizontal="center" vertical="top" shrinkToFit="1"/>
    </xf>
    <xf numFmtId="4" fontId="18" fillId="0" borderId="0" xfId="0" applyNumberFormat="1" applyFont="1"/>
    <xf numFmtId="0" fontId="14" fillId="0" borderId="2" xfId="0" applyFont="1" applyFill="1" applyBorder="1" applyAlignment="1">
      <alignment horizontal="center" vertical="center"/>
    </xf>
    <xf numFmtId="43" fontId="22" fillId="0" borderId="0" xfId="0" applyNumberFormat="1" applyFont="1" applyFill="1"/>
    <xf numFmtId="0" fontId="22" fillId="0" borderId="0" xfId="0" applyFont="1" applyFill="1"/>
    <xf numFmtId="4" fontId="42" fillId="0" borderId="1" xfId="0" applyNumberFormat="1" applyFont="1" applyFill="1" applyBorder="1" applyAlignment="1">
      <alignment horizontal="right" vertical="center"/>
    </xf>
    <xf numFmtId="0" fontId="108" fillId="0" borderId="1" xfId="0" applyFont="1" applyFill="1" applyBorder="1" applyAlignment="1">
      <alignment horizontal="center" vertical="top" wrapText="1"/>
    </xf>
    <xf numFmtId="0" fontId="42" fillId="0" borderId="1" xfId="0" applyFont="1" applyFill="1" applyBorder="1" applyAlignment="1">
      <alignment horizontal="center" vertical="center"/>
    </xf>
    <xf numFmtId="0" fontId="42" fillId="0" borderId="9" xfId="0" applyFont="1" applyFill="1" applyBorder="1" applyAlignment="1">
      <alignment horizontal="center" vertical="center"/>
    </xf>
    <xf numFmtId="0" fontId="42" fillId="0" borderId="4" xfId="0" applyFont="1" applyFill="1" applyBorder="1" applyAlignment="1">
      <alignment horizontal="center" vertical="center"/>
    </xf>
    <xf numFmtId="193" fontId="51" fillId="6" borderId="1" xfId="1" applyNumberFormat="1" applyFont="1" applyFill="1" applyBorder="1" applyAlignment="1">
      <alignment vertical="center" shrinkToFit="1"/>
    </xf>
    <xf numFmtId="43" fontId="48" fillId="0" borderId="5" xfId="0" applyNumberFormat="1" applyFont="1" applyFill="1" applyBorder="1" applyAlignment="1">
      <alignment horizontal="center" vertical="center"/>
    </xf>
    <xf numFmtId="193" fontId="104" fillId="0" borderId="1" xfId="1" applyNumberFormat="1" applyFont="1" applyFill="1" applyBorder="1" applyAlignment="1">
      <alignment vertical="center" shrinkToFit="1"/>
    </xf>
    <xf numFmtId="0" fontId="16" fillId="0" borderId="0" xfId="1" applyNumberFormat="1" applyFont="1" applyBorder="1" applyAlignment="1">
      <alignment vertical="top"/>
    </xf>
    <xf numFmtId="43" fontId="15" fillId="0" borderId="1" xfId="1" applyFont="1" applyFill="1" applyBorder="1" applyAlignment="1">
      <alignment vertical="top" wrapText="1"/>
    </xf>
    <xf numFmtId="0" fontId="16" fillId="0" borderId="0" xfId="0" applyFont="1" applyFill="1" applyBorder="1"/>
    <xf numFmtId="0" fontId="14" fillId="0" borderId="47" xfId="0" applyFont="1" applyFill="1" applyBorder="1" applyAlignment="1">
      <alignment vertical="center"/>
    </xf>
    <xf numFmtId="0" fontId="14" fillId="0" borderId="48" xfId="0" applyFont="1" applyFill="1" applyBorder="1" applyAlignment="1">
      <alignment vertical="center" shrinkToFit="1"/>
    </xf>
    <xf numFmtId="187" fontId="46" fillId="0" borderId="0" xfId="0" applyNumberFormat="1" applyFont="1" applyFill="1" applyBorder="1" applyAlignment="1">
      <alignment vertical="center"/>
    </xf>
    <xf numFmtId="0" fontId="48" fillId="0" borderId="0" xfId="0" applyFont="1" applyFill="1" applyBorder="1" applyAlignment="1">
      <alignment vertical="center" shrinkToFit="1"/>
    </xf>
    <xf numFmtId="0" fontId="50" fillId="0" borderId="0" xfId="0" applyFont="1" applyFill="1" applyBorder="1" applyAlignment="1">
      <alignment horizontal="left" vertical="center" shrinkToFit="1"/>
    </xf>
    <xf numFmtId="43" fontId="50" fillId="0" borderId="0" xfId="1" applyFont="1" applyFill="1" applyBorder="1" applyAlignment="1">
      <alignment horizontal="center" vertical="center" shrinkToFit="1"/>
    </xf>
    <xf numFmtId="43" fontId="46" fillId="0" borderId="0" xfId="1" applyFont="1" applyFill="1" applyBorder="1" applyAlignment="1">
      <alignment vertical="center" shrinkToFit="1"/>
    </xf>
    <xf numFmtId="43" fontId="62" fillId="0" borderId="0" xfId="1" applyFont="1" applyFill="1" applyBorder="1" applyAlignment="1">
      <alignment vertical="center" shrinkToFit="1"/>
    </xf>
    <xf numFmtId="43" fontId="52" fillId="0" borderId="0" xfId="1" applyFont="1" applyFill="1" applyBorder="1" applyAlignment="1">
      <alignment horizontal="right" vertical="center" shrinkToFit="1"/>
    </xf>
    <xf numFmtId="193" fontId="104" fillId="0" borderId="0" xfId="1" applyNumberFormat="1" applyFont="1" applyFill="1" applyBorder="1" applyAlignment="1">
      <alignment vertical="center" shrinkToFit="1"/>
    </xf>
    <xf numFmtId="0" fontId="42" fillId="0" borderId="0" xfId="0" applyFont="1" applyBorder="1" applyAlignment="1">
      <alignment vertical="top" wrapText="1" shrinkToFit="1"/>
    </xf>
    <xf numFmtId="0" fontId="16" fillId="0" borderId="0" xfId="1" applyNumberFormat="1" applyFont="1" applyBorder="1" applyAlignment="1">
      <alignment vertical="top" wrapText="1" shrinkToFit="1"/>
    </xf>
    <xf numFmtId="0" fontId="42" fillId="0" borderId="0" xfId="0" applyFont="1" applyBorder="1" applyAlignment="1">
      <alignment vertical="top" wrapText="1"/>
    </xf>
    <xf numFmtId="0" fontId="16" fillId="0" borderId="0" xfId="1" applyNumberFormat="1" applyFont="1" applyBorder="1" applyAlignment="1">
      <alignment vertical="top" wrapText="1"/>
    </xf>
    <xf numFmtId="0" fontId="41" fillId="6" borderId="1" xfId="0" applyFont="1" applyFill="1" applyBorder="1" applyAlignment="1">
      <alignment vertical="top" shrinkToFit="1"/>
    </xf>
    <xf numFmtId="4" fontId="41" fillId="6" borderId="1" xfId="0" applyNumberFormat="1" applyFont="1" applyFill="1" applyBorder="1" applyAlignment="1">
      <alignment vertical="top"/>
    </xf>
    <xf numFmtId="43" fontId="41" fillId="6" borderId="7" xfId="1" applyFont="1" applyFill="1" applyBorder="1" applyAlignment="1">
      <alignment vertical="top"/>
    </xf>
    <xf numFmtId="43" fontId="42" fillId="6" borderId="7" xfId="1" applyFont="1" applyFill="1" applyBorder="1" applyAlignment="1">
      <alignment vertical="top"/>
    </xf>
    <xf numFmtId="0" fontId="41" fillId="6" borderId="1" xfId="0" applyFont="1" applyFill="1" applyBorder="1" applyAlignment="1">
      <alignment vertical="top" wrapText="1" shrinkToFit="1"/>
    </xf>
    <xf numFmtId="43" fontId="42" fillId="0" borderId="0" xfId="1" applyFont="1" applyBorder="1" applyAlignment="1">
      <alignment vertical="top"/>
    </xf>
    <xf numFmtId="43" fontId="42" fillId="0" borderId="0" xfId="0" applyNumberFormat="1" applyFont="1" applyBorder="1" applyAlignment="1">
      <alignment vertical="top"/>
    </xf>
    <xf numFmtId="43" fontId="18" fillId="0" borderId="0" xfId="1" applyFont="1" applyFill="1" applyBorder="1" applyAlignment="1">
      <alignment vertical="center"/>
    </xf>
    <xf numFmtId="43" fontId="16" fillId="0" borderId="0" xfId="1" applyFont="1" applyFill="1"/>
    <xf numFmtId="43" fontId="14" fillId="0" borderId="0" xfId="1" applyFont="1" applyFill="1"/>
    <xf numFmtId="0" fontId="14" fillId="0" borderId="0" xfId="0" applyFont="1" applyFill="1" applyBorder="1"/>
    <xf numFmtId="0" fontId="14" fillId="0" borderId="0" xfId="0" applyFont="1" applyFill="1" applyAlignment="1">
      <alignment shrinkToFit="1"/>
    </xf>
    <xf numFmtId="0" fontId="15" fillId="0" borderId="0" xfId="0" applyFont="1" applyFill="1" applyBorder="1"/>
    <xf numFmtId="0" fontId="41" fillId="0" borderId="1" xfId="3" applyFont="1" applyFill="1" applyBorder="1" applyAlignment="1">
      <alignment vertical="top" wrapText="1"/>
    </xf>
    <xf numFmtId="0" fontId="48" fillId="0" borderId="0" xfId="0" applyFont="1" applyFill="1" applyAlignment="1">
      <alignment vertical="top"/>
    </xf>
    <xf numFmtId="0" fontId="14" fillId="0" borderId="1" xfId="0" applyFont="1" applyFill="1" applyBorder="1" applyAlignment="1">
      <alignment vertical="top"/>
    </xf>
    <xf numFmtId="4" fontId="14" fillId="0" borderId="1" xfId="0" applyNumberFormat="1" applyFont="1" applyFill="1" applyBorder="1" applyAlignment="1">
      <alignment vertical="top" wrapText="1"/>
    </xf>
    <xf numFmtId="4" fontId="14" fillId="0" borderId="1" xfId="0" applyNumberFormat="1" applyFont="1" applyFill="1" applyBorder="1" applyAlignment="1">
      <alignment vertical="top"/>
    </xf>
    <xf numFmtId="0" fontId="14" fillId="0" borderId="1" xfId="0" applyFont="1" applyFill="1" applyBorder="1" applyAlignment="1">
      <alignment horizontal="center" vertical="top"/>
    </xf>
    <xf numFmtId="0" fontId="41" fillId="0" borderId="0" xfId="0" applyFont="1" applyFill="1" applyAlignment="1">
      <alignment vertical="top"/>
    </xf>
    <xf numFmtId="43" fontId="42" fillId="0" borderId="1" xfId="1" applyFont="1" applyFill="1" applyBorder="1" applyAlignment="1">
      <alignment horizontal="center" vertical="top" wrapText="1"/>
    </xf>
    <xf numFmtId="0" fontId="42" fillId="0" borderId="0" xfId="0" applyFont="1" applyFill="1" applyAlignment="1">
      <alignment vertical="top"/>
    </xf>
    <xf numFmtId="0" fontId="14" fillId="0" borderId="1" xfId="0" applyFont="1" applyFill="1" applyBorder="1" applyAlignment="1">
      <alignment vertical="top" wrapText="1"/>
    </xf>
    <xf numFmtId="0" fontId="41" fillId="0" borderId="1" xfId="0" applyFont="1" applyFill="1" applyBorder="1" applyAlignment="1">
      <alignment horizontal="left" vertical="top" wrapText="1"/>
    </xf>
    <xf numFmtId="0" fontId="41" fillId="0" borderId="1" xfId="2" applyFont="1" applyFill="1" applyBorder="1" applyAlignment="1">
      <alignment vertical="top" wrapText="1"/>
    </xf>
    <xf numFmtId="2" fontId="14" fillId="0" borderId="1" xfId="0" applyNumberFormat="1" applyFont="1" applyFill="1" applyBorder="1" applyAlignment="1">
      <alignment horizontal="left" vertical="top" wrapText="1"/>
    </xf>
    <xf numFmtId="0" fontId="109" fillId="0" borderId="1" xfId="0" applyFont="1" applyFill="1" applyBorder="1" applyAlignment="1">
      <alignment vertical="top" wrapText="1"/>
    </xf>
    <xf numFmtId="0" fontId="41" fillId="0" borderId="1" xfId="3" applyFont="1" applyFill="1" applyBorder="1" applyAlignment="1">
      <alignment horizontal="left" vertical="top" wrapText="1"/>
    </xf>
    <xf numFmtId="4" fontId="42" fillId="0" borderId="1" xfId="0" applyNumberFormat="1" applyFont="1" applyFill="1" applyBorder="1" applyAlignment="1">
      <alignment horizontal="right" vertical="top"/>
    </xf>
    <xf numFmtId="0" fontId="42" fillId="0" borderId="0" xfId="0" applyFont="1" applyFill="1" applyAlignment="1">
      <alignment horizontal="center" vertical="top"/>
    </xf>
    <xf numFmtId="43" fontId="42" fillId="0" borderId="1" xfId="1" applyFont="1" applyFill="1" applyBorder="1" applyAlignment="1">
      <alignment horizontal="right" vertical="top"/>
    </xf>
    <xf numFmtId="0" fontId="41" fillId="0" borderId="0" xfId="0" applyFont="1" applyFill="1" applyAlignment="1">
      <alignment horizontal="center" vertical="top"/>
    </xf>
    <xf numFmtId="0" fontId="41" fillId="0" borderId="0" xfId="0" applyFont="1" applyFill="1" applyAlignment="1">
      <alignment vertical="top" wrapText="1"/>
    </xf>
    <xf numFmtId="43" fontId="41" fillId="0" borderId="0" xfId="1" applyFont="1" applyFill="1" applyAlignment="1">
      <alignment vertical="top"/>
    </xf>
    <xf numFmtId="0" fontId="42" fillId="14" borderId="9" xfId="0" applyFont="1" applyFill="1" applyBorder="1" applyAlignment="1">
      <alignment horizontal="center" vertical="center"/>
    </xf>
    <xf numFmtId="0" fontId="42" fillId="14" borderId="4" xfId="0" applyFont="1" applyFill="1" applyBorder="1" applyAlignment="1">
      <alignment horizontal="center" vertical="center"/>
    </xf>
    <xf numFmtId="0" fontId="50" fillId="0" borderId="0" xfId="0" applyFont="1" applyFill="1" applyAlignment="1">
      <alignment vertical="center"/>
    </xf>
    <xf numFmtId="49" fontId="14" fillId="0" borderId="1" xfId="0" applyNumberFormat="1" applyFont="1" applyFill="1" applyBorder="1" applyAlignment="1">
      <alignment horizontal="right" vertical="top" wrapText="1"/>
    </xf>
    <xf numFmtId="4" fontId="41" fillId="0" borderId="1" xfId="0" applyNumberFormat="1" applyFont="1" applyFill="1" applyBorder="1" applyAlignment="1">
      <alignment horizontal="right" vertical="top"/>
    </xf>
    <xf numFmtId="43" fontId="41" fillId="0" borderId="1" xfId="1" applyFont="1" applyFill="1" applyBorder="1" applyAlignment="1">
      <alignment horizontal="right" vertical="top"/>
    </xf>
    <xf numFmtId="43" fontId="70" fillId="0" borderId="11" xfId="1" applyFont="1" applyFill="1" applyBorder="1" applyAlignment="1">
      <alignment horizontal="left" vertical="center" shrinkToFit="1"/>
    </xf>
    <xf numFmtId="0" fontId="48" fillId="12" borderId="1" xfId="0" applyFont="1" applyFill="1" applyBorder="1" applyAlignment="1">
      <alignment horizontal="center" vertical="center" shrinkToFit="1"/>
    </xf>
    <xf numFmtId="0" fontId="81" fillId="0" borderId="11" xfId="1" applyNumberFormat="1" applyFont="1" applyFill="1" applyBorder="1" applyAlignment="1">
      <alignment horizontal="center" vertical="center"/>
    </xf>
    <xf numFmtId="43" fontId="16" fillId="0" borderId="0" xfId="1" applyFont="1" applyFill="1" applyBorder="1" applyAlignment="1">
      <alignment vertical="top"/>
    </xf>
    <xf numFmtId="43" fontId="16" fillId="0" borderId="0" xfId="1" applyFont="1" applyFill="1" applyBorder="1" applyAlignment="1">
      <alignment vertical="top" wrapText="1"/>
    </xf>
    <xf numFmtId="49" fontId="14" fillId="0" borderId="1" xfId="0" applyNumberFormat="1" applyFont="1" applyBorder="1" applyAlignment="1">
      <alignment vertical="top"/>
    </xf>
    <xf numFmtId="192" fontId="14" fillId="0" borderId="1" xfId="1" applyNumberFormat="1" applyFont="1" applyFill="1" applyBorder="1" applyAlignment="1">
      <alignment horizontal="right" vertical="top" wrapText="1"/>
    </xf>
    <xf numFmtId="2" fontId="14" fillId="0" borderId="1" xfId="1" applyNumberFormat="1" applyFont="1" applyFill="1" applyBorder="1" applyAlignment="1">
      <alignment horizontal="right" vertical="top" wrapText="1"/>
    </xf>
    <xf numFmtId="43" fontId="16" fillId="0" borderId="0" xfId="1" applyFont="1" applyBorder="1" applyAlignment="1">
      <alignment vertical="top"/>
    </xf>
    <xf numFmtId="0" fontId="16" fillId="11" borderId="9" xfId="0" applyFont="1" applyFill="1" applyBorder="1" applyAlignment="1">
      <alignment vertical="top"/>
    </xf>
    <xf numFmtId="0" fontId="16" fillId="11" borderId="11" xfId="0" applyFont="1" applyFill="1" applyBorder="1" applyAlignment="1">
      <alignment vertical="top"/>
    </xf>
    <xf numFmtId="0" fontId="16" fillId="11" borderId="4" xfId="0" applyFont="1" applyFill="1" applyBorder="1" applyAlignment="1">
      <alignment vertical="top"/>
    </xf>
    <xf numFmtId="43" fontId="14" fillId="0" borderId="1" xfId="1" applyFont="1" applyBorder="1" applyAlignment="1">
      <alignment vertical="top"/>
    </xf>
    <xf numFmtId="0" fontId="16" fillId="0" borderId="1" xfId="1" applyNumberFormat="1" applyFont="1" applyBorder="1" applyAlignment="1">
      <alignment vertical="top" wrapText="1"/>
    </xf>
    <xf numFmtId="0" fontId="14" fillId="0" borderId="1" xfId="1" applyNumberFormat="1" applyFont="1" applyFill="1" applyBorder="1" applyAlignment="1">
      <alignment vertical="top" wrapText="1"/>
    </xf>
    <xf numFmtId="0" fontId="16" fillId="0" borderId="0" xfId="0" applyFont="1" applyBorder="1" applyAlignment="1">
      <alignment vertical="top"/>
    </xf>
    <xf numFmtId="43" fontId="16" fillId="0" borderId="1" xfId="1" applyFont="1" applyBorder="1" applyAlignment="1">
      <alignment horizontal="right" vertical="top"/>
    </xf>
    <xf numFmtId="0" fontId="14" fillId="0" borderId="0" xfId="1" applyNumberFormat="1" applyFont="1" applyBorder="1" applyAlignment="1">
      <alignment horizontal="right" vertical="top"/>
    </xf>
    <xf numFmtId="0" fontId="42" fillId="14" borderId="9" xfId="0" applyFont="1" applyFill="1" applyBorder="1" applyAlignment="1">
      <alignment horizontal="center" vertical="center"/>
    </xf>
    <xf numFmtId="0" fontId="42" fillId="14" borderId="4" xfId="0" applyFont="1" applyFill="1" applyBorder="1" applyAlignment="1">
      <alignment horizontal="center" vertical="center"/>
    </xf>
    <xf numFmtId="0" fontId="42" fillId="14" borderId="9" xfId="0" applyFont="1" applyFill="1" applyBorder="1" applyAlignment="1">
      <alignment horizontal="center" vertical="center" wrapText="1"/>
    </xf>
    <xf numFmtId="0" fontId="42" fillId="14" borderId="4" xfId="0" applyFont="1" applyFill="1" applyBorder="1" applyAlignment="1">
      <alignment horizontal="center" vertical="center" wrapText="1"/>
    </xf>
    <xf numFmtId="43" fontId="70" fillId="0" borderId="11" xfId="1" applyNumberFormat="1" applyFont="1" applyFill="1" applyBorder="1" applyAlignment="1">
      <alignment vertical="center" shrinkToFit="1"/>
    </xf>
    <xf numFmtId="43" fontId="70" fillId="0" borderId="11" xfId="1" applyNumberFormat="1" applyFont="1" applyFill="1" applyBorder="1" applyAlignment="1">
      <alignment vertical="center"/>
    </xf>
    <xf numFmtId="0" fontId="16" fillId="11" borderId="4" xfId="0" applyFont="1" applyFill="1" applyBorder="1" applyAlignment="1">
      <alignment horizontal="center" vertical="center"/>
    </xf>
    <xf numFmtId="0" fontId="16" fillId="11" borderId="9" xfId="1" applyNumberFormat="1" applyFont="1" applyFill="1" applyBorder="1" applyAlignment="1">
      <alignment horizontal="center" vertical="center"/>
    </xf>
    <xf numFmtId="0" fontId="16" fillId="11" borderId="9" xfId="1" applyNumberFormat="1" applyFont="1" applyFill="1" applyBorder="1" applyAlignment="1">
      <alignment horizontal="center" vertical="center" wrapText="1"/>
    </xf>
    <xf numFmtId="43" fontId="16" fillId="11" borderId="9" xfId="1" applyFont="1" applyFill="1" applyBorder="1" applyAlignment="1">
      <alignment horizontal="center" vertical="center"/>
    </xf>
    <xf numFmtId="0" fontId="16" fillId="11" borderId="9" xfId="0" applyFont="1" applyFill="1" applyBorder="1" applyAlignment="1">
      <alignment horizontal="center" vertical="center"/>
    </xf>
    <xf numFmtId="0" fontId="16" fillId="11" borderId="11" xfId="1" applyNumberFormat="1" applyFont="1" applyFill="1" applyBorder="1" applyAlignment="1">
      <alignment horizontal="center" vertical="center"/>
    </xf>
    <xf numFmtId="0" fontId="16" fillId="11" borderId="11" xfId="1" applyNumberFormat="1" applyFont="1" applyFill="1" applyBorder="1" applyAlignment="1">
      <alignment horizontal="center" vertical="center" wrapText="1"/>
    </xf>
    <xf numFmtId="43" fontId="16" fillId="11" borderId="11" xfId="1" applyFont="1" applyFill="1" applyBorder="1" applyAlignment="1">
      <alignment horizontal="center" vertical="center"/>
    </xf>
    <xf numFmtId="0" fontId="16" fillId="11" borderId="11" xfId="0" applyFont="1" applyFill="1" applyBorder="1" applyAlignment="1">
      <alignment horizontal="center" vertical="center"/>
    </xf>
    <xf numFmtId="0" fontId="16" fillId="11" borderId="4" xfId="1" applyNumberFormat="1" applyFont="1" applyFill="1" applyBorder="1" applyAlignment="1">
      <alignment horizontal="center" vertical="center"/>
    </xf>
    <xf numFmtId="0" fontId="16" fillId="11" borderId="4" xfId="1" applyNumberFormat="1" applyFont="1" applyFill="1" applyBorder="1" applyAlignment="1">
      <alignment horizontal="center" vertical="center" wrapText="1"/>
    </xf>
    <xf numFmtId="0" fontId="42" fillId="0" borderId="0" xfId="0" applyFont="1" applyBorder="1" applyAlignment="1">
      <alignment horizontal="right" vertical="center" shrinkToFit="1"/>
    </xf>
    <xf numFmtId="43" fontId="42" fillId="0" borderId="0" xfId="0" applyNumberFormat="1" applyFont="1" applyBorder="1" applyAlignment="1">
      <alignment horizontal="right" vertical="center" shrinkToFit="1"/>
    </xf>
    <xf numFmtId="43" fontId="16" fillId="0" borderId="0" xfId="1" applyFont="1" applyBorder="1" applyAlignment="1">
      <alignment horizontal="left" vertical="top" wrapText="1" shrinkToFit="1"/>
    </xf>
    <xf numFmtId="43" fontId="16" fillId="0" borderId="0" xfId="1" applyFont="1" applyBorder="1" applyAlignment="1">
      <alignment horizontal="left" vertical="top" wrapText="1"/>
    </xf>
    <xf numFmtId="43" fontId="47" fillId="0" borderId="0" xfId="1" applyFont="1" applyBorder="1" applyAlignment="1">
      <alignment horizontal="left" vertical="top" wrapText="1" shrinkToFit="1"/>
    </xf>
    <xf numFmtId="43" fontId="42" fillId="0" borderId="1" xfId="1" applyFont="1" applyBorder="1" applyAlignment="1">
      <alignment horizontal="right" vertical="center" shrinkToFit="1"/>
    </xf>
    <xf numFmtId="43" fontId="16" fillId="0" borderId="1" xfId="1" applyFont="1" applyFill="1" applyBorder="1" applyAlignment="1">
      <alignment horizontal="right" vertical="center" shrinkToFit="1"/>
    </xf>
    <xf numFmtId="43" fontId="16" fillId="0" borderId="1" xfId="1" applyFont="1" applyFill="1" applyBorder="1" applyAlignment="1">
      <alignment vertical="center" shrinkToFit="1"/>
    </xf>
    <xf numFmtId="43" fontId="16" fillId="0" borderId="1" xfId="1" applyFont="1" applyBorder="1" applyAlignment="1">
      <alignment vertical="center"/>
    </xf>
    <xf numFmtId="43" fontId="16" fillId="0" borderId="0" xfId="1" applyFont="1" applyFill="1" applyBorder="1" applyAlignment="1">
      <alignment vertical="center" shrinkToFit="1"/>
    </xf>
    <xf numFmtId="0" fontId="16" fillId="0" borderId="1" xfId="1" applyNumberFormat="1" applyFont="1" applyFill="1" applyBorder="1" applyAlignment="1">
      <alignment vertical="center" wrapText="1"/>
    </xf>
    <xf numFmtId="43" fontId="16" fillId="0" borderId="1" xfId="1" applyNumberFormat="1" applyFont="1" applyFill="1" applyBorder="1" applyAlignment="1">
      <alignment vertical="center" wrapText="1"/>
    </xf>
    <xf numFmtId="43" fontId="16" fillId="0" borderId="1" xfId="1" applyFont="1" applyFill="1" applyBorder="1" applyAlignment="1">
      <alignment vertical="center" wrapText="1"/>
    </xf>
    <xf numFmtId="43" fontId="16" fillId="0" borderId="0" xfId="1" applyFont="1" applyFill="1" applyBorder="1" applyAlignment="1">
      <alignment vertical="center"/>
    </xf>
    <xf numFmtId="0" fontId="14" fillId="0" borderId="1" xfId="1" applyNumberFormat="1" applyFont="1" applyBorder="1" applyAlignment="1">
      <alignment horizontal="right" vertical="center" wrapText="1"/>
    </xf>
    <xf numFmtId="0" fontId="16" fillId="0" borderId="1" xfId="1" applyNumberFormat="1" applyFont="1" applyFill="1" applyBorder="1" applyAlignment="1">
      <alignment horizontal="right" vertical="center" wrapText="1"/>
    </xf>
    <xf numFmtId="43" fontId="14" fillId="0" borderId="1" xfId="1" applyFont="1" applyFill="1" applyBorder="1" applyAlignment="1">
      <alignment horizontal="right" vertical="center" wrapText="1" shrinkToFit="1"/>
    </xf>
    <xf numFmtId="43" fontId="14" fillId="0" borderId="1" xfId="1" applyFont="1" applyFill="1" applyBorder="1" applyAlignment="1">
      <alignment horizontal="right" vertical="center"/>
    </xf>
    <xf numFmtId="43" fontId="14" fillId="0" borderId="1" xfId="1" applyFont="1" applyBorder="1" applyAlignment="1">
      <alignment horizontal="right" vertical="center"/>
    </xf>
    <xf numFmtId="43" fontId="16" fillId="0" borderId="1" xfId="1" applyFont="1" applyBorder="1" applyAlignment="1">
      <alignment horizontal="right" vertical="center"/>
    </xf>
    <xf numFmtId="43" fontId="14" fillId="0" borderId="1" xfId="1" applyFont="1" applyBorder="1" applyAlignment="1">
      <alignment horizontal="right" vertical="center" wrapText="1"/>
    </xf>
    <xf numFmtId="43" fontId="14" fillId="0" borderId="0" xfId="1" applyFont="1" applyBorder="1" applyAlignment="1">
      <alignment horizontal="right" vertical="center"/>
    </xf>
    <xf numFmtId="0" fontId="16" fillId="11" borderId="9" xfId="0" applyFont="1" applyFill="1" applyBorder="1" applyAlignment="1">
      <alignment horizontal="center" vertical="top"/>
    </xf>
    <xf numFmtId="0" fontId="16" fillId="11" borderId="11" xfId="0" applyFont="1" applyFill="1" applyBorder="1" applyAlignment="1">
      <alignment horizontal="center" vertical="top"/>
    </xf>
    <xf numFmtId="43" fontId="42" fillId="0" borderId="1" xfId="1" applyFont="1" applyBorder="1" applyAlignment="1">
      <alignment vertical="top"/>
    </xf>
    <xf numFmtId="49" fontId="41" fillId="0" borderId="1" xfId="0" applyNumberFormat="1" applyFont="1" applyBorder="1" applyAlignment="1">
      <alignment horizontal="center" vertical="top"/>
    </xf>
    <xf numFmtId="0" fontId="16" fillId="0" borderId="0" xfId="1" applyNumberFormat="1" applyFont="1" applyBorder="1" applyAlignment="1">
      <alignment horizontal="center" vertical="top" shrinkToFit="1"/>
    </xf>
    <xf numFmtId="0" fontId="14" fillId="0" borderId="0" xfId="1" applyNumberFormat="1" applyFont="1" applyBorder="1" applyAlignment="1">
      <alignment horizontal="center" vertical="top"/>
    </xf>
    <xf numFmtId="0" fontId="41" fillId="0" borderId="0" xfId="0" applyFont="1" applyBorder="1" applyAlignment="1">
      <alignment horizontal="center" vertical="top"/>
    </xf>
    <xf numFmtId="49" fontId="14" fillId="0" borderId="1" xfId="0" applyNumberFormat="1" applyFont="1" applyFill="1" applyBorder="1" applyAlignment="1">
      <alignment horizontal="center" vertical="top"/>
    </xf>
    <xf numFmtId="49" fontId="14" fillId="0" borderId="1" xfId="0" applyNumberFormat="1" applyFont="1" applyFill="1" applyBorder="1" applyAlignment="1">
      <alignment horizontal="center" vertical="top" wrapText="1"/>
    </xf>
    <xf numFmtId="49" fontId="41" fillId="0" borderId="0" xfId="0" applyNumberFormat="1" applyFont="1" applyFill="1" applyAlignment="1">
      <alignment horizontal="center" vertical="top"/>
    </xf>
    <xf numFmtId="0" fontId="16" fillId="0" borderId="1" xfId="0" applyFont="1" applyFill="1" applyBorder="1" applyAlignment="1">
      <alignment horizontal="center" vertical="top"/>
    </xf>
    <xf numFmtId="0" fontId="42" fillId="0" borderId="0" xfId="0" applyFont="1" applyFill="1" applyAlignment="1">
      <alignment vertical="top" wrapText="1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43" fontId="42" fillId="0" borderId="0" xfId="0" applyNumberFormat="1" applyFont="1" applyFill="1" applyAlignment="1">
      <alignment vertical="center" shrinkToFit="1"/>
    </xf>
    <xf numFmtId="0" fontId="50" fillId="0" borderId="0" xfId="0" applyFont="1" applyFill="1" applyBorder="1" applyAlignment="1">
      <alignment vertical="center"/>
    </xf>
    <xf numFmtId="187" fontId="50" fillId="0" borderId="0" xfId="0" applyNumberFormat="1" applyFont="1" applyFill="1" applyAlignment="1">
      <alignment vertical="center"/>
    </xf>
    <xf numFmtId="43" fontId="113" fillId="0" borderId="0" xfId="1" applyFont="1" applyFill="1" applyAlignment="1">
      <alignment vertical="center"/>
    </xf>
    <xf numFmtId="0" fontId="113" fillId="0" borderId="0" xfId="0" applyFont="1" applyFill="1" applyAlignment="1">
      <alignment vertical="center"/>
    </xf>
    <xf numFmtId="43" fontId="35" fillId="0" borderId="0" xfId="1" applyFont="1" applyFill="1" applyAlignment="1">
      <alignment vertical="center"/>
    </xf>
    <xf numFmtId="43" fontId="35" fillId="0" borderId="0" xfId="0" applyNumberFormat="1" applyFont="1" applyFill="1" applyAlignment="1">
      <alignment vertical="center"/>
    </xf>
    <xf numFmtId="43" fontId="48" fillId="0" borderId="1" xfId="0" applyNumberFormat="1" applyFont="1" applyFill="1" applyBorder="1" applyAlignment="1">
      <alignment horizontal="left" vertical="center" wrapText="1"/>
    </xf>
    <xf numFmtId="43" fontId="48" fillId="0" borderId="1" xfId="0" applyNumberFormat="1" applyFont="1" applyFill="1" applyBorder="1" applyAlignment="1">
      <alignment horizontal="center" vertical="center" wrapText="1"/>
    </xf>
    <xf numFmtId="43" fontId="41" fillId="0" borderId="0" xfId="0" applyNumberFormat="1" applyFont="1" applyFill="1" applyAlignment="1">
      <alignment vertical="top"/>
    </xf>
    <xf numFmtId="43" fontId="49" fillId="0" borderId="0" xfId="0" applyNumberFormat="1" applyFont="1" applyBorder="1" applyAlignment="1">
      <alignment vertical="top"/>
    </xf>
    <xf numFmtId="0" fontId="49" fillId="0" borderId="0" xfId="0" applyFont="1" applyBorder="1" applyAlignment="1">
      <alignment vertical="top"/>
    </xf>
    <xf numFmtId="2" fontId="49" fillId="0" borderId="0" xfId="0" applyNumberFormat="1" applyFont="1" applyBorder="1" applyAlignment="1">
      <alignment vertical="top"/>
    </xf>
    <xf numFmtId="0" fontId="15" fillId="4" borderId="9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43" fontId="14" fillId="15" borderId="1" xfId="1" applyFont="1" applyFill="1" applyBorder="1" applyAlignment="1">
      <alignment horizontal="right" vertical="top"/>
    </xf>
    <xf numFmtId="4" fontId="14" fillId="0" borderId="0" xfId="0" applyNumberFormat="1" applyFont="1"/>
    <xf numFmtId="4" fontId="14" fillId="0" borderId="9" xfId="0" applyNumberFormat="1" applyFont="1" applyBorder="1"/>
    <xf numFmtId="43" fontId="14" fillId="0" borderId="9" xfId="1" applyFont="1" applyFill="1" applyBorder="1" applyAlignment="1">
      <alignment vertical="center"/>
    </xf>
    <xf numFmtId="43" fontId="16" fillId="0" borderId="9" xfId="1" applyFont="1" applyFill="1" applyBorder="1" applyAlignment="1">
      <alignment vertical="center"/>
    </xf>
    <xf numFmtId="2" fontId="16" fillId="0" borderId="9" xfId="0" applyNumberFormat="1" applyFont="1" applyFill="1" applyBorder="1" applyAlignment="1">
      <alignment horizontal="center" vertical="center"/>
    </xf>
    <xf numFmtId="0" fontId="14" fillId="0" borderId="1" xfId="0" applyFont="1" applyBorder="1"/>
    <xf numFmtId="4" fontId="14" fillId="0" borderId="2" xfId="0" applyNumberFormat="1" applyFont="1" applyBorder="1"/>
    <xf numFmtId="43" fontId="16" fillId="0" borderId="2" xfId="1" applyFont="1" applyFill="1" applyBorder="1" applyAlignment="1">
      <alignment vertical="center"/>
    </xf>
    <xf numFmtId="43" fontId="16" fillId="4" borderId="10" xfId="1" applyFont="1" applyFill="1" applyBorder="1" applyAlignment="1">
      <alignment vertical="center" shrinkToFit="1"/>
    </xf>
    <xf numFmtId="43" fontId="16" fillId="0" borderId="35" xfId="1" applyFont="1" applyFill="1" applyBorder="1" applyAlignment="1">
      <alignment horizontal="center" vertical="center" shrinkToFit="1"/>
    </xf>
    <xf numFmtId="43" fontId="16" fillId="0" borderId="10" xfId="1" applyFont="1" applyFill="1" applyBorder="1" applyAlignment="1">
      <alignment horizontal="center" vertical="center"/>
    </xf>
    <xf numFmtId="43" fontId="70" fillId="7" borderId="9" xfId="1" applyFont="1" applyFill="1" applyBorder="1" applyAlignment="1">
      <alignment horizontal="center" vertical="center" shrinkToFit="1"/>
    </xf>
    <xf numFmtId="43" fontId="70" fillId="7" borderId="4" xfId="1" applyFont="1" applyFill="1" applyBorder="1" applyAlignment="1">
      <alignment horizontal="center" vertical="center" shrinkToFit="1"/>
    </xf>
    <xf numFmtId="43" fontId="68" fillId="0" borderId="0" xfId="1" applyFont="1" applyFill="1" applyAlignment="1">
      <alignment horizontal="center" vertical="center" shrinkToFit="1"/>
    </xf>
    <xf numFmtId="43" fontId="68" fillId="0" borderId="0" xfId="1" applyFont="1" applyFill="1" applyBorder="1" applyAlignment="1">
      <alignment horizontal="center" vertical="center" shrinkToFit="1"/>
    </xf>
    <xf numFmtId="43" fontId="69" fillId="0" borderId="0" xfId="1" applyFont="1" applyFill="1" applyBorder="1" applyAlignment="1">
      <alignment horizontal="center" vertical="center" shrinkToFit="1"/>
    </xf>
    <xf numFmtId="0" fontId="70" fillId="7" borderId="1" xfId="1" applyNumberFormat="1" applyFont="1" applyFill="1" applyBorder="1" applyAlignment="1">
      <alignment horizontal="center" vertical="center" shrinkToFit="1"/>
    </xf>
    <xf numFmtId="43" fontId="70" fillId="7" borderId="1" xfId="1" applyFont="1" applyFill="1" applyBorder="1" applyAlignment="1">
      <alignment horizontal="center" vertical="center" shrinkToFit="1"/>
    </xf>
    <xf numFmtId="43" fontId="70" fillId="0" borderId="6" xfId="1" applyFont="1" applyFill="1" applyBorder="1" applyAlignment="1">
      <alignment horizontal="left" vertical="center" shrinkToFit="1"/>
    </xf>
    <xf numFmtId="43" fontId="70" fillId="0" borderId="8" xfId="1" applyFont="1" applyFill="1" applyBorder="1" applyAlignment="1">
      <alignment horizontal="left" vertical="center" shrinkToFit="1"/>
    </xf>
    <xf numFmtId="43" fontId="70" fillId="0" borderId="29" xfId="1" applyFont="1" applyFill="1" applyBorder="1" applyAlignment="1">
      <alignment horizontal="left" vertical="center" shrinkToFit="1"/>
    </xf>
    <xf numFmtId="43" fontId="70" fillId="0" borderId="28" xfId="1" applyFont="1" applyFill="1" applyBorder="1" applyAlignment="1">
      <alignment horizontal="left" vertical="center" shrinkToFit="1"/>
    </xf>
    <xf numFmtId="43" fontId="70" fillId="0" borderId="11" xfId="1" applyFont="1" applyFill="1" applyBorder="1" applyAlignment="1">
      <alignment horizontal="left" vertical="center" shrinkToFit="1"/>
    </xf>
    <xf numFmtId="0" fontId="69" fillId="0" borderId="11" xfId="1" applyNumberFormat="1" applyFont="1" applyFill="1" applyBorder="1" applyAlignment="1">
      <alignment horizontal="center" vertical="top" shrinkToFit="1"/>
    </xf>
    <xf numFmtId="0" fontId="69" fillId="0" borderId="4" xfId="1" applyNumberFormat="1" applyFont="1" applyFill="1" applyBorder="1" applyAlignment="1">
      <alignment horizontal="center" vertical="top" shrinkToFit="1"/>
    </xf>
    <xf numFmtId="43" fontId="71" fillId="0" borderId="11" xfId="1" applyFont="1" applyFill="1" applyBorder="1" applyAlignment="1">
      <alignment horizontal="left" vertical="center" shrinkToFit="1"/>
    </xf>
    <xf numFmtId="0" fontId="69" fillId="0" borderId="9" xfId="1" applyNumberFormat="1" applyFont="1" applyFill="1" applyBorder="1" applyAlignment="1">
      <alignment horizontal="center" vertical="center" shrinkToFit="1"/>
    </xf>
    <xf numFmtId="0" fontId="69" fillId="0" borderId="11" xfId="1" applyNumberFormat="1" applyFont="1" applyFill="1" applyBorder="1" applyAlignment="1">
      <alignment horizontal="center" vertical="center" shrinkToFit="1"/>
    </xf>
    <xf numFmtId="0" fontId="69" fillId="0" borderId="4" xfId="1" applyNumberFormat="1" applyFont="1" applyFill="1" applyBorder="1" applyAlignment="1">
      <alignment horizontal="center" vertical="center" shrinkToFit="1"/>
    </xf>
    <xf numFmtId="0" fontId="69" fillId="0" borderId="11" xfId="1" applyNumberFormat="1" applyFont="1" applyFill="1" applyBorder="1" applyAlignment="1">
      <alignment horizontal="center" vertical="top"/>
    </xf>
    <xf numFmtId="0" fontId="69" fillId="0" borderId="4" xfId="1" applyNumberFormat="1" applyFont="1" applyFill="1" applyBorder="1" applyAlignment="1">
      <alignment horizontal="center" vertical="top"/>
    </xf>
    <xf numFmtId="43" fontId="70" fillId="0" borderId="9" xfId="1" applyFont="1" applyFill="1" applyBorder="1" applyAlignment="1">
      <alignment horizontal="left" vertical="center" shrinkToFit="1"/>
    </xf>
    <xf numFmtId="43" fontId="83" fillId="0" borderId="0" xfId="1" applyFont="1" applyFill="1" applyAlignment="1">
      <alignment horizontal="left" vertical="center" shrinkToFit="1"/>
    </xf>
    <xf numFmtId="0" fontId="91" fillId="0" borderId="9" xfId="1" applyNumberFormat="1" applyFont="1" applyFill="1" applyBorder="1" applyAlignment="1">
      <alignment horizontal="center" vertical="center"/>
    </xf>
    <xf numFmtId="0" fontId="91" fillId="0" borderId="11" xfId="1" applyNumberFormat="1" applyFont="1" applyFill="1" applyBorder="1" applyAlignment="1">
      <alignment horizontal="center" vertical="center"/>
    </xf>
    <xf numFmtId="0" fontId="91" fillId="0" borderId="4" xfId="1" applyNumberFormat="1" applyFont="1" applyFill="1" applyBorder="1" applyAlignment="1">
      <alignment horizontal="center" vertical="center"/>
    </xf>
    <xf numFmtId="0" fontId="69" fillId="6" borderId="11" xfId="1" applyNumberFormat="1" applyFont="1" applyFill="1" applyBorder="1" applyAlignment="1">
      <alignment horizontal="center" vertical="center" shrinkToFit="1"/>
    </xf>
    <xf numFmtId="0" fontId="15" fillId="0" borderId="7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49" fillId="5" borderId="5" xfId="0" applyFont="1" applyFill="1" applyBorder="1" applyAlignment="1">
      <alignment horizontal="center" vertical="center"/>
    </xf>
    <xf numFmtId="0" fontId="49" fillId="5" borderId="15" xfId="0" applyFont="1" applyFill="1" applyBorder="1" applyAlignment="1">
      <alignment horizontal="center" vertical="center"/>
    </xf>
    <xf numFmtId="0" fontId="49" fillId="5" borderId="7" xfId="0" applyFont="1" applyFill="1" applyBorder="1" applyAlignment="1">
      <alignment horizontal="center" vertical="center"/>
    </xf>
    <xf numFmtId="0" fontId="48" fillId="0" borderId="5" xfId="0" applyFont="1" applyFill="1" applyBorder="1" applyAlignment="1">
      <alignment horizontal="left" vertical="center"/>
    </xf>
    <xf numFmtId="0" fontId="48" fillId="0" borderId="15" xfId="0" applyFont="1" applyFill="1" applyBorder="1" applyAlignment="1">
      <alignment horizontal="left" vertical="center"/>
    </xf>
    <xf numFmtId="0" fontId="50" fillId="0" borderId="5" xfId="0" applyFont="1" applyFill="1" applyBorder="1" applyAlignment="1">
      <alignment horizontal="right" vertical="center"/>
    </xf>
    <xf numFmtId="0" fontId="50" fillId="0" borderId="15" xfId="0" applyFont="1" applyFill="1" applyBorder="1" applyAlignment="1">
      <alignment horizontal="right" vertical="center"/>
    </xf>
    <xf numFmtId="0" fontId="50" fillId="0" borderId="7" xfId="0" applyFont="1" applyFill="1" applyBorder="1" applyAlignment="1">
      <alignment horizontal="right" vertical="center"/>
    </xf>
    <xf numFmtId="43" fontId="62" fillId="0" borderId="0" xfId="1" applyFont="1" applyBorder="1" applyAlignment="1">
      <alignment horizontal="center"/>
    </xf>
    <xf numFmtId="0" fontId="18" fillId="0" borderId="15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35" fillId="0" borderId="0" xfId="0" applyFont="1" applyFill="1" applyAlignment="1">
      <alignment horizontal="left" vertical="center" shrinkToFit="1"/>
    </xf>
    <xf numFmtId="0" fontId="50" fillId="0" borderId="0" xfId="0" applyFont="1" applyFill="1" applyAlignment="1">
      <alignment horizontal="left" vertical="center" shrinkToFit="1"/>
    </xf>
    <xf numFmtId="0" fontId="51" fillId="0" borderId="0" xfId="0" applyFont="1" applyFill="1" applyAlignment="1">
      <alignment horizontal="center" vertical="center"/>
    </xf>
    <xf numFmtId="43" fontId="51" fillId="0" borderId="27" xfId="0" applyNumberFormat="1" applyFont="1" applyFill="1" applyBorder="1" applyAlignment="1">
      <alignment horizontal="center" vertical="center"/>
    </xf>
    <xf numFmtId="0" fontId="48" fillId="12" borderId="9" xfId="0" applyFont="1" applyFill="1" applyBorder="1" applyAlignment="1">
      <alignment horizontal="center" vertical="center" shrinkToFit="1"/>
    </xf>
    <xf numFmtId="0" fontId="48" fillId="12" borderId="11" xfId="0" applyFont="1" applyFill="1" applyBorder="1" applyAlignment="1">
      <alignment horizontal="center" vertical="center" shrinkToFit="1"/>
    </xf>
    <xf numFmtId="0" fontId="48" fillId="12" borderId="4" xfId="0" applyFont="1" applyFill="1" applyBorder="1" applyAlignment="1">
      <alignment horizontal="center" vertical="center" shrinkToFit="1"/>
    </xf>
    <xf numFmtId="0" fontId="36" fillId="13" borderId="1" xfId="0" applyFont="1" applyFill="1" applyBorder="1" applyAlignment="1">
      <alignment horizontal="center" vertical="center" shrinkToFit="1"/>
    </xf>
    <xf numFmtId="0" fontId="48" fillId="12" borderId="1" xfId="0" applyFont="1" applyFill="1" applyBorder="1" applyAlignment="1">
      <alignment horizontal="center" vertical="center" shrinkToFit="1"/>
    </xf>
    <xf numFmtId="0" fontId="48" fillId="12" borderId="5" xfId="0" applyFont="1" applyFill="1" applyBorder="1" applyAlignment="1">
      <alignment horizontal="center" vertical="center" shrinkToFit="1"/>
    </xf>
    <xf numFmtId="0" fontId="48" fillId="12" borderId="7" xfId="0" applyFont="1" applyFill="1" applyBorder="1" applyAlignment="1">
      <alignment horizontal="center" vertical="center" shrinkToFit="1"/>
    </xf>
    <xf numFmtId="43" fontId="50" fillId="0" borderId="5" xfId="1" applyFont="1" applyFill="1" applyBorder="1" applyAlignment="1">
      <alignment horizontal="center" vertical="center" shrinkToFit="1"/>
    </xf>
    <xf numFmtId="43" fontId="50" fillId="0" borderId="7" xfId="1" applyFont="1" applyFill="1" applyBorder="1" applyAlignment="1">
      <alignment horizontal="center" vertical="center" shrinkToFit="1"/>
    </xf>
    <xf numFmtId="43" fontId="103" fillId="12" borderId="5" xfId="1" applyFont="1" applyFill="1" applyBorder="1" applyAlignment="1">
      <alignment horizontal="center" vertical="center" shrinkToFit="1"/>
    </xf>
    <xf numFmtId="43" fontId="103" fillId="12" borderId="15" xfId="1" applyFont="1" applyFill="1" applyBorder="1" applyAlignment="1">
      <alignment horizontal="center" vertical="center" shrinkToFit="1"/>
    </xf>
    <xf numFmtId="43" fontId="103" fillId="12" borderId="7" xfId="1" applyFont="1" applyFill="1" applyBorder="1" applyAlignment="1">
      <alignment horizontal="center" vertical="center" shrinkToFit="1"/>
    </xf>
    <xf numFmtId="43" fontId="16" fillId="0" borderId="5" xfId="1" applyFont="1" applyFill="1" applyBorder="1" applyAlignment="1">
      <alignment horizontal="right" vertical="top"/>
    </xf>
    <xf numFmtId="43" fontId="16" fillId="0" borderId="15" xfId="1" applyFont="1" applyFill="1" applyBorder="1" applyAlignment="1">
      <alignment horizontal="right" vertical="top"/>
    </xf>
    <xf numFmtId="0" fontId="13" fillId="0" borderId="0" xfId="1" applyNumberFormat="1" applyFont="1" applyBorder="1" applyAlignment="1">
      <alignment vertical="top" shrinkToFit="1"/>
    </xf>
    <xf numFmtId="43" fontId="16" fillId="0" borderId="7" xfId="1" applyFont="1" applyFill="1" applyBorder="1" applyAlignment="1">
      <alignment horizontal="right" vertical="top"/>
    </xf>
    <xf numFmtId="43" fontId="16" fillId="0" borderId="0" xfId="1" applyFont="1" applyBorder="1" applyAlignment="1">
      <alignment horizontal="center" vertical="center"/>
    </xf>
    <xf numFmtId="43" fontId="16" fillId="0" borderId="1" xfId="1" applyFont="1" applyFill="1" applyBorder="1" applyAlignment="1">
      <alignment horizontal="right" vertical="center" shrinkToFit="1"/>
    </xf>
    <xf numFmtId="43" fontId="16" fillId="0" borderId="27" xfId="1" applyFont="1" applyBorder="1" applyAlignment="1">
      <alignment horizontal="center" vertical="center"/>
    </xf>
    <xf numFmtId="0" fontId="16" fillId="0" borderId="1" xfId="1" applyNumberFormat="1" applyFont="1" applyBorder="1" applyAlignment="1">
      <alignment vertical="top" wrapText="1"/>
    </xf>
    <xf numFmtId="43" fontId="16" fillId="11" borderId="9" xfId="1" applyFont="1" applyFill="1" applyBorder="1" applyAlignment="1">
      <alignment horizontal="center" vertical="top" wrapText="1"/>
    </xf>
    <xf numFmtId="43" fontId="16" fillId="11" borderId="11" xfId="1" applyFont="1" applyFill="1" applyBorder="1" applyAlignment="1">
      <alignment horizontal="center" vertical="top" wrapText="1"/>
    </xf>
    <xf numFmtId="43" fontId="16" fillId="11" borderId="4" xfId="1" applyFont="1" applyFill="1" applyBorder="1" applyAlignment="1">
      <alignment horizontal="center" vertical="top" wrapText="1"/>
    </xf>
    <xf numFmtId="43" fontId="16" fillId="11" borderId="6" xfId="1" applyFont="1" applyFill="1" applyBorder="1" applyAlignment="1">
      <alignment horizontal="center" vertical="center"/>
    </xf>
    <xf numFmtId="43" fontId="16" fillId="11" borderId="8" xfId="1" applyFont="1" applyFill="1" applyBorder="1" applyAlignment="1">
      <alignment horizontal="center" vertical="center"/>
    </xf>
    <xf numFmtId="43" fontId="16" fillId="11" borderId="29" xfId="1" applyFont="1" applyFill="1" applyBorder="1" applyAlignment="1">
      <alignment horizontal="center" vertical="center"/>
    </xf>
    <xf numFmtId="43" fontId="16" fillId="11" borderId="28" xfId="1" applyFont="1" applyFill="1" applyBorder="1" applyAlignment="1">
      <alignment horizontal="center" vertical="center"/>
    </xf>
    <xf numFmtId="43" fontId="16" fillId="11" borderId="16" xfId="1" applyFont="1" applyFill="1" applyBorder="1" applyAlignment="1">
      <alignment horizontal="center" vertical="center"/>
    </xf>
    <xf numFmtId="43" fontId="16" fillId="11" borderId="24" xfId="1" applyFont="1" applyFill="1" applyBorder="1" applyAlignment="1">
      <alignment horizontal="center" vertical="center"/>
    </xf>
    <xf numFmtId="0" fontId="14" fillId="0" borderId="1" xfId="1" applyNumberFormat="1" applyFont="1" applyBorder="1" applyAlignment="1">
      <alignment horizontal="left" vertical="center" wrapText="1"/>
    </xf>
    <xf numFmtId="0" fontId="16" fillId="0" borderId="1" xfId="1" applyNumberFormat="1" applyFont="1" applyFill="1" applyBorder="1" applyAlignment="1">
      <alignment vertical="center" wrapText="1"/>
    </xf>
    <xf numFmtId="43" fontId="16" fillId="11" borderId="5" xfId="1" applyFont="1" applyFill="1" applyBorder="1" applyAlignment="1">
      <alignment horizontal="center" vertical="center"/>
    </xf>
    <xf numFmtId="43" fontId="16" fillId="11" borderId="15" xfId="1" applyFont="1" applyFill="1" applyBorder="1" applyAlignment="1">
      <alignment horizontal="center" vertical="center"/>
    </xf>
    <xf numFmtId="43" fontId="16" fillId="11" borderId="7" xfId="1" applyFont="1" applyFill="1" applyBorder="1" applyAlignment="1">
      <alignment horizontal="center" vertical="center"/>
    </xf>
    <xf numFmtId="43" fontId="42" fillId="0" borderId="0" xfId="0" applyNumberFormat="1" applyFont="1" applyBorder="1" applyAlignment="1">
      <alignment horizontal="center" vertical="top"/>
    </xf>
    <xf numFmtId="0" fontId="42" fillId="0" borderId="0" xfId="0" applyFont="1" applyBorder="1" applyAlignment="1">
      <alignment horizontal="center" vertical="top"/>
    </xf>
    <xf numFmtId="43" fontId="42" fillId="0" borderId="27" xfId="0" applyNumberFormat="1" applyFont="1" applyBorder="1" applyAlignment="1">
      <alignment horizontal="center" vertical="top"/>
    </xf>
    <xf numFmtId="43" fontId="16" fillId="0" borderId="0" xfId="1" applyFont="1" applyBorder="1" applyAlignment="1">
      <alignment horizontal="left" vertical="top" wrapText="1" shrinkToFit="1"/>
    </xf>
    <xf numFmtId="0" fontId="13" fillId="0" borderId="26" xfId="1" applyNumberFormat="1" applyFont="1" applyBorder="1" applyAlignment="1">
      <alignment horizontal="left" vertical="top" shrinkToFit="1"/>
    </xf>
    <xf numFmtId="0" fontId="42" fillId="0" borderId="1" xfId="0" applyFont="1" applyBorder="1" applyAlignment="1">
      <alignment horizontal="right" vertical="center" shrinkToFit="1"/>
    </xf>
    <xf numFmtId="0" fontId="42" fillId="11" borderId="1" xfId="0" applyFont="1" applyFill="1" applyBorder="1" applyAlignment="1">
      <alignment horizontal="center" vertical="center" shrinkToFit="1"/>
    </xf>
    <xf numFmtId="0" fontId="42" fillId="11" borderId="1" xfId="0" applyFont="1" applyFill="1" applyBorder="1" applyAlignment="1">
      <alignment horizontal="center" vertical="top" shrinkToFit="1"/>
    </xf>
    <xf numFmtId="0" fontId="42" fillId="11" borderId="1" xfId="0" applyFont="1" applyFill="1" applyBorder="1" applyAlignment="1">
      <alignment horizontal="center" vertical="center" wrapText="1"/>
    </xf>
    <xf numFmtId="0" fontId="16" fillId="0" borderId="0" xfId="1" applyNumberFormat="1" applyFont="1" applyBorder="1" applyAlignment="1">
      <alignment horizontal="left" vertical="top" shrinkToFit="1"/>
    </xf>
    <xf numFmtId="43" fontId="31" fillId="11" borderId="5" xfId="1" applyFont="1" applyFill="1" applyBorder="1" applyAlignment="1">
      <alignment horizontal="center" vertical="center" shrinkToFit="1"/>
    </xf>
    <xf numFmtId="43" fontId="31" fillId="11" borderId="15" xfId="1" applyFont="1" applyFill="1" applyBorder="1" applyAlignment="1">
      <alignment horizontal="center" vertical="center" shrinkToFit="1"/>
    </xf>
    <xf numFmtId="43" fontId="31" fillId="11" borderId="7" xfId="1" applyFont="1" applyFill="1" applyBorder="1" applyAlignment="1">
      <alignment horizontal="center" vertical="center" shrinkToFit="1"/>
    </xf>
    <xf numFmtId="0" fontId="42" fillId="0" borderId="1" xfId="0" applyFont="1" applyFill="1" applyBorder="1" applyAlignment="1">
      <alignment horizontal="right" vertical="top"/>
    </xf>
    <xf numFmtId="43" fontId="42" fillId="14" borderId="9" xfId="1" applyFont="1" applyFill="1" applyBorder="1" applyAlignment="1">
      <alignment horizontal="center" vertical="center"/>
    </xf>
    <xf numFmtId="43" fontId="42" fillId="14" borderId="4" xfId="1" applyFont="1" applyFill="1" applyBorder="1" applyAlignment="1">
      <alignment horizontal="center" vertical="center"/>
    </xf>
    <xf numFmtId="0" fontId="41" fillId="0" borderId="5" xfId="0" applyFont="1" applyFill="1" applyBorder="1" applyAlignment="1">
      <alignment horizontal="left" vertical="top" wrapText="1"/>
    </xf>
    <xf numFmtId="0" fontId="41" fillId="0" borderId="15" xfId="0" applyFont="1" applyFill="1" applyBorder="1" applyAlignment="1">
      <alignment horizontal="left" vertical="top" wrapText="1"/>
    </xf>
    <xf numFmtId="0" fontId="41" fillId="0" borderId="7" xfId="0" applyFont="1" applyFill="1" applyBorder="1" applyAlignment="1">
      <alignment horizontal="left" vertical="top" wrapText="1"/>
    </xf>
    <xf numFmtId="0" fontId="48" fillId="0" borderId="0" xfId="0" applyFont="1" applyFill="1" applyAlignment="1">
      <alignment horizontal="center" vertical="top"/>
    </xf>
    <xf numFmtId="43" fontId="48" fillId="0" borderId="27" xfId="0" applyNumberFormat="1" applyFont="1" applyFill="1" applyBorder="1" applyAlignment="1">
      <alignment horizontal="center" vertical="top"/>
    </xf>
    <xf numFmtId="0" fontId="48" fillId="0" borderId="27" xfId="0" applyFont="1" applyFill="1" applyBorder="1" applyAlignment="1">
      <alignment horizontal="center" vertical="top"/>
    </xf>
    <xf numFmtId="0" fontId="42" fillId="14" borderId="9" xfId="0" applyFont="1" applyFill="1" applyBorder="1" applyAlignment="1">
      <alignment horizontal="center" vertical="center"/>
    </xf>
    <xf numFmtId="0" fontId="42" fillId="14" borderId="4" xfId="0" applyFont="1" applyFill="1" applyBorder="1" applyAlignment="1">
      <alignment horizontal="center" vertical="center"/>
    </xf>
    <xf numFmtId="0" fontId="42" fillId="14" borderId="9" xfId="0" applyFont="1" applyFill="1" applyBorder="1" applyAlignment="1">
      <alignment horizontal="center" vertical="top"/>
    </xf>
    <xf numFmtId="0" fontId="42" fillId="14" borderId="4" xfId="0" applyFont="1" applyFill="1" applyBorder="1" applyAlignment="1">
      <alignment horizontal="center" vertical="top"/>
    </xf>
    <xf numFmtId="49" fontId="42" fillId="14" borderId="9" xfId="0" applyNumberFormat="1" applyFont="1" applyFill="1" applyBorder="1" applyAlignment="1">
      <alignment horizontal="center" vertical="top"/>
    </xf>
    <xf numFmtId="49" fontId="42" fillId="14" borderId="4" xfId="0" applyNumberFormat="1" applyFont="1" applyFill="1" applyBorder="1" applyAlignment="1">
      <alignment horizontal="center" vertical="top"/>
    </xf>
    <xf numFmtId="0" fontId="42" fillId="14" borderId="9" xfId="0" applyFont="1" applyFill="1" applyBorder="1" applyAlignment="1">
      <alignment horizontal="center" vertical="center" wrapText="1"/>
    </xf>
    <xf numFmtId="0" fontId="42" fillId="14" borderId="4" xfId="0" applyFont="1" applyFill="1" applyBorder="1" applyAlignment="1">
      <alignment horizontal="center" vertical="center" wrapText="1"/>
    </xf>
    <xf numFmtId="0" fontId="48" fillId="0" borderId="5" xfId="0" applyFont="1" applyFill="1" applyBorder="1" applyAlignment="1">
      <alignment horizontal="right" vertical="center"/>
    </xf>
    <xf numFmtId="0" fontId="48" fillId="0" borderId="15" xfId="0" applyFont="1" applyFill="1" applyBorder="1" applyAlignment="1">
      <alignment horizontal="right" vertical="center"/>
    </xf>
    <xf numFmtId="0" fontId="48" fillId="0" borderId="7" xfId="0" applyFont="1" applyFill="1" applyBorder="1" applyAlignment="1">
      <alignment horizontal="right" vertical="center"/>
    </xf>
    <xf numFmtId="0" fontId="42" fillId="0" borderId="9" xfId="0" applyFont="1" applyFill="1" applyBorder="1" applyAlignment="1">
      <alignment horizontal="center" vertical="center"/>
    </xf>
    <xf numFmtId="0" fontId="42" fillId="0" borderId="4" xfId="0" applyFont="1" applyFill="1" applyBorder="1" applyAlignment="1">
      <alignment horizontal="center" vertical="center"/>
    </xf>
    <xf numFmtId="43" fontId="42" fillId="0" borderId="9" xfId="1" applyFont="1" applyFill="1" applyBorder="1" applyAlignment="1">
      <alignment horizontal="center" vertical="center"/>
    </xf>
    <xf numFmtId="43" fontId="42" fillId="0" borderId="4" xfId="1" applyFont="1" applyFill="1" applyBorder="1" applyAlignment="1">
      <alignment horizontal="center" vertical="center"/>
    </xf>
    <xf numFmtId="0" fontId="42" fillId="0" borderId="5" xfId="0" applyFont="1" applyFill="1" applyBorder="1" applyAlignment="1">
      <alignment horizontal="right" vertical="center"/>
    </xf>
    <xf numFmtId="0" fontId="42" fillId="0" borderId="15" xfId="0" applyFont="1" applyFill="1" applyBorder="1" applyAlignment="1">
      <alignment horizontal="right" vertical="center"/>
    </xf>
    <xf numFmtId="0" fontId="42" fillId="0" borderId="7" xfId="0" applyFont="1" applyFill="1" applyBorder="1" applyAlignment="1">
      <alignment horizontal="right" vertical="center"/>
    </xf>
    <xf numFmtId="0" fontId="48" fillId="0" borderId="0" xfId="0" applyFont="1" applyFill="1" applyAlignment="1">
      <alignment horizontal="center"/>
    </xf>
    <xf numFmtId="0" fontId="48" fillId="0" borderId="27" xfId="0" applyFont="1" applyFill="1" applyBorder="1" applyAlignment="1">
      <alignment horizontal="center"/>
    </xf>
    <xf numFmtId="0" fontId="42" fillId="0" borderId="5" xfId="0" applyFont="1" applyFill="1" applyBorder="1" applyAlignment="1">
      <alignment horizontal="right" vertical="top"/>
    </xf>
    <xf numFmtId="0" fontId="42" fillId="0" borderId="15" xfId="0" applyFont="1" applyFill="1" applyBorder="1" applyAlignment="1">
      <alignment horizontal="right" vertical="top"/>
    </xf>
    <xf numFmtId="0" fontId="42" fillId="0" borderId="7" xfId="0" applyFont="1" applyFill="1" applyBorder="1" applyAlignment="1">
      <alignment horizontal="right" vertical="top"/>
    </xf>
    <xf numFmtId="0" fontId="42" fillId="0" borderId="0" xfId="0" applyFont="1" applyFill="1" applyAlignment="1">
      <alignment horizontal="center"/>
    </xf>
    <xf numFmtId="0" fontId="42" fillId="0" borderId="27" xfId="0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" vertical="center"/>
    </xf>
    <xf numFmtId="49" fontId="42" fillId="0" borderId="1" xfId="0" applyNumberFormat="1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/>
    </xf>
    <xf numFmtId="43" fontId="13" fillId="0" borderId="27" xfId="0" applyNumberFormat="1" applyFont="1" applyFill="1" applyBorder="1" applyAlignment="1">
      <alignment horizontal="center" vertical="center"/>
    </xf>
    <xf numFmtId="0" fontId="15" fillId="6" borderId="36" xfId="0" applyFont="1" applyFill="1" applyBorder="1" applyAlignment="1">
      <alignment horizontal="center" vertical="center" shrinkToFit="1"/>
    </xf>
    <xf numFmtId="0" fontId="15" fillId="6" borderId="37" xfId="0" applyFont="1" applyFill="1" applyBorder="1" applyAlignment="1">
      <alignment horizontal="center" vertical="center" shrinkToFit="1"/>
    </xf>
    <xf numFmtId="0" fontId="15" fillId="6" borderId="38" xfId="0" applyFont="1" applyFill="1" applyBorder="1" applyAlignment="1">
      <alignment horizontal="center" vertical="center" shrinkToFit="1"/>
    </xf>
    <xf numFmtId="0" fontId="102" fillId="6" borderId="1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left" vertical="center" shrinkToFit="1"/>
    </xf>
    <xf numFmtId="0" fontId="25" fillId="0" borderId="7" xfId="0" applyFont="1" applyFill="1" applyBorder="1" applyAlignment="1">
      <alignment horizontal="left" vertical="center" shrinkToFit="1"/>
    </xf>
    <xf numFmtId="0" fontId="17" fillId="5" borderId="32" xfId="0" applyFont="1" applyFill="1" applyBorder="1" applyAlignment="1">
      <alignment horizontal="center" vertical="center" shrinkToFit="1"/>
    </xf>
    <xf numFmtId="0" fontId="17" fillId="5" borderId="33" xfId="0" applyFont="1" applyFill="1" applyBorder="1" applyAlignment="1">
      <alignment horizontal="center" vertical="center" shrinkToFit="1"/>
    </xf>
    <xf numFmtId="0" fontId="17" fillId="5" borderId="34" xfId="0" applyFont="1" applyFill="1" applyBorder="1" applyAlignment="1">
      <alignment horizontal="center" vertical="center" shrinkToFit="1"/>
    </xf>
    <xf numFmtId="43" fontId="19" fillId="5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16" fillId="4" borderId="44" xfId="0" applyFont="1" applyFill="1" applyBorder="1" applyAlignment="1">
      <alignment horizontal="center" vertical="center"/>
    </xf>
    <xf numFmtId="0" fontId="16" fillId="4" borderId="45" xfId="0" applyFont="1" applyFill="1" applyBorder="1" applyAlignment="1">
      <alignment horizontal="center" vertical="center"/>
    </xf>
    <xf numFmtId="0" fontId="16" fillId="4" borderId="46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/>
    </xf>
    <xf numFmtId="43" fontId="15" fillId="0" borderId="0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43" fontId="15" fillId="0" borderId="27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shrinkToFit="1"/>
    </xf>
    <xf numFmtId="0" fontId="16" fillId="4" borderId="32" xfId="0" applyFont="1" applyFill="1" applyBorder="1" applyAlignment="1">
      <alignment horizontal="center" vertical="center"/>
    </xf>
    <xf numFmtId="0" fontId="16" fillId="4" borderId="33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shrinkToFit="1"/>
    </xf>
    <xf numFmtId="0" fontId="45" fillId="0" borderId="25" xfId="0" applyFont="1" applyFill="1" applyBorder="1" applyAlignment="1">
      <alignment horizontal="left" shrinkToFit="1"/>
    </xf>
    <xf numFmtId="0" fontId="16" fillId="0" borderId="36" xfId="0" applyFont="1" applyFill="1" applyBorder="1" applyAlignment="1">
      <alignment horizontal="center" vertical="center" shrinkToFit="1"/>
    </xf>
    <xf numFmtId="0" fontId="16" fillId="0" borderId="37" xfId="0" applyFont="1" applyFill="1" applyBorder="1" applyAlignment="1">
      <alignment horizontal="center" vertical="center" shrinkToFit="1"/>
    </xf>
    <xf numFmtId="0" fontId="16" fillId="0" borderId="38" xfId="0" applyFont="1" applyFill="1" applyBorder="1" applyAlignment="1">
      <alignment horizontal="center" vertical="center" shrinkToFit="1"/>
    </xf>
    <xf numFmtId="43" fontId="15" fillId="4" borderId="1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/>
    </xf>
    <xf numFmtId="0" fontId="16" fillId="0" borderId="10" xfId="0" applyFont="1" applyFill="1" applyBorder="1" applyAlignment="1">
      <alignment horizontal="right" vertical="center"/>
    </xf>
    <xf numFmtId="0" fontId="16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shrinkToFit="1"/>
    </xf>
    <xf numFmtId="43" fontId="105" fillId="4" borderId="20" xfId="0" applyNumberFormat="1" applyFont="1" applyFill="1" applyBorder="1" applyAlignment="1">
      <alignment horizontal="center" vertical="center"/>
    </xf>
    <xf numFmtId="43" fontId="105" fillId="4" borderId="1" xfId="0" applyNumberFormat="1" applyFont="1" applyFill="1" applyBorder="1" applyAlignment="1">
      <alignment horizontal="center" vertical="center"/>
    </xf>
    <xf numFmtId="43" fontId="105" fillId="4" borderId="18" xfId="0" applyNumberFormat="1" applyFont="1" applyFill="1" applyBorder="1" applyAlignment="1">
      <alignment horizontal="center" vertical="center"/>
    </xf>
    <xf numFmtId="43" fontId="105" fillId="4" borderId="7" xfId="0" applyNumberFormat="1" applyFont="1" applyFill="1" applyBorder="1" applyAlignment="1">
      <alignment horizontal="center" vertical="center"/>
    </xf>
    <xf numFmtId="0" fontId="21" fillId="8" borderId="21" xfId="0" applyFont="1" applyFill="1" applyBorder="1" applyAlignment="1">
      <alignment horizontal="center" vertical="center" shrinkToFit="1"/>
    </xf>
    <xf numFmtId="0" fontId="15" fillId="8" borderId="41" xfId="0" applyFont="1" applyFill="1" applyBorder="1" applyAlignment="1">
      <alignment horizontal="right" vertical="center" shrinkToFit="1"/>
    </xf>
    <xf numFmtId="0" fontId="15" fillId="8" borderId="42" xfId="0" applyFont="1" applyFill="1" applyBorder="1" applyAlignment="1">
      <alignment horizontal="right" vertical="center" shrinkToFit="1"/>
    </xf>
    <xf numFmtId="0" fontId="15" fillId="8" borderId="43" xfId="0" applyFont="1" applyFill="1" applyBorder="1" applyAlignment="1">
      <alignment horizontal="right" vertical="center" shrinkToFit="1"/>
    </xf>
    <xf numFmtId="0" fontId="105" fillId="4" borderId="1" xfId="0" applyFont="1" applyFill="1" applyBorder="1" applyAlignment="1">
      <alignment horizontal="center" vertical="center"/>
    </xf>
    <xf numFmtId="43" fontId="105" fillId="4" borderId="5" xfId="0" applyNumberFormat="1" applyFont="1" applyFill="1" applyBorder="1" applyAlignment="1">
      <alignment horizontal="center" vertical="center"/>
    </xf>
    <xf numFmtId="43" fontId="105" fillId="4" borderId="15" xfId="0" applyNumberFormat="1" applyFont="1" applyFill="1" applyBorder="1" applyAlignment="1">
      <alignment horizontal="center" vertical="center"/>
    </xf>
    <xf numFmtId="43" fontId="105" fillId="4" borderId="3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left" shrinkToFi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42" fillId="0" borderId="1" xfId="0" applyFont="1" applyFill="1" applyBorder="1" applyAlignment="1">
      <alignment horizontal="right" vertical="center" shrinkToFit="1"/>
    </xf>
    <xf numFmtId="0" fontId="50" fillId="0" borderId="0" xfId="0" applyFont="1" applyFill="1" applyAlignment="1">
      <alignment horizontal="center" vertical="center"/>
    </xf>
    <xf numFmtId="0" fontId="42" fillId="0" borderId="5" xfId="0" applyFont="1" applyFill="1" applyBorder="1" applyAlignment="1">
      <alignment horizontal="left" vertical="center"/>
    </xf>
    <xf numFmtId="0" fontId="42" fillId="0" borderId="7" xfId="0" applyFont="1" applyFill="1" applyBorder="1" applyAlignment="1">
      <alignment horizontal="left" vertical="center"/>
    </xf>
    <xf numFmtId="0" fontId="16" fillId="0" borderId="5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4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43" fontId="50" fillId="0" borderId="27" xfId="0" applyNumberFormat="1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43" fontId="7" fillId="0" borderId="0" xfId="1" applyFont="1" applyFill="1" applyAlignment="1">
      <alignment horizontal="center" vertical="center"/>
    </xf>
    <xf numFmtId="43" fontId="7" fillId="0" borderId="27" xfId="1" applyFont="1" applyFill="1" applyBorder="1" applyAlignment="1">
      <alignment horizontal="center" vertical="center"/>
    </xf>
    <xf numFmtId="43" fontId="6" fillId="0" borderId="5" xfId="1" applyFont="1" applyFill="1" applyBorder="1" applyAlignment="1">
      <alignment horizontal="right" vertical="center" shrinkToFit="1"/>
    </xf>
    <xf numFmtId="43" fontId="6" fillId="0" borderId="15" xfId="1" applyFont="1" applyFill="1" applyBorder="1" applyAlignment="1">
      <alignment horizontal="right" vertical="center" shrinkToFit="1"/>
    </xf>
    <xf numFmtId="43" fontId="6" fillId="0" borderId="7" xfId="1" applyFont="1" applyFill="1" applyBorder="1" applyAlignment="1">
      <alignment horizontal="right" vertical="center" shrinkToFit="1"/>
    </xf>
    <xf numFmtId="43" fontId="26" fillId="0" borderId="5" xfId="1" applyFont="1" applyFill="1" applyBorder="1" applyAlignment="1">
      <alignment horizontal="right" vertical="center" shrinkToFit="1"/>
    </xf>
    <xf numFmtId="43" fontId="26" fillId="0" borderId="15" xfId="1" applyFont="1" applyFill="1" applyBorder="1" applyAlignment="1">
      <alignment horizontal="right" vertical="center" shrinkToFit="1"/>
    </xf>
    <xf numFmtId="43" fontId="26" fillId="0" borderId="7" xfId="1" applyFont="1" applyFill="1" applyBorder="1" applyAlignment="1">
      <alignment horizontal="right" vertical="center" shrinkToFit="1"/>
    </xf>
    <xf numFmtId="188" fontId="6" fillId="0" borderId="5" xfId="1" applyNumberFormat="1" applyFont="1" applyFill="1" applyBorder="1" applyAlignment="1">
      <alignment horizontal="right" vertical="center"/>
    </xf>
    <xf numFmtId="188" fontId="6" fillId="0" borderId="15" xfId="1" applyNumberFormat="1" applyFont="1" applyFill="1" applyBorder="1" applyAlignment="1">
      <alignment horizontal="right" vertical="center"/>
    </xf>
    <xf numFmtId="188" fontId="6" fillId="0" borderId="7" xfId="1" applyNumberFormat="1" applyFont="1" applyFill="1" applyBorder="1" applyAlignment="1">
      <alignment horizontal="right" vertical="center"/>
    </xf>
    <xf numFmtId="43" fontId="15" fillId="0" borderId="4" xfId="1" applyNumberFormat="1" applyFont="1" applyFill="1" applyBorder="1" applyAlignment="1">
      <alignment horizontal="center" vertical="center"/>
    </xf>
    <xf numFmtId="0" fontId="15" fillId="0" borderId="4" xfId="1" applyNumberFormat="1" applyFont="1" applyFill="1" applyBorder="1" applyAlignment="1">
      <alignment horizontal="center" vertical="center"/>
    </xf>
    <xf numFmtId="0" fontId="48" fillId="0" borderId="27" xfId="0" applyNumberFormat="1" applyFont="1" applyFill="1" applyBorder="1" applyAlignment="1">
      <alignment horizontal="left" vertical="center"/>
    </xf>
    <xf numFmtId="0" fontId="50" fillId="9" borderId="1" xfId="0" applyFont="1" applyFill="1" applyBorder="1" applyAlignment="1">
      <alignment horizontal="center" vertical="center" shrinkToFit="1"/>
    </xf>
    <xf numFmtId="0" fontId="48" fillId="7" borderId="1" xfId="0" applyFont="1" applyFill="1" applyBorder="1" applyAlignment="1">
      <alignment horizontal="center" vertical="center" shrinkToFit="1"/>
    </xf>
    <xf numFmtId="43" fontId="63" fillId="0" borderId="0" xfId="1" applyFont="1" applyBorder="1" applyAlignment="1">
      <alignment horizontal="center"/>
    </xf>
    <xf numFmtId="0" fontId="36" fillId="0" borderId="0" xfId="0" applyFont="1" applyFill="1" applyAlignment="1">
      <alignment horizontal="center" vertical="center"/>
    </xf>
    <xf numFmtId="0" fontId="15" fillId="0" borderId="6" xfId="1" applyNumberFormat="1" applyFont="1" applyFill="1" applyBorder="1" applyAlignment="1">
      <alignment horizontal="left" vertical="center"/>
    </xf>
    <xf numFmtId="0" fontId="15" fillId="0" borderId="26" xfId="1" applyNumberFormat="1" applyFont="1" applyFill="1" applyBorder="1" applyAlignment="1">
      <alignment horizontal="left" vertical="center"/>
    </xf>
    <xf numFmtId="0" fontId="15" fillId="0" borderId="8" xfId="1" applyNumberFormat="1" applyFont="1" applyFill="1" applyBorder="1" applyAlignment="1">
      <alignment horizontal="left" vertical="center"/>
    </xf>
    <xf numFmtId="43" fontId="13" fillId="0" borderId="1" xfId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43" fontId="50" fillId="0" borderId="0" xfId="0" applyNumberFormat="1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43" fontId="49" fillId="0" borderId="27" xfId="0" applyNumberFormat="1" applyFont="1" applyFill="1" applyBorder="1" applyAlignment="1">
      <alignment horizontal="center" vertical="center"/>
    </xf>
    <xf numFmtId="0" fontId="49" fillId="0" borderId="0" xfId="0" applyFont="1" applyFill="1" applyAlignment="1">
      <alignment horizontal="center" vertical="center"/>
    </xf>
    <xf numFmtId="0" fontId="48" fillId="7" borderId="1" xfId="0" applyFont="1" applyFill="1" applyBorder="1" applyAlignment="1">
      <alignment horizontal="center" vertical="center"/>
    </xf>
    <xf numFmtId="43" fontId="49" fillId="0" borderId="0" xfId="0" applyNumberFormat="1" applyFont="1" applyFill="1" applyAlignment="1">
      <alignment horizontal="center" vertical="center"/>
    </xf>
    <xf numFmtId="43" fontId="63" fillId="0" borderId="0" xfId="1" applyFont="1" applyAlignment="1">
      <alignment horizontal="center"/>
    </xf>
    <xf numFmtId="0" fontId="48" fillId="0" borderId="1" xfId="0" applyFont="1" applyFill="1" applyBorder="1" applyAlignment="1">
      <alignment horizontal="center" vertical="center" wrapText="1"/>
    </xf>
    <xf numFmtId="43" fontId="50" fillId="0" borderId="0" xfId="1" applyFont="1" applyBorder="1" applyAlignment="1">
      <alignment horizontal="center"/>
    </xf>
    <xf numFmtId="0" fontId="42" fillId="7" borderId="1" xfId="0" applyFont="1" applyFill="1" applyBorder="1" applyAlignment="1">
      <alignment horizontal="center" vertical="center"/>
    </xf>
    <xf numFmtId="0" fontId="56" fillId="0" borderId="5" xfId="0" applyFont="1" applyFill="1" applyBorder="1" applyAlignment="1">
      <alignment horizontal="right" vertical="center"/>
    </xf>
    <xf numFmtId="0" fontId="56" fillId="0" borderId="15" xfId="0" applyFont="1" applyFill="1" applyBorder="1" applyAlignment="1">
      <alignment horizontal="right" vertical="center"/>
    </xf>
    <xf numFmtId="0" fontId="56" fillId="0" borderId="7" xfId="0" applyFont="1" applyFill="1" applyBorder="1" applyAlignment="1">
      <alignment horizontal="right" vertical="center"/>
    </xf>
    <xf numFmtId="0" fontId="14" fillId="0" borderId="15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48" fillId="0" borderId="1" xfId="0" applyFont="1" applyFill="1" applyBorder="1" applyAlignment="1">
      <alignment horizontal="right" vertical="center"/>
    </xf>
    <xf numFmtId="0" fontId="41" fillId="0" borderId="26" xfId="0" applyFont="1" applyFill="1" applyBorder="1" applyAlignment="1">
      <alignment horizontal="left" vertical="center" wrapText="1"/>
    </xf>
    <xf numFmtId="0" fontId="41" fillId="0" borderId="8" xfId="0" applyFont="1" applyFill="1" applyBorder="1" applyAlignment="1">
      <alignment horizontal="left" vertical="center" wrapText="1"/>
    </xf>
    <xf numFmtId="0" fontId="41" fillId="0" borderId="15" xfId="0" applyFont="1" applyFill="1" applyBorder="1" applyAlignment="1">
      <alignment horizontal="left" vertical="center" shrinkToFit="1"/>
    </xf>
    <xf numFmtId="0" fontId="41" fillId="0" borderId="7" xfId="0" applyFont="1" applyFill="1" applyBorder="1" applyAlignment="1">
      <alignment horizontal="left" vertical="center" shrinkToFit="1"/>
    </xf>
    <xf numFmtId="0" fontId="9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43" fontId="9" fillId="0" borderId="0" xfId="0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43" fontId="19" fillId="4" borderId="5" xfId="0" applyNumberFormat="1" applyFont="1" applyFill="1" applyBorder="1" applyAlignment="1">
      <alignment horizontal="center" vertical="center"/>
    </xf>
    <xf numFmtId="43" fontId="19" fillId="4" borderId="15" xfId="0" applyNumberFormat="1" applyFont="1" applyFill="1" applyBorder="1" applyAlignment="1">
      <alignment horizontal="center" vertical="center"/>
    </xf>
    <xf numFmtId="43" fontId="19" fillId="4" borderId="31" xfId="0" applyNumberFormat="1" applyFont="1" applyFill="1" applyBorder="1" applyAlignment="1">
      <alignment horizontal="center" vertical="center"/>
    </xf>
    <xf numFmtId="43" fontId="19" fillId="4" borderId="20" xfId="0" applyNumberFormat="1" applyFont="1" applyFill="1" applyBorder="1" applyAlignment="1">
      <alignment horizontal="center" vertical="center"/>
    </xf>
    <xf numFmtId="43" fontId="19" fillId="4" borderId="1" xfId="0" applyNumberFormat="1" applyFont="1" applyFill="1" applyBorder="1" applyAlignment="1">
      <alignment horizontal="center" vertical="center"/>
    </xf>
    <xf numFmtId="43" fontId="19" fillId="4" borderId="18" xfId="0" applyNumberFormat="1" applyFont="1" applyFill="1" applyBorder="1" applyAlignment="1">
      <alignment horizontal="center" vertical="center"/>
    </xf>
    <xf numFmtId="43" fontId="20" fillId="4" borderId="7" xfId="0" applyNumberFormat="1" applyFont="1" applyFill="1" applyBorder="1" applyAlignment="1">
      <alignment horizontal="center" vertical="center"/>
    </xf>
    <xf numFmtId="43" fontId="20" fillId="4" borderId="1" xfId="0" applyNumberFormat="1" applyFont="1" applyFill="1" applyBorder="1" applyAlignment="1">
      <alignment horizontal="center" vertical="center"/>
    </xf>
    <xf numFmtId="0" fontId="49" fillId="0" borderId="0" xfId="0" applyFont="1" applyFill="1" applyAlignment="1">
      <alignment horizontal="left" vertical="center" shrinkToFit="1"/>
    </xf>
    <xf numFmtId="0" fontId="48" fillId="0" borderId="7" xfId="0" applyFont="1" applyFill="1" applyBorder="1" applyAlignment="1">
      <alignment horizontal="left" vertical="center"/>
    </xf>
    <xf numFmtId="0" fontId="48" fillId="5" borderId="9" xfId="0" applyFont="1" applyFill="1" applyBorder="1" applyAlignment="1">
      <alignment horizontal="center" vertical="center"/>
    </xf>
    <xf numFmtId="0" fontId="48" fillId="5" borderId="11" xfId="0" applyFont="1" applyFill="1" applyBorder="1" applyAlignment="1">
      <alignment horizontal="center" vertical="center"/>
    </xf>
    <xf numFmtId="0" fontId="48" fillId="5" borderId="4" xfId="0" applyFont="1" applyFill="1" applyBorder="1" applyAlignment="1">
      <alignment horizontal="center" vertical="center"/>
    </xf>
    <xf numFmtId="0" fontId="48" fillId="5" borderId="1" xfId="0" applyFont="1" applyFill="1" applyBorder="1" applyAlignment="1">
      <alignment horizontal="center" vertical="center" shrinkToFit="1"/>
    </xf>
    <xf numFmtId="0" fontId="48" fillId="5" borderId="6" xfId="0" applyFont="1" applyFill="1" applyBorder="1" applyAlignment="1">
      <alignment horizontal="center" vertical="center"/>
    </xf>
    <xf numFmtId="0" fontId="48" fillId="5" borderId="26" xfId="0" applyFont="1" applyFill="1" applyBorder="1" applyAlignment="1">
      <alignment horizontal="center" vertical="center"/>
    </xf>
    <xf numFmtId="0" fontId="48" fillId="5" borderId="8" xfId="0" applyFont="1" applyFill="1" applyBorder="1" applyAlignment="1">
      <alignment horizontal="center" vertical="center"/>
    </xf>
    <xf numFmtId="43" fontId="93" fillId="0" borderId="27" xfId="1" applyFont="1" applyBorder="1" applyAlignment="1">
      <alignment horizontal="center"/>
    </xf>
    <xf numFmtId="0" fontId="55" fillId="0" borderId="0" xfId="0" applyFont="1" applyAlignment="1">
      <alignment horizontal="center"/>
    </xf>
    <xf numFmtId="0" fontId="55" fillId="0" borderId="27" xfId="0" applyFont="1" applyBorder="1" applyAlignment="1">
      <alignment horizontal="center"/>
    </xf>
    <xf numFmtId="0" fontId="60" fillId="0" borderId="5" xfId="0" applyFont="1" applyBorder="1" applyAlignment="1">
      <alignment horizontal="right" vertical="top"/>
    </xf>
    <xf numFmtId="0" fontId="60" fillId="0" borderId="15" xfId="0" applyFont="1" applyBorder="1" applyAlignment="1">
      <alignment horizontal="right" vertical="top"/>
    </xf>
    <xf numFmtId="0" fontId="60" fillId="0" borderId="7" xfId="0" applyFont="1" applyBorder="1" applyAlignment="1">
      <alignment horizontal="right" vertical="top"/>
    </xf>
    <xf numFmtId="0" fontId="61" fillId="0" borderId="0" xfId="0" applyFont="1" applyAlignment="1">
      <alignment horizontal="center"/>
    </xf>
    <xf numFmtId="0" fontId="61" fillId="0" borderId="27" xfId="0" applyFont="1" applyBorder="1" applyAlignment="1">
      <alignment horizontal="center"/>
    </xf>
    <xf numFmtId="0" fontId="60" fillId="0" borderId="1" xfId="0" applyFont="1" applyBorder="1" applyAlignment="1">
      <alignment horizontal="center" vertical="center"/>
    </xf>
    <xf numFmtId="49" fontId="60" fillId="0" borderId="1" xfId="0" applyNumberFormat="1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center" wrapText="1" shrinkToFit="1"/>
    </xf>
    <xf numFmtId="0" fontId="60" fillId="0" borderId="9" xfId="0" applyFont="1" applyBorder="1" applyAlignment="1">
      <alignment horizontal="center" vertical="center"/>
    </xf>
    <xf numFmtId="0" fontId="60" fillId="0" borderId="4" xfId="0" applyFont="1" applyBorder="1" applyAlignment="1">
      <alignment horizontal="center" vertical="center"/>
    </xf>
    <xf numFmtId="0" fontId="61" fillId="0" borderId="5" xfId="0" applyFont="1" applyBorder="1" applyAlignment="1">
      <alignment horizontal="right" vertical="top"/>
    </xf>
    <xf numFmtId="0" fontId="61" fillId="0" borderId="15" xfId="0" applyFont="1" applyBorder="1" applyAlignment="1">
      <alignment horizontal="right" vertical="top"/>
    </xf>
    <xf numFmtId="0" fontId="61" fillId="0" borderId="7" xfId="0" applyFont="1" applyBorder="1" applyAlignment="1">
      <alignment horizontal="right" vertical="top"/>
    </xf>
    <xf numFmtId="43" fontId="69" fillId="0" borderId="27" xfId="1" applyFont="1" applyFill="1" applyBorder="1" applyAlignment="1">
      <alignment horizontal="center" vertical="center" shrinkToFit="1"/>
    </xf>
    <xf numFmtId="0" fontId="70" fillId="0" borderId="1" xfId="1" applyNumberFormat="1" applyFont="1" applyFill="1" applyBorder="1" applyAlignment="1">
      <alignment horizontal="center" vertical="center" shrinkToFit="1"/>
    </xf>
    <xf numFmtId="43" fontId="70" fillId="0" borderId="1" xfId="1" applyFont="1" applyFill="1" applyBorder="1" applyAlignment="1">
      <alignment horizontal="center" vertical="center" shrinkToFit="1"/>
    </xf>
    <xf numFmtId="43" fontId="70" fillId="0" borderId="1" xfId="1" applyFont="1" applyFill="1" applyBorder="1" applyAlignment="1">
      <alignment horizontal="left" vertical="center" shrinkToFit="1"/>
    </xf>
    <xf numFmtId="43" fontId="71" fillId="0" borderId="1" xfId="1" applyFont="1" applyFill="1" applyBorder="1" applyAlignment="1">
      <alignment horizontal="left" vertical="center" shrinkToFit="1"/>
    </xf>
    <xf numFmtId="0" fontId="70" fillId="0" borderId="1" xfId="1" applyNumberFormat="1" applyFont="1" applyFill="1" applyBorder="1" applyAlignment="1">
      <alignment horizontal="center" vertical="center"/>
    </xf>
    <xf numFmtId="0" fontId="76" fillId="0" borderId="1" xfId="1" applyNumberFormat="1" applyFont="1" applyFill="1" applyBorder="1" applyAlignment="1">
      <alignment horizontal="center" vertical="center"/>
    </xf>
    <xf numFmtId="0" fontId="76" fillId="0" borderId="1" xfId="1" applyNumberFormat="1" applyFont="1" applyFill="1" applyBorder="1" applyAlignment="1">
      <alignment horizontal="center" vertical="center" shrinkToFit="1"/>
    </xf>
    <xf numFmtId="0" fontId="70" fillId="0" borderId="13" xfId="1" applyNumberFormat="1" applyFont="1" applyFill="1" applyBorder="1" applyAlignment="1">
      <alignment horizontal="center" vertical="center"/>
    </xf>
    <xf numFmtId="0" fontId="70" fillId="0" borderId="30" xfId="1" applyNumberFormat="1" applyFont="1" applyFill="1" applyBorder="1" applyAlignment="1">
      <alignment horizontal="center" vertical="center"/>
    </xf>
    <xf numFmtId="0" fontId="70" fillId="0" borderId="11" xfId="1" applyNumberFormat="1" applyFont="1" applyFill="1" applyBorder="1" applyAlignment="1">
      <alignment horizontal="center" vertical="center" shrinkToFit="1"/>
    </xf>
    <xf numFmtId="43" fontId="61" fillId="0" borderId="5" xfId="1" applyFont="1" applyFill="1" applyBorder="1" applyAlignment="1">
      <alignment horizontal="center" vertical="top"/>
    </xf>
    <xf numFmtId="43" fontId="61" fillId="0" borderId="15" xfId="1" applyFont="1" applyFill="1" applyBorder="1" applyAlignment="1">
      <alignment horizontal="center" vertical="top"/>
    </xf>
    <xf numFmtId="43" fontId="61" fillId="0" borderId="7" xfId="1" applyFont="1" applyFill="1" applyBorder="1" applyAlignment="1">
      <alignment horizontal="center" vertical="top"/>
    </xf>
    <xf numFmtId="43" fontId="61" fillId="0" borderId="5" xfId="1" applyFont="1" applyFill="1" applyBorder="1" applyAlignment="1">
      <alignment horizontal="left" vertical="top" wrapText="1"/>
    </xf>
    <xf numFmtId="43" fontId="61" fillId="0" borderId="7" xfId="1" applyFont="1" applyFill="1" applyBorder="1" applyAlignment="1">
      <alignment horizontal="left" vertical="top" wrapText="1"/>
    </xf>
    <xf numFmtId="43" fontId="61" fillId="0" borderId="5" xfId="1" applyFont="1" applyFill="1" applyBorder="1" applyAlignment="1">
      <alignment horizontal="right" vertical="top"/>
    </xf>
    <xf numFmtId="43" fontId="61" fillId="0" borderId="15" xfId="1" applyFont="1" applyFill="1" applyBorder="1" applyAlignment="1">
      <alignment horizontal="right" vertical="top"/>
    </xf>
    <xf numFmtId="43" fontId="61" fillId="0" borderId="7" xfId="1" applyFont="1" applyFill="1" applyBorder="1" applyAlignment="1">
      <alignment horizontal="right" vertical="top"/>
    </xf>
    <xf numFmtId="43" fontId="96" fillId="0" borderId="0" xfId="1" applyFont="1" applyBorder="1" applyAlignment="1">
      <alignment horizontal="center" vertical="top"/>
    </xf>
    <xf numFmtId="43" fontId="96" fillId="0" borderId="27" xfId="1" applyFont="1" applyBorder="1" applyAlignment="1">
      <alignment horizontal="center" vertical="top"/>
    </xf>
    <xf numFmtId="0" fontId="61" fillId="0" borderId="6" xfId="1" applyNumberFormat="1" applyFont="1" applyFill="1" applyBorder="1" applyAlignment="1">
      <alignment horizontal="center" vertical="top"/>
    </xf>
    <xf numFmtId="0" fontId="61" fillId="0" borderId="29" xfId="1" applyNumberFormat="1" applyFont="1" applyFill="1" applyBorder="1" applyAlignment="1">
      <alignment horizontal="center" vertical="top"/>
    </xf>
    <xf numFmtId="43" fontId="61" fillId="0" borderId="1" xfId="1" applyFont="1" applyFill="1" applyBorder="1" applyAlignment="1">
      <alignment horizontal="center" vertical="center"/>
    </xf>
    <xf numFmtId="43" fontId="61" fillId="0" borderId="1" xfId="1" applyFont="1" applyFill="1" applyBorder="1" applyAlignment="1">
      <alignment horizontal="center" vertical="center" wrapText="1"/>
    </xf>
    <xf numFmtId="43" fontId="99" fillId="0" borderId="5" xfId="1" applyFont="1" applyFill="1" applyBorder="1" applyAlignment="1">
      <alignment horizontal="right" vertical="top"/>
    </xf>
    <xf numFmtId="43" fontId="99" fillId="0" borderId="15" xfId="1" applyFont="1" applyFill="1" applyBorder="1" applyAlignment="1">
      <alignment horizontal="right" vertical="top"/>
    </xf>
    <xf numFmtId="43" fontId="99" fillId="0" borderId="7" xfId="1" applyFont="1" applyFill="1" applyBorder="1" applyAlignment="1">
      <alignment horizontal="right" vertical="top"/>
    </xf>
    <xf numFmtId="43" fontId="61" fillId="0" borderId="0" xfId="1" applyFont="1" applyBorder="1" applyAlignment="1">
      <alignment horizontal="left" vertical="top" wrapText="1" shrinkToFit="1"/>
    </xf>
    <xf numFmtId="0" fontId="96" fillId="0" borderId="0" xfId="1" applyNumberFormat="1" applyFont="1" applyBorder="1" applyAlignment="1">
      <alignment horizontal="left" vertical="top" shrinkToFit="1"/>
    </xf>
    <xf numFmtId="43" fontId="99" fillId="10" borderId="5" xfId="1" applyFont="1" applyFill="1" applyBorder="1" applyAlignment="1">
      <alignment horizontal="center" vertical="top"/>
    </xf>
    <xf numFmtId="43" fontId="99" fillId="10" borderId="15" xfId="1" applyFont="1" applyFill="1" applyBorder="1" applyAlignment="1">
      <alignment horizontal="center" vertical="top"/>
    </xf>
    <xf numFmtId="43" fontId="99" fillId="10" borderId="7" xfId="1" applyFont="1" applyFill="1" applyBorder="1" applyAlignment="1">
      <alignment horizontal="center" vertical="top"/>
    </xf>
    <xf numFmtId="43" fontId="96" fillId="0" borderId="0" xfId="1" applyFont="1" applyBorder="1" applyAlignment="1">
      <alignment horizontal="left" vertical="top" wrapText="1" shrinkToFit="1"/>
    </xf>
    <xf numFmtId="0" fontId="60" fillId="0" borderId="5" xfId="0" applyFont="1" applyFill="1" applyBorder="1" applyAlignment="1">
      <alignment horizontal="right" vertical="top"/>
    </xf>
    <xf numFmtId="0" fontId="60" fillId="0" borderId="15" xfId="0" applyFont="1" applyFill="1" applyBorder="1" applyAlignment="1">
      <alignment horizontal="right" vertical="top"/>
    </xf>
    <xf numFmtId="0" fontId="60" fillId="0" borderId="7" xfId="0" applyFont="1" applyFill="1" applyBorder="1" applyAlignment="1">
      <alignment horizontal="right" vertical="top"/>
    </xf>
    <xf numFmtId="0" fontId="61" fillId="0" borderId="5" xfId="0" applyFont="1" applyFill="1" applyBorder="1" applyAlignment="1">
      <alignment horizontal="right" vertical="top"/>
    </xf>
    <xf numFmtId="0" fontId="61" fillId="0" borderId="15" xfId="0" applyFont="1" applyFill="1" applyBorder="1" applyAlignment="1">
      <alignment horizontal="right" vertical="top"/>
    </xf>
    <xf numFmtId="0" fontId="61" fillId="0" borderId="7" xfId="0" applyFont="1" applyFill="1" applyBorder="1" applyAlignment="1">
      <alignment horizontal="right" vertical="top"/>
    </xf>
    <xf numFmtId="43" fontId="60" fillId="0" borderId="9" xfId="1" applyFont="1" applyFill="1" applyBorder="1" applyAlignment="1">
      <alignment horizontal="center" vertical="center"/>
    </xf>
    <xf numFmtId="43" fontId="60" fillId="0" borderId="4" xfId="1" applyFont="1" applyFill="1" applyBorder="1" applyAlignment="1">
      <alignment horizontal="center" vertical="center"/>
    </xf>
    <xf numFmtId="0" fontId="60" fillId="0" borderId="0" xfId="0" applyFont="1" applyFill="1" applyAlignment="1">
      <alignment horizontal="center"/>
    </xf>
    <xf numFmtId="0" fontId="60" fillId="0" borderId="27" xfId="0" applyFont="1" applyFill="1" applyBorder="1" applyAlignment="1">
      <alignment horizontal="center"/>
    </xf>
    <xf numFmtId="0" fontId="61" fillId="0" borderId="0" xfId="0" applyFont="1" applyFill="1" applyAlignment="1">
      <alignment horizontal="center"/>
    </xf>
    <xf numFmtId="0" fontId="61" fillId="0" borderId="27" xfId="0" applyFont="1" applyFill="1" applyBorder="1" applyAlignment="1">
      <alignment horizontal="center"/>
    </xf>
    <xf numFmtId="0" fontId="60" fillId="0" borderId="1" xfId="0" applyFont="1" applyFill="1" applyBorder="1" applyAlignment="1">
      <alignment horizontal="center" vertical="center"/>
    </xf>
    <xf numFmtId="49" fontId="60" fillId="0" borderId="1" xfId="0" applyNumberFormat="1" applyFont="1" applyFill="1" applyBorder="1" applyAlignment="1">
      <alignment horizontal="center" vertical="center"/>
    </xf>
    <xf numFmtId="0" fontId="60" fillId="0" borderId="1" xfId="0" applyFont="1" applyFill="1" applyBorder="1" applyAlignment="1">
      <alignment horizontal="center" vertical="center" shrinkToFit="1"/>
    </xf>
    <xf numFmtId="0" fontId="60" fillId="0" borderId="9" xfId="0" applyFont="1" applyFill="1" applyBorder="1" applyAlignment="1">
      <alignment horizontal="center" vertical="center"/>
    </xf>
    <xf numFmtId="0" fontId="60" fillId="0" borderId="4" xfId="0" applyFont="1" applyFill="1" applyBorder="1" applyAlignment="1">
      <alignment horizontal="center" vertical="center"/>
    </xf>
  </cellXfs>
  <cellStyles count="4">
    <cellStyle name="Normal 2" xfId="2" xr:uid="{00000000-0005-0000-0000-000000000000}"/>
    <cellStyle name="จุลภาค" xfId="1" builtinId="3"/>
    <cellStyle name="ปกติ" xfId="0" builtinId="0"/>
    <cellStyle name="ปกติ 2" xfId="3" xr:uid="{00000000-0005-0000-0000-000003000000}"/>
  </cellStyles>
  <dxfs count="0"/>
  <tableStyles count="0" defaultTableStyle="TableStyleMedium9" defaultPivotStyle="PivotStyleLight16"/>
  <colors>
    <mruColors>
      <color rgb="FFFFFFCC"/>
      <color rgb="FFFFFF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84506851504243"/>
          <c:y val="4.3104357717997102E-2"/>
          <c:w val="0.77639512829043733"/>
          <c:h val="0.880533521508865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แผนภูมิแท่ง!$C$7</c:f>
              <c:strCache>
                <c:ptCount val="1"/>
                <c:pt idx="0">
                  <c:v>งบประมาณที่ได้รับ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8043771451645449E-2"/>
                  <c:y val="2.1881655626214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EA-40F7-BB65-F9246420114A}"/>
                </c:ext>
              </c:extLst>
            </c:dLbl>
            <c:dLbl>
              <c:idx val="1"/>
              <c:layout>
                <c:manualLayout>
                  <c:x val="1.5890213073311666E-2"/>
                  <c:y val="-3.31675045161344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EA-40F7-BB65-F9246420114A}"/>
                </c:ext>
              </c:extLst>
            </c:dLbl>
            <c:dLbl>
              <c:idx val="2"/>
              <c:layout>
                <c:manualLayout>
                  <c:x val="2.4557602022390761E-2"/>
                  <c:y val="-3.31675045161344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EA-40F7-BB65-F9246420114A}"/>
                </c:ext>
              </c:extLst>
            </c:dLbl>
            <c:dLbl>
              <c:idx val="3"/>
              <c:layout>
                <c:manualLayout>
                  <c:x val="2.3113037197544241E-2"/>
                  <c:y val="-1.6583752258067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EA-40F7-BB65-F9246420114A}"/>
                </c:ext>
              </c:extLst>
            </c:dLbl>
            <c:dLbl>
              <c:idx val="4"/>
              <c:layout>
                <c:manualLayout>
                  <c:x val="-2.5713278147923936E-2"/>
                  <c:y val="1.7582535138547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EA-40F7-BB65-F924642011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2460000" vert="horz"/>
              <a:lstStyle/>
              <a:p>
                <a:pPr>
                  <a:defRPr b="1"/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แผนภูมิแท่ง!$B$8:$B$12</c:f>
              <c:strCache>
                <c:ptCount val="5"/>
                <c:pt idx="0">
                  <c:v>งบบุคลากร</c:v>
                </c:pt>
                <c:pt idx="1">
                  <c:v>งบดำเนินงาน</c:v>
                </c:pt>
                <c:pt idx="2">
                  <c:v>งบลงทุน</c:v>
                </c:pt>
                <c:pt idx="3">
                  <c:v>งบรายจ่ายอื่น</c:v>
                </c:pt>
                <c:pt idx="4">
                  <c:v>รวมทั้งสิ้น</c:v>
                </c:pt>
              </c:strCache>
            </c:strRef>
          </c:cat>
          <c:val>
            <c:numRef>
              <c:f>แผนภูมิแท่ง!$C$8:$C$12</c:f>
              <c:numCache>
                <c:formatCode>_(* #,##0.00_);_(* \(#,##0.00\);_(* "-"??_);_(@_)</c:formatCode>
                <c:ptCount val="5"/>
                <c:pt idx="0">
                  <c:v>695026000</c:v>
                </c:pt>
                <c:pt idx="1">
                  <c:v>216270500</c:v>
                </c:pt>
                <c:pt idx="2">
                  <c:v>68223500</c:v>
                </c:pt>
                <c:pt idx="3">
                  <c:v>14396800</c:v>
                </c:pt>
                <c:pt idx="4">
                  <c:v>993916800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7EA-40F7-BB65-F9246420114A}"/>
            </c:ext>
          </c:extLst>
        </c:ser>
        <c:ser>
          <c:idx val="1"/>
          <c:order val="1"/>
          <c:tx>
            <c:strRef>
              <c:f>แผนภูมิแท่ง!$D$7</c:f>
              <c:strCache>
                <c:ptCount val="1"/>
                <c:pt idx="0">
                  <c:v>เป้าหมายการเบิกจ่าย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2139174910828444E-2"/>
                  <c:y val="3.2143591950162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EA-40F7-BB65-F9246420114A}"/>
                </c:ext>
              </c:extLst>
            </c:dLbl>
            <c:dLbl>
              <c:idx val="1"/>
              <c:layout>
                <c:manualLayout>
                  <c:x val="2.88912964969302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EA-40F7-BB65-F9246420114A}"/>
                </c:ext>
              </c:extLst>
            </c:dLbl>
            <c:dLbl>
              <c:idx val="2"/>
              <c:layout>
                <c:manualLayout>
                  <c:x val="3.29938757655293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EA-40F7-BB65-F9246420114A}"/>
                </c:ext>
              </c:extLst>
            </c:dLbl>
            <c:dLbl>
              <c:idx val="3"/>
              <c:layout>
                <c:manualLayout>
                  <c:x val="3.0335861321776816E-2"/>
                  <c:y val="-6.63350090322688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EA-40F7-BB65-F9246420114A}"/>
                </c:ext>
              </c:extLst>
            </c:dLbl>
            <c:dLbl>
              <c:idx val="4"/>
              <c:layout>
                <c:manualLayout>
                  <c:x val="5.7650824416178768E-2"/>
                  <c:y val="1.14667746447244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7EA-40F7-BB65-F924642011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2460000"/>
              <a:lstStyle/>
              <a:p>
                <a:pPr>
                  <a:defRPr b="1"/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แผนภูมิแท่ง!$B$8:$B$12</c:f>
              <c:strCache>
                <c:ptCount val="5"/>
                <c:pt idx="0">
                  <c:v>งบบุคลากร</c:v>
                </c:pt>
                <c:pt idx="1">
                  <c:v>งบดำเนินงาน</c:v>
                </c:pt>
                <c:pt idx="2">
                  <c:v>งบลงทุน</c:v>
                </c:pt>
                <c:pt idx="3">
                  <c:v>งบรายจ่ายอื่น</c:v>
                </c:pt>
                <c:pt idx="4">
                  <c:v>รวมทั้งสิ้น</c:v>
                </c:pt>
              </c:strCache>
            </c:strRef>
          </c:cat>
          <c:val>
            <c:numRef>
              <c:f>แผนภูมิแท่ง!$D$8:$D$12</c:f>
              <c:numCache>
                <c:formatCode>_(* #,##0.00_);_(* \(#,##0.00\);_(* "-"??_);_(@_)</c:formatCode>
                <c:ptCount val="5"/>
                <c:pt idx="0">
                  <c:v>1397262000</c:v>
                </c:pt>
                <c:pt idx="1">
                  <c:v>216270500</c:v>
                </c:pt>
                <c:pt idx="2">
                  <c:v>68223500</c:v>
                </c:pt>
                <c:pt idx="3">
                  <c:v>14396800</c:v>
                </c:pt>
                <c:pt idx="4">
                  <c:v>1696152800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7EA-40F7-BB65-F9246420114A}"/>
            </c:ext>
          </c:extLst>
        </c:ser>
        <c:ser>
          <c:idx val="2"/>
          <c:order val="2"/>
          <c:tx>
            <c:strRef>
              <c:f>แผนภูมิแท่ง!$E$7</c:f>
              <c:strCache>
                <c:ptCount val="1"/>
                <c:pt idx="0">
                  <c:v>เบิกจ่ายแล้ว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6626906252103114E-2"/>
                  <c:y val="3.4193886626575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7EA-40F7-BB65-F9246420114A}"/>
                </c:ext>
              </c:extLst>
            </c:dLbl>
            <c:dLbl>
              <c:idx val="1"/>
              <c:layout>
                <c:manualLayout>
                  <c:x val="2.600216684723727E-2"/>
                  <c:y val="9.950251354840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7EA-40F7-BB65-F9246420114A}"/>
                </c:ext>
              </c:extLst>
            </c:dLbl>
            <c:dLbl>
              <c:idx val="2"/>
              <c:layout>
                <c:manualLayout>
                  <c:x val="3.3224990971469845E-2"/>
                  <c:y val="1.6583752258067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7EA-40F7-BB65-F9246420114A}"/>
                </c:ext>
              </c:extLst>
            </c:dLbl>
            <c:dLbl>
              <c:idx val="3"/>
              <c:layout>
                <c:manualLayout>
                  <c:x val="3.4669555796316358E-2"/>
                  <c:y val="1.9900502709680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7EA-40F7-BB65-F9246420114A}"/>
                </c:ext>
              </c:extLst>
            </c:dLbl>
            <c:dLbl>
              <c:idx val="4"/>
              <c:layout>
                <c:manualLayout>
                  <c:x val="5.8097691634699439E-2"/>
                  <c:y val="3.420073840016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7EA-40F7-BB65-F924642011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2460000"/>
              <a:lstStyle/>
              <a:p>
                <a:pPr>
                  <a:defRPr b="1"/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แผนภูมิแท่ง!$B$8:$B$12</c:f>
              <c:strCache>
                <c:ptCount val="5"/>
                <c:pt idx="0">
                  <c:v>งบบุคลากร</c:v>
                </c:pt>
                <c:pt idx="1">
                  <c:v>งบดำเนินงาน</c:v>
                </c:pt>
                <c:pt idx="2">
                  <c:v>งบลงทุน</c:v>
                </c:pt>
                <c:pt idx="3">
                  <c:v>งบรายจ่ายอื่น</c:v>
                </c:pt>
                <c:pt idx="4">
                  <c:v>รวมทั้งสิ้น</c:v>
                </c:pt>
              </c:strCache>
            </c:strRef>
          </c:cat>
          <c:val>
            <c:numRef>
              <c:f>แผนภูมิแท่ง!$E$8:$E$12</c:f>
              <c:numCache>
                <c:formatCode>_(* #,##0.00_);_(* \(#,##0.00\);_(* "-"??_);_(@_)</c:formatCode>
                <c:ptCount val="5"/>
                <c:pt idx="0">
                  <c:v>109106629.47</c:v>
                </c:pt>
                <c:pt idx="1">
                  <c:v>8016568.5899999999</c:v>
                </c:pt>
                <c:pt idx="2">
                  <c:v>1322506.5</c:v>
                </c:pt>
                <c:pt idx="3">
                  <c:v>0</c:v>
                </c:pt>
                <c:pt idx="4">
                  <c:v>118445704.56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7EA-40F7-BB65-F92464201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17696"/>
        <c:axId val="82748160"/>
      </c:barChart>
      <c:catAx>
        <c:axId val="82717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90" b="1" baseline="0"/>
            </a:pPr>
            <a:endParaRPr lang="th-TH"/>
          </a:p>
        </c:txPr>
        <c:crossAx val="82748160"/>
        <c:crosses val="autoZero"/>
        <c:auto val="1"/>
        <c:lblAlgn val="ctr"/>
        <c:lblOffset val="100"/>
        <c:noMultiLvlLbl val="0"/>
      </c:catAx>
      <c:valAx>
        <c:axId val="82748160"/>
        <c:scaling>
          <c:orientation val="minMax"/>
          <c:max val="230000000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TH SarabunPSK" panose="020B0500040200020003" pitchFamily="34" charset="-34"/>
                <a:cs typeface="TH SarabunPSK" panose="020B0500040200020003" pitchFamily="34" charset="-34"/>
              </a:defRPr>
            </a:pPr>
            <a:endParaRPr lang="th-TH"/>
          </a:p>
        </c:txPr>
        <c:crossAx val="82717696"/>
        <c:crosses val="autoZero"/>
        <c:crossBetween val="between"/>
        <c:majorUnit val="220000000.00000003"/>
        <c:minorUnit val="110000000.00000001"/>
      </c:valAx>
    </c:plotArea>
    <c:legend>
      <c:legendPos val="r"/>
      <c:layout>
        <c:manualLayout>
          <c:xMode val="edge"/>
          <c:yMode val="edge"/>
          <c:x val="0.39220219857455074"/>
          <c:y val="6.5093186323810434E-2"/>
          <c:w val="0.26095267344019701"/>
          <c:h val="0.34576705599745533"/>
        </c:manualLayout>
      </c:layout>
      <c:overlay val="0"/>
      <c:txPr>
        <a:bodyPr/>
        <a:lstStyle/>
        <a:p>
          <a:pPr>
            <a:defRPr sz="2400" b="1" baseline="0">
              <a:latin typeface="TH SarabunPSK" panose="020B0500040200020003" pitchFamily="34" charset="-34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587728640350111"/>
          <c:y val="2.9083215180150449E-2"/>
          <c:w val="0.81623234412473522"/>
          <c:h val="0.85045416612179381"/>
        </c:manualLayout>
      </c:layout>
      <c:lineChart>
        <c:grouping val="standard"/>
        <c:varyColors val="0"/>
        <c:ser>
          <c:idx val="0"/>
          <c:order val="0"/>
          <c:tx>
            <c:strRef>
              <c:f>'แผนภูมิแท่ง (2)'!$C$7</c:f>
              <c:strCache>
                <c:ptCount val="1"/>
                <c:pt idx="0">
                  <c:v>งบประมาณที่ได้รับ</c:v>
                </c:pt>
              </c:strCache>
            </c:strRef>
          </c:tx>
          <c:spPr>
            <a:ln w="38100"/>
          </c:spPr>
          <c:marker>
            <c:symbol val="none"/>
          </c:marker>
          <c:dLbls>
            <c:dLbl>
              <c:idx val="0"/>
              <c:layout>
                <c:manualLayout>
                  <c:x val="-6.3643812816080905E-2"/>
                  <c:y val="-3.14341781921882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0B-438E-A509-643B0D9D4469}"/>
                </c:ext>
              </c:extLst>
            </c:dLbl>
            <c:dLbl>
              <c:idx val="1"/>
              <c:layout>
                <c:manualLayout>
                  <c:x val="-2.2575786674115909E-2"/>
                  <c:y val="-4.63954574323819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0B-438E-A509-643B0D9D4469}"/>
                </c:ext>
              </c:extLst>
            </c:dLbl>
            <c:dLbl>
              <c:idx val="2"/>
              <c:layout>
                <c:manualLayout>
                  <c:x val="-4.7705128876628797E-2"/>
                  <c:y val="-8.9369644044383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0B-438E-A509-643B0D9D4469}"/>
                </c:ext>
              </c:extLst>
            </c:dLbl>
            <c:dLbl>
              <c:idx val="3"/>
              <c:layout>
                <c:manualLayout>
                  <c:x val="-7.2222241621127739E-2"/>
                  <c:y val="-0.117878168220705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0B-438E-A509-643B0D9D4469}"/>
                </c:ext>
              </c:extLst>
            </c:dLbl>
            <c:dLbl>
              <c:idx val="4"/>
              <c:layout>
                <c:manualLayout>
                  <c:x val="-4.3003486314584213E-2"/>
                  <c:y val="1.30975715452267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0B-438E-A509-643B0D9D4469}"/>
                </c:ext>
              </c:extLst>
            </c:dLbl>
            <c:spPr>
              <a:solidFill>
                <a:schemeClr val="accent1">
                  <a:alpha val="29000"/>
                </a:schemeClr>
              </a:solidFill>
            </c:spPr>
            <c:txPr>
              <a:bodyPr rot="-2160000"/>
              <a:lstStyle/>
              <a:p>
                <a:pPr>
                  <a:defRPr sz="1400" b="1">
                    <a:latin typeface="TH SarabunPSK" panose="020B0500040200020003" pitchFamily="34" charset="-34"/>
                    <a:cs typeface="TH SarabunPSK" panose="020B0500040200020003" pitchFamily="34" charset="-34"/>
                  </a:defRPr>
                </a:pPr>
                <a:endParaRPr lang="th-TH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'แผนภูมิแท่ง (2)'!$B$8:$B$12</c:f>
              <c:strCache>
                <c:ptCount val="5"/>
                <c:pt idx="0">
                  <c:v>งบบุคลากร</c:v>
                </c:pt>
                <c:pt idx="1">
                  <c:v>งบดำเนินงาน</c:v>
                </c:pt>
                <c:pt idx="2">
                  <c:v>งบลงทุน</c:v>
                </c:pt>
                <c:pt idx="3">
                  <c:v>งบรายจ่ายอื่น</c:v>
                </c:pt>
                <c:pt idx="4">
                  <c:v>รวมทั้งสิ้น</c:v>
                </c:pt>
              </c:strCache>
            </c:strRef>
          </c:cat>
          <c:val>
            <c:numRef>
              <c:f>'แผนภูมิแท่ง (2)'!$C$8:$C$12</c:f>
              <c:numCache>
                <c:formatCode>_(* #,##0.00_);_(* \(#,##0.00\);_(* "-"??_);_(@_)</c:formatCode>
                <c:ptCount val="5"/>
                <c:pt idx="0">
                  <c:v>1390052000</c:v>
                </c:pt>
                <c:pt idx="1">
                  <c:v>432541700</c:v>
                </c:pt>
                <c:pt idx="2">
                  <c:v>118294300</c:v>
                </c:pt>
                <c:pt idx="3">
                  <c:v>28793900</c:v>
                </c:pt>
                <c:pt idx="4">
                  <c:v>1969681900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F0B-438E-A509-643B0D9D4469}"/>
            </c:ext>
          </c:extLst>
        </c:ser>
        <c:ser>
          <c:idx val="1"/>
          <c:order val="1"/>
          <c:tx>
            <c:strRef>
              <c:f>'แผนภูมิแท่ง (2)'!$D$7</c:f>
              <c:strCache>
                <c:ptCount val="1"/>
                <c:pt idx="0">
                  <c:v>เป้าหมายการเบิกจ่าย</c:v>
                </c:pt>
              </c:strCache>
            </c:strRef>
          </c:tx>
          <c:spPr>
            <a:ln w="38100"/>
          </c:spPr>
          <c:marker>
            <c:symbol val="none"/>
          </c:marker>
          <c:dLbls>
            <c:dLbl>
              <c:idx val="0"/>
              <c:layout>
                <c:manualLayout>
                  <c:x val="-6.8399881278698255E-2"/>
                  <c:y val="-2.61951484934902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F0B-438E-A509-643B0D9D4469}"/>
                </c:ext>
              </c:extLst>
            </c:dLbl>
            <c:dLbl>
              <c:idx val="1"/>
              <c:layout>
                <c:manualLayout>
                  <c:x val="-1.8141196873672442E-2"/>
                  <c:y val="-5.66139304366375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0B-438E-A509-643B0D9D4469}"/>
                </c:ext>
              </c:extLst>
            </c:dLbl>
            <c:dLbl>
              <c:idx val="2"/>
              <c:layout>
                <c:manualLayout>
                  <c:x val="-2.7697796090344593E-2"/>
                  <c:y val="-7.7853050360615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F0B-438E-A509-643B0D9D4469}"/>
                </c:ext>
              </c:extLst>
            </c:dLbl>
            <c:dLbl>
              <c:idx val="3"/>
              <c:layout>
                <c:manualLayout>
                  <c:x val="-4.7092899418614817E-2"/>
                  <c:y val="-7.07269009324234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F0B-438E-A509-643B0D9D4469}"/>
                </c:ext>
              </c:extLst>
            </c:dLbl>
            <c:dLbl>
              <c:idx val="4"/>
              <c:layout>
                <c:manualLayout>
                  <c:x val="-2.0999520167070573E-2"/>
                  <c:y val="-5.7629314798997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F0B-438E-A509-643B0D9D4469}"/>
                </c:ext>
              </c:extLst>
            </c:dLbl>
            <c:spPr>
              <a:solidFill>
                <a:schemeClr val="accent2">
                  <a:lumMod val="75000"/>
                  <a:alpha val="49000"/>
                </a:schemeClr>
              </a:solidFill>
            </c:spPr>
            <c:txPr>
              <a:bodyPr rot="-2160000"/>
              <a:lstStyle/>
              <a:p>
                <a:pPr>
                  <a:defRPr sz="1400" b="1">
                    <a:latin typeface="TH SarabunPSK" panose="020B0500040200020003" pitchFamily="34" charset="-34"/>
                    <a:cs typeface="TH SarabunPSK" panose="020B0500040200020003" pitchFamily="34" charset="-34"/>
                  </a:defRPr>
                </a:pPr>
                <a:endParaRPr lang="th-TH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'แผนภูมิแท่ง (2)'!$B$8:$B$12</c:f>
              <c:strCache>
                <c:ptCount val="5"/>
                <c:pt idx="0">
                  <c:v>งบบุคลากร</c:v>
                </c:pt>
                <c:pt idx="1">
                  <c:v>งบดำเนินงาน</c:v>
                </c:pt>
                <c:pt idx="2">
                  <c:v>งบลงทุน</c:v>
                </c:pt>
                <c:pt idx="3">
                  <c:v>งบรายจ่ายอื่น</c:v>
                </c:pt>
                <c:pt idx="4">
                  <c:v>รวมทั้งสิ้น</c:v>
                </c:pt>
              </c:strCache>
            </c:strRef>
          </c:cat>
          <c:val>
            <c:numRef>
              <c:f>'แผนภูมิแท่ง (2)'!$D$8:$D$12</c:f>
              <c:numCache>
                <c:formatCode>_(* #,##0.00_);_(* \(#,##0.00\);_(*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F0B-438E-A509-643B0D9D4469}"/>
            </c:ext>
          </c:extLst>
        </c:ser>
        <c:ser>
          <c:idx val="2"/>
          <c:order val="2"/>
          <c:tx>
            <c:strRef>
              <c:f>'แผนภูมิแท่ง (2)'!$E$7</c:f>
              <c:strCache>
                <c:ptCount val="1"/>
                <c:pt idx="0">
                  <c:v>เบิกจ่ายแล้ว</c:v>
                </c:pt>
              </c:strCache>
            </c:strRef>
          </c:tx>
          <c:spPr>
            <a:ln w="38100"/>
          </c:spPr>
          <c:marker>
            <c:symbol val="none"/>
          </c:marker>
          <c:dLbls>
            <c:dLbl>
              <c:idx val="0"/>
              <c:layout>
                <c:manualLayout>
                  <c:x val="-8.318186117969488E-2"/>
                  <c:y val="-1.04780572361813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F0B-438E-A509-643B0D9D4469}"/>
                </c:ext>
              </c:extLst>
            </c:dLbl>
            <c:dLbl>
              <c:idx val="1"/>
              <c:layout>
                <c:manualLayout>
                  <c:x val="-1.2914200580803227E-2"/>
                  <c:y val="-4.4837749780456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F0B-438E-A509-643B0D9D4469}"/>
                </c:ext>
              </c:extLst>
            </c:dLbl>
            <c:dLbl>
              <c:idx val="2"/>
              <c:layout>
                <c:manualLayout>
                  <c:x val="-1.7350419889309847E-2"/>
                  <c:y val="-4.61358704599687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F0B-438E-A509-643B0D9D4469}"/>
                </c:ext>
              </c:extLst>
            </c:dLbl>
            <c:dLbl>
              <c:idx val="3"/>
              <c:layout>
                <c:manualLayout>
                  <c:x val="-7.1064010568523744E-3"/>
                  <c:y val="-4.29970421578905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F0B-438E-A509-643B0D9D4469}"/>
                </c:ext>
              </c:extLst>
            </c:dLbl>
            <c:dLbl>
              <c:idx val="4"/>
              <c:layout>
                <c:manualLayout>
                  <c:x val="-3.1157322958628966E-2"/>
                  <c:y val="-6.2868343417088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F0B-438E-A509-643B0D9D4469}"/>
                </c:ext>
              </c:extLst>
            </c:dLbl>
            <c:spPr>
              <a:solidFill>
                <a:schemeClr val="accent3">
                  <a:lumMod val="75000"/>
                  <a:alpha val="50000"/>
                </a:schemeClr>
              </a:solidFill>
            </c:spPr>
            <c:txPr>
              <a:bodyPr rot="-2160000"/>
              <a:lstStyle/>
              <a:p>
                <a:pPr>
                  <a:defRPr sz="1400" b="1">
                    <a:latin typeface="TH SarabunPSK" panose="020B0500040200020003" pitchFamily="34" charset="-34"/>
                    <a:cs typeface="TH SarabunPSK" panose="020B0500040200020003" pitchFamily="34" charset="-34"/>
                  </a:defRPr>
                </a:pPr>
                <a:endParaRPr lang="th-TH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'แผนภูมิแท่ง (2)'!$B$8:$B$12</c:f>
              <c:strCache>
                <c:ptCount val="5"/>
                <c:pt idx="0">
                  <c:v>งบบุคลากร</c:v>
                </c:pt>
                <c:pt idx="1">
                  <c:v>งบดำเนินงาน</c:v>
                </c:pt>
                <c:pt idx="2">
                  <c:v>งบลงทุน</c:v>
                </c:pt>
                <c:pt idx="3">
                  <c:v>งบรายจ่ายอื่น</c:v>
                </c:pt>
                <c:pt idx="4">
                  <c:v>รวมทั้งสิ้น</c:v>
                </c:pt>
              </c:strCache>
            </c:strRef>
          </c:cat>
          <c:val>
            <c:numRef>
              <c:f>'แผนภูมิแท่ง (2)'!$E$8:$E$12</c:f>
              <c:numCache>
                <c:formatCode>_(* #,##0.00_);_(* \(#,##0.00\);_(* "-"??_);_(@_)</c:formatCode>
                <c:ptCount val="5"/>
                <c:pt idx="0">
                  <c:v>109106629.47</c:v>
                </c:pt>
                <c:pt idx="1">
                  <c:v>8016568.5899999999</c:v>
                </c:pt>
                <c:pt idx="2">
                  <c:v>1322506.5</c:v>
                </c:pt>
                <c:pt idx="3">
                  <c:v>0</c:v>
                </c:pt>
                <c:pt idx="4">
                  <c:v>118445704.56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7F0B-438E-A509-643B0D9D4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smooth val="0"/>
        <c:axId val="94747264"/>
        <c:axId val="94761728"/>
      </c:lineChart>
      <c:catAx>
        <c:axId val="94747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หมวดรายจ่าย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2000" b="1">
                <a:latin typeface="TH SarabunPSK" panose="020B0500040200020003" pitchFamily="34" charset="-34"/>
                <a:cs typeface="TH SarabunPSK" panose="020B0500040200020003" pitchFamily="34" charset="-34"/>
              </a:defRPr>
            </a:pPr>
            <a:endParaRPr lang="th-TH"/>
          </a:p>
        </c:txPr>
        <c:crossAx val="94761728"/>
        <c:crosses val="autoZero"/>
        <c:auto val="1"/>
        <c:lblAlgn val="ctr"/>
        <c:lblOffset val="100"/>
        <c:noMultiLvlLbl val="0"/>
      </c:catAx>
      <c:valAx>
        <c:axId val="94761728"/>
        <c:scaling>
          <c:orientation val="minMax"/>
          <c:max val="220000000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6">
                      <a:lumMod val="20000"/>
                      <a:lumOff val="8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วงเงินงบประมาณ</a:t>
                </a:r>
              </a:p>
            </c:rich>
          </c:tx>
          <c:overlay val="0"/>
        </c:title>
        <c:numFmt formatCode="_(* #,##0.00_);_(* \(#,##0.00\);_(* &quot;-&quot;??_);_(@_)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1600" b="1">
                <a:latin typeface="TH SarabunPSK" panose="020B0500040200020003" pitchFamily="34" charset="-34"/>
                <a:cs typeface="TH SarabunPSK" panose="020B0500040200020003" pitchFamily="34" charset="-34"/>
              </a:defRPr>
            </a:pPr>
            <a:endParaRPr lang="th-TH"/>
          </a:p>
        </c:txPr>
        <c:crossAx val="94747264"/>
        <c:crosses val="autoZero"/>
        <c:crossBetween val="between"/>
        <c:majorUnit val="200000000"/>
        <c:minorUnit val="50000000"/>
      </c:valAx>
    </c:plotArea>
    <c:legend>
      <c:legendPos val="r"/>
      <c:layout>
        <c:manualLayout>
          <c:xMode val="edge"/>
          <c:yMode val="edge"/>
          <c:x val="0.45279752025255976"/>
          <c:y val="7.3301897655928136E-2"/>
          <c:w val="0.26791839604889356"/>
          <c:h val="0.31624592136225638"/>
        </c:manualLayout>
      </c:layout>
      <c:overlay val="0"/>
      <c:txPr>
        <a:bodyPr/>
        <a:lstStyle/>
        <a:p>
          <a:pPr>
            <a:defRPr sz="2000" b="1">
              <a:latin typeface="TH SarabunPSK" panose="020B0500040200020003" pitchFamily="34" charset="-34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</xdr:row>
      <xdr:rowOff>390524</xdr:rowOff>
    </xdr:from>
    <xdr:to>
      <xdr:col>9</xdr:col>
      <xdr:colOff>600075</xdr:colOff>
      <xdr:row>18</xdr:row>
      <xdr:rowOff>209550</xdr:rowOff>
    </xdr:to>
    <xdr:graphicFrame macro="">
      <xdr:nvGraphicFramePr>
        <xdr:cNvPr id="8" name="แผนภูมิ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9523</xdr:rowOff>
    </xdr:from>
    <xdr:to>
      <xdr:col>9</xdr:col>
      <xdr:colOff>590550</xdr:colOff>
      <xdr:row>19</xdr:row>
      <xdr:rowOff>266700</xdr:rowOff>
    </xdr:to>
    <xdr:graphicFrame macro="">
      <xdr:nvGraphicFramePr>
        <xdr:cNvPr id="7" name="แผนภูมิ 6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FF"/>
  </sheetPr>
  <dimension ref="A1:R115"/>
  <sheetViews>
    <sheetView view="pageBreakPreview" topLeftCell="D4" zoomScale="50" zoomScaleNormal="56" zoomScaleSheetLayoutView="50" workbookViewId="0">
      <pane ySplit="1290" activePane="bottomLeft"/>
      <selection activeCell="A4" sqref="A4"/>
      <selection pane="bottomLeft" activeCell="K84" sqref="K84"/>
    </sheetView>
  </sheetViews>
  <sheetFormatPr defaultRowHeight="39.75" x14ac:dyDescent="0.5"/>
  <cols>
    <col min="1" max="1" width="6.7109375" style="392" customWidth="1"/>
    <col min="2" max="2" width="47.140625" style="488" customWidth="1"/>
    <col min="3" max="3" width="39.85546875" style="405" customWidth="1"/>
    <col min="4" max="6" width="25.7109375" style="406" customWidth="1"/>
    <col min="7" max="7" width="26.85546875" style="406" customWidth="1"/>
    <col min="8" max="8" width="26.7109375" style="407" customWidth="1"/>
    <col min="9" max="11" width="25.7109375" style="407" customWidth="1"/>
    <col min="12" max="12" width="27.5703125" style="407" customWidth="1"/>
    <col min="13" max="13" width="26.42578125" style="407" bestFit="1" customWidth="1"/>
    <col min="14" max="14" width="18.28515625" style="407" customWidth="1"/>
    <col min="15" max="15" width="28.85546875" style="407" customWidth="1"/>
    <col min="16" max="16" width="35.7109375" style="408" customWidth="1"/>
    <col min="17" max="17" width="51" style="408" hidden="1" customWidth="1"/>
    <col min="18" max="18" width="37.42578125" style="408" hidden="1" customWidth="1"/>
    <col min="19" max="37" width="9.140625" style="408"/>
    <col min="38" max="38" width="9.140625" style="408" customWidth="1"/>
    <col min="39" max="16384" width="9.140625" style="408"/>
  </cols>
  <sheetData>
    <row r="1" spans="1:17" s="348" customFormat="1" ht="51.75" customHeight="1" x14ac:dyDescent="0.5">
      <c r="A1" s="1005" t="s">
        <v>57</v>
      </c>
      <c r="B1" s="1005"/>
      <c r="C1" s="1005"/>
      <c r="D1" s="1005"/>
      <c r="E1" s="1005"/>
      <c r="F1" s="1005"/>
      <c r="G1" s="1005"/>
      <c r="H1" s="1005"/>
      <c r="I1" s="1005"/>
      <c r="J1" s="1005"/>
      <c r="K1" s="1005"/>
      <c r="L1" s="1005"/>
      <c r="M1" s="1005"/>
      <c r="N1" s="1005"/>
      <c r="O1" s="1005"/>
      <c r="P1" s="1005"/>
    </row>
    <row r="2" spans="1:17" s="348" customFormat="1" ht="51.75" customHeight="1" x14ac:dyDescent="0.5">
      <c r="A2" s="1006" t="s">
        <v>993</v>
      </c>
      <c r="B2" s="1006"/>
      <c r="C2" s="1006"/>
      <c r="D2" s="1006"/>
      <c r="E2" s="1006"/>
      <c r="F2" s="1006"/>
      <c r="G2" s="1006"/>
      <c r="H2" s="1006"/>
      <c r="I2" s="1006"/>
      <c r="J2" s="1006"/>
      <c r="K2" s="1006"/>
      <c r="L2" s="1006"/>
      <c r="M2" s="1006"/>
      <c r="N2" s="1006"/>
      <c r="O2" s="1006"/>
      <c r="P2" s="1006"/>
    </row>
    <row r="3" spans="1:17" s="348" customFormat="1" ht="51.75" customHeight="1" x14ac:dyDescent="0.5">
      <c r="A3" s="1007" t="s">
        <v>1082</v>
      </c>
      <c r="B3" s="1007"/>
      <c r="C3" s="1007"/>
      <c r="D3" s="1007"/>
      <c r="E3" s="1007"/>
      <c r="F3" s="1007"/>
      <c r="G3" s="1007"/>
      <c r="H3" s="1007"/>
      <c r="I3" s="1007"/>
      <c r="J3" s="1007"/>
      <c r="K3" s="1007"/>
      <c r="L3" s="1007"/>
      <c r="M3" s="1007"/>
      <c r="N3" s="1007"/>
      <c r="O3" s="1007"/>
      <c r="P3" s="1007"/>
    </row>
    <row r="4" spans="1:17" s="349" customFormat="1" ht="48.75" customHeight="1" x14ac:dyDescent="0.5">
      <c r="A4" s="1008" t="s">
        <v>0</v>
      </c>
      <c r="B4" s="1009" t="s">
        <v>56</v>
      </c>
      <c r="C4" s="1009"/>
      <c r="D4" s="1009" t="s">
        <v>13</v>
      </c>
      <c r="E4" s="1009"/>
      <c r="F4" s="1009"/>
      <c r="G4" s="1009"/>
      <c r="H4" s="1009" t="s">
        <v>14</v>
      </c>
      <c r="I4" s="1009"/>
      <c r="J4" s="1009"/>
      <c r="K4" s="1009" t="s">
        <v>15</v>
      </c>
      <c r="L4" s="1009"/>
      <c r="M4" s="1009"/>
      <c r="N4" s="1009" t="s">
        <v>68</v>
      </c>
      <c r="O4" s="1009" t="s">
        <v>16</v>
      </c>
      <c r="P4" s="1009" t="s">
        <v>3</v>
      </c>
    </row>
    <row r="5" spans="1:17" s="349" customFormat="1" ht="48.75" customHeight="1" x14ac:dyDescent="0.5">
      <c r="A5" s="1008"/>
      <c r="B5" s="1009"/>
      <c r="C5" s="1009"/>
      <c r="D5" s="1003" t="s">
        <v>4</v>
      </c>
      <c r="E5" s="1003" t="s">
        <v>5</v>
      </c>
      <c r="F5" s="498" t="s">
        <v>6</v>
      </c>
      <c r="G5" s="1003" t="s">
        <v>10</v>
      </c>
      <c r="H5" s="498" t="s">
        <v>6</v>
      </c>
      <c r="I5" s="1003" t="s">
        <v>9</v>
      </c>
      <c r="J5" s="1003" t="s">
        <v>10</v>
      </c>
      <c r="K5" s="1003" t="s">
        <v>11</v>
      </c>
      <c r="L5" s="1003" t="s">
        <v>12</v>
      </c>
      <c r="M5" s="1009" t="s">
        <v>10</v>
      </c>
      <c r="N5" s="1009"/>
      <c r="O5" s="1009"/>
      <c r="P5" s="1009"/>
    </row>
    <row r="6" spans="1:17" s="349" customFormat="1" ht="48.75" customHeight="1" x14ac:dyDescent="0.5">
      <c r="A6" s="1008"/>
      <c r="B6" s="1009"/>
      <c r="C6" s="1009"/>
      <c r="D6" s="1004"/>
      <c r="E6" s="1004"/>
      <c r="F6" s="499" t="s">
        <v>7</v>
      </c>
      <c r="G6" s="1004"/>
      <c r="H6" s="499" t="s">
        <v>8</v>
      </c>
      <c r="I6" s="1004"/>
      <c r="J6" s="1004"/>
      <c r="K6" s="1004"/>
      <c r="L6" s="1004"/>
      <c r="M6" s="1009"/>
      <c r="N6" s="1009"/>
      <c r="O6" s="1009"/>
      <c r="P6" s="1009"/>
    </row>
    <row r="7" spans="1:17" s="353" customFormat="1" ht="52.5" customHeight="1" x14ac:dyDescent="0.5">
      <c r="A7" s="1010" t="s">
        <v>225</v>
      </c>
      <c r="B7" s="1011"/>
      <c r="C7" s="351" t="s">
        <v>991</v>
      </c>
      <c r="D7" s="352">
        <v>0</v>
      </c>
      <c r="E7" s="352">
        <v>0</v>
      </c>
      <c r="F7" s="352">
        <v>0</v>
      </c>
      <c r="G7" s="352">
        <f>SUM(D7:F7)</f>
        <v>0</v>
      </c>
      <c r="H7" s="352">
        <v>0</v>
      </c>
      <c r="I7" s="352">
        <v>0</v>
      </c>
      <c r="J7" s="352">
        <f>SUM(H7:I7)</f>
        <v>0</v>
      </c>
      <c r="K7" s="352">
        <v>0</v>
      </c>
      <c r="L7" s="352">
        <v>0</v>
      </c>
      <c r="M7" s="352">
        <f>SUM(K7:L7)</f>
        <v>0</v>
      </c>
      <c r="N7" s="352">
        <v>0</v>
      </c>
      <c r="O7" s="352">
        <f>621500+361400</f>
        <v>982900</v>
      </c>
      <c r="P7" s="352">
        <f>+G7+J7+M7+N7+O7</f>
        <v>982900</v>
      </c>
    </row>
    <row r="8" spans="1:17" s="354" customFormat="1" ht="52.5" customHeight="1" x14ac:dyDescent="0.5">
      <c r="A8" s="1012" t="s">
        <v>226</v>
      </c>
      <c r="B8" s="1013"/>
      <c r="C8" s="351" t="s">
        <v>1007</v>
      </c>
      <c r="D8" s="352">
        <v>0</v>
      </c>
      <c r="E8" s="352">
        <v>0</v>
      </c>
      <c r="F8" s="352">
        <v>0</v>
      </c>
      <c r="G8" s="352">
        <f>SUM(D8:F8)</f>
        <v>0</v>
      </c>
      <c r="H8" s="352">
        <v>0</v>
      </c>
      <c r="I8" s="352">
        <v>0</v>
      </c>
      <c r="J8" s="352">
        <f>SUM(H8:I8)</f>
        <v>0</v>
      </c>
      <c r="K8" s="352">
        <v>0</v>
      </c>
      <c r="L8" s="352">
        <v>0</v>
      </c>
      <c r="M8" s="352">
        <f>SUM(K8:L8)</f>
        <v>0</v>
      </c>
      <c r="N8" s="352">
        <v>0</v>
      </c>
      <c r="O8" s="352">
        <f>310700+180700</f>
        <v>491400</v>
      </c>
      <c r="P8" s="352">
        <f>+G8+J8+M8+N8+O8</f>
        <v>491400</v>
      </c>
    </row>
    <row r="9" spans="1:17" s="354" customFormat="1" ht="52.5" customHeight="1" x14ac:dyDescent="0.5">
      <c r="A9" s="1015">
        <v>1</v>
      </c>
      <c r="B9" s="409" t="s">
        <v>678</v>
      </c>
      <c r="C9" s="351" t="s">
        <v>77</v>
      </c>
      <c r="D9" s="352">
        <v>0</v>
      </c>
      <c r="E9" s="352">
        <v>0</v>
      </c>
      <c r="F9" s="352">
        <v>0</v>
      </c>
      <c r="G9" s="352">
        <f>SUM(D9:F9)</f>
        <v>0</v>
      </c>
      <c r="H9" s="352">
        <v>0</v>
      </c>
      <c r="I9" s="352">
        <v>0</v>
      </c>
      <c r="J9" s="352">
        <f>SUM(H9:I9)</f>
        <v>0</v>
      </c>
      <c r="K9" s="352">
        <v>0</v>
      </c>
      <c r="L9" s="352">
        <v>0</v>
      </c>
      <c r="M9" s="352">
        <f>SUM(K9:L9)</f>
        <v>0</v>
      </c>
      <c r="N9" s="352">
        <v>0</v>
      </c>
      <c r="O9" s="352">
        <v>0</v>
      </c>
      <c r="P9" s="352">
        <f>+G9+J9+M9+N9+O9</f>
        <v>0</v>
      </c>
    </row>
    <row r="10" spans="1:17" s="354" customFormat="1" ht="52.5" customHeight="1" x14ac:dyDescent="0.5">
      <c r="A10" s="1015"/>
      <c r="B10" s="409" t="s">
        <v>679</v>
      </c>
      <c r="C10" s="351" t="s">
        <v>17</v>
      </c>
      <c r="D10" s="352">
        <v>0</v>
      </c>
      <c r="E10" s="352">
        <v>0</v>
      </c>
      <c r="F10" s="352">
        <v>0</v>
      </c>
      <c r="G10" s="352">
        <f>SUM(D10:F10)</f>
        <v>0</v>
      </c>
      <c r="H10" s="352">
        <v>0</v>
      </c>
      <c r="I10" s="352">
        <v>0</v>
      </c>
      <c r="J10" s="352">
        <f>SUM(H10:I10)</f>
        <v>0</v>
      </c>
      <c r="K10" s="352">
        <v>0</v>
      </c>
      <c r="L10" s="352">
        <v>0</v>
      </c>
      <c r="M10" s="352">
        <f>SUM(K10:L10)</f>
        <v>0</v>
      </c>
      <c r="N10" s="352">
        <v>0</v>
      </c>
      <c r="O10" s="352"/>
      <c r="P10" s="352">
        <f>+G10+J10+M10+N10+O10</f>
        <v>0</v>
      </c>
    </row>
    <row r="11" spans="1:17" s="354" customFormat="1" ht="52.5" customHeight="1" x14ac:dyDescent="0.9">
      <c r="A11" s="1015"/>
      <c r="B11" s="482" t="s">
        <v>680</v>
      </c>
      <c r="C11" s="351" t="s">
        <v>78</v>
      </c>
      <c r="D11" s="352">
        <f>+D8-D10</f>
        <v>0</v>
      </c>
      <c r="E11" s="352">
        <f>+E8-E10</f>
        <v>0</v>
      </c>
      <c r="F11" s="352">
        <f>+F8-F10</f>
        <v>0</v>
      </c>
      <c r="G11" s="352">
        <f>G8-G10</f>
        <v>0</v>
      </c>
      <c r="H11" s="352">
        <f>+H8-H10</f>
        <v>0</v>
      </c>
      <c r="I11" s="352">
        <f>+I8-I10</f>
        <v>0</v>
      </c>
      <c r="J11" s="352">
        <f t="shared" ref="J11:P11" si="0">J8-J10</f>
        <v>0</v>
      </c>
      <c r="K11" s="352">
        <f>+K8-K10</f>
        <v>0</v>
      </c>
      <c r="L11" s="352">
        <f>+L8-L10</f>
        <v>0</v>
      </c>
      <c r="M11" s="352">
        <f t="shared" si="0"/>
        <v>0</v>
      </c>
      <c r="N11" s="352">
        <f>+N8-N10</f>
        <v>0</v>
      </c>
      <c r="O11" s="352">
        <f>+O8-O10</f>
        <v>491400</v>
      </c>
      <c r="P11" s="352">
        <f t="shared" si="0"/>
        <v>491400</v>
      </c>
    </row>
    <row r="12" spans="1:17" s="354" customFormat="1" ht="52.5" customHeight="1" x14ac:dyDescent="0.9">
      <c r="A12" s="1015"/>
      <c r="B12" s="482" t="s">
        <v>681</v>
      </c>
      <c r="C12" s="351" t="s">
        <v>1049</v>
      </c>
      <c r="D12" s="352">
        <f>+D8-D9-D10</f>
        <v>0</v>
      </c>
      <c r="E12" s="352">
        <f>+E8-E9-E10</f>
        <v>0</v>
      </c>
      <c r="F12" s="352">
        <f>+F8-F9-F10</f>
        <v>0</v>
      </c>
      <c r="G12" s="352">
        <f>G8-G9-G10</f>
        <v>0</v>
      </c>
      <c r="H12" s="352">
        <f>+H8-H9-H10</f>
        <v>0</v>
      </c>
      <c r="I12" s="352">
        <f>+I8-I9-I10</f>
        <v>0</v>
      </c>
      <c r="J12" s="352">
        <f>J8-J9-J10</f>
        <v>0</v>
      </c>
      <c r="K12" s="352">
        <f>+K8-K9-K10</f>
        <v>0</v>
      </c>
      <c r="L12" s="352">
        <f>+L8-L9-L10</f>
        <v>0</v>
      </c>
      <c r="M12" s="352">
        <f>M8-M9-M10</f>
        <v>0</v>
      </c>
      <c r="N12" s="352">
        <f>+N8-N9-N10</f>
        <v>0</v>
      </c>
      <c r="O12" s="352">
        <f>+O8-O9-O10</f>
        <v>491400</v>
      </c>
      <c r="P12" s="352">
        <f>P8-P9-P10</f>
        <v>491400</v>
      </c>
    </row>
    <row r="13" spans="1:17" s="354" customFormat="1" ht="52.5" customHeight="1" x14ac:dyDescent="0.9">
      <c r="A13" s="1015"/>
      <c r="B13" s="482" t="s">
        <v>682</v>
      </c>
      <c r="C13" s="351" t="s">
        <v>100</v>
      </c>
      <c r="D13" s="352" t="e">
        <f>+D10*100/D7</f>
        <v>#DIV/0!</v>
      </c>
      <c r="E13" s="352" t="e">
        <f t="shared" ref="E13:P13" si="1">+E10*100/E7</f>
        <v>#DIV/0!</v>
      </c>
      <c r="F13" s="352" t="e">
        <f t="shared" si="1"/>
        <v>#DIV/0!</v>
      </c>
      <c r="G13" s="352" t="e">
        <f t="shared" si="1"/>
        <v>#DIV/0!</v>
      </c>
      <c r="H13" s="352" t="e">
        <f t="shared" si="1"/>
        <v>#DIV/0!</v>
      </c>
      <c r="I13" s="352" t="e">
        <f t="shared" si="1"/>
        <v>#DIV/0!</v>
      </c>
      <c r="J13" s="352" t="e">
        <f t="shared" si="1"/>
        <v>#DIV/0!</v>
      </c>
      <c r="K13" s="352" t="e">
        <f t="shared" si="1"/>
        <v>#DIV/0!</v>
      </c>
      <c r="L13" s="352" t="e">
        <f t="shared" si="1"/>
        <v>#DIV/0!</v>
      </c>
      <c r="M13" s="352" t="e">
        <f t="shared" si="1"/>
        <v>#DIV/0!</v>
      </c>
      <c r="N13" s="352" t="e">
        <f t="shared" si="1"/>
        <v>#DIV/0!</v>
      </c>
      <c r="O13" s="352">
        <f t="shared" si="1"/>
        <v>0</v>
      </c>
      <c r="P13" s="352">
        <f t="shared" si="1"/>
        <v>0</v>
      </c>
    </row>
    <row r="14" spans="1:17" s="354" customFormat="1" ht="52.5" customHeight="1" x14ac:dyDescent="0.9">
      <c r="A14" s="1016"/>
      <c r="B14" s="489"/>
      <c r="C14" s="351" t="s">
        <v>1008</v>
      </c>
      <c r="D14" s="352" t="e">
        <f>+D10*100/D8</f>
        <v>#DIV/0!</v>
      </c>
      <c r="E14" s="352" t="e">
        <f t="shared" ref="E14:P14" si="2">+E10*100/E8</f>
        <v>#DIV/0!</v>
      </c>
      <c r="F14" s="352" t="e">
        <f t="shared" si="2"/>
        <v>#DIV/0!</v>
      </c>
      <c r="G14" s="352" t="e">
        <f t="shared" si="2"/>
        <v>#DIV/0!</v>
      </c>
      <c r="H14" s="352" t="e">
        <f t="shared" si="2"/>
        <v>#DIV/0!</v>
      </c>
      <c r="I14" s="352" t="e">
        <f t="shared" si="2"/>
        <v>#DIV/0!</v>
      </c>
      <c r="J14" s="352" t="e">
        <f t="shared" si="2"/>
        <v>#DIV/0!</v>
      </c>
      <c r="K14" s="352" t="e">
        <f t="shared" si="2"/>
        <v>#DIV/0!</v>
      </c>
      <c r="L14" s="352" t="e">
        <f t="shared" si="2"/>
        <v>#DIV/0!</v>
      </c>
      <c r="M14" s="352" t="e">
        <f t="shared" si="2"/>
        <v>#DIV/0!</v>
      </c>
      <c r="N14" s="352" t="e">
        <f t="shared" si="2"/>
        <v>#DIV/0!</v>
      </c>
      <c r="O14" s="352">
        <f t="shared" si="2"/>
        <v>0</v>
      </c>
      <c r="P14" s="352">
        <f t="shared" si="2"/>
        <v>0</v>
      </c>
    </row>
    <row r="15" spans="1:17" s="354" customFormat="1" ht="52.5" customHeight="1" x14ac:dyDescent="0.5">
      <c r="A15" s="1014" t="s">
        <v>191</v>
      </c>
      <c r="B15" s="1017"/>
      <c r="C15" s="351" t="s">
        <v>991</v>
      </c>
      <c r="D15" s="352">
        <v>0</v>
      </c>
      <c r="E15" s="352">
        <v>0</v>
      </c>
      <c r="F15" s="352">
        <v>0</v>
      </c>
      <c r="G15" s="352">
        <f>SUM(D15:F15)</f>
        <v>0</v>
      </c>
      <c r="H15" s="352">
        <v>0</v>
      </c>
      <c r="I15" s="352">
        <v>0</v>
      </c>
      <c r="J15" s="352">
        <f>SUM(H15:I15)</f>
        <v>0</v>
      </c>
      <c r="K15" s="352">
        <v>0</v>
      </c>
      <c r="L15" s="352">
        <v>0</v>
      </c>
      <c r="M15" s="352">
        <f>SUM(K15:L15)</f>
        <v>0</v>
      </c>
      <c r="N15" s="352">
        <v>0</v>
      </c>
      <c r="O15" s="352">
        <f>5938000+10041500</f>
        <v>15979500</v>
      </c>
      <c r="P15" s="352">
        <f>+G15+J15+M15+N15+O15</f>
        <v>15979500</v>
      </c>
    </row>
    <row r="16" spans="1:17" s="354" customFormat="1" ht="52.5" customHeight="1" x14ac:dyDescent="0.5">
      <c r="A16" s="1014" t="s">
        <v>227</v>
      </c>
      <c r="B16" s="1014"/>
      <c r="C16" s="351" t="s">
        <v>1007</v>
      </c>
      <c r="D16" s="352">
        <v>0</v>
      </c>
      <c r="E16" s="352">
        <v>0</v>
      </c>
      <c r="F16" s="352">
        <v>0</v>
      </c>
      <c r="G16" s="352">
        <f>SUM(D16:F16)</f>
        <v>0</v>
      </c>
      <c r="H16" s="352">
        <v>0</v>
      </c>
      <c r="I16" s="352">
        <v>0</v>
      </c>
      <c r="J16" s="352">
        <f>SUM(H16:I16)</f>
        <v>0</v>
      </c>
      <c r="K16" s="352">
        <v>0</v>
      </c>
      <c r="L16" s="352">
        <v>0</v>
      </c>
      <c r="M16" s="352">
        <f>SUM(K16:L16)</f>
        <v>0</v>
      </c>
      <c r="N16" s="352">
        <v>0</v>
      </c>
      <c r="O16" s="352">
        <f>5020700+2969000</f>
        <v>7989700</v>
      </c>
      <c r="P16" s="352">
        <f>+G16+J16+M16+N16+O16</f>
        <v>7989700</v>
      </c>
      <c r="Q16" s="354">
        <f>+P15-P16</f>
        <v>7989800</v>
      </c>
    </row>
    <row r="17" spans="1:17" s="354" customFormat="1" ht="52.5" customHeight="1" x14ac:dyDescent="0.5">
      <c r="A17" s="1015">
        <v>2</v>
      </c>
      <c r="B17" s="409" t="s">
        <v>683</v>
      </c>
      <c r="C17" s="351" t="s">
        <v>77</v>
      </c>
      <c r="D17" s="352">
        <v>0</v>
      </c>
      <c r="E17" s="352">
        <v>0</v>
      </c>
      <c r="F17" s="352">
        <v>0</v>
      </c>
      <c r="G17" s="352">
        <f>SUM(D17:F17)</f>
        <v>0</v>
      </c>
      <c r="H17" s="352">
        <v>0</v>
      </c>
      <c r="I17" s="352">
        <v>0</v>
      </c>
      <c r="J17" s="352">
        <f>SUM(H17:I17)</f>
        <v>0</v>
      </c>
      <c r="K17" s="352">
        <v>0</v>
      </c>
      <c r="L17" s="352">
        <v>0</v>
      </c>
      <c r="M17" s="352">
        <f>SUM(K17:L17)</f>
        <v>0</v>
      </c>
      <c r="N17" s="352">
        <v>0</v>
      </c>
      <c r="O17" s="352">
        <v>0</v>
      </c>
      <c r="P17" s="352">
        <f>+G17+J17+M17+N17+O17</f>
        <v>0</v>
      </c>
    </row>
    <row r="18" spans="1:17" s="354" customFormat="1" ht="52.5" customHeight="1" x14ac:dyDescent="0.5">
      <c r="A18" s="1015"/>
      <c r="B18" s="410" t="s">
        <v>229</v>
      </c>
      <c r="C18" s="351" t="s">
        <v>17</v>
      </c>
      <c r="D18" s="352">
        <v>0</v>
      </c>
      <c r="E18" s="352">
        <v>0</v>
      </c>
      <c r="F18" s="352">
        <v>0</v>
      </c>
      <c r="G18" s="352">
        <f>SUM(D18:F18)</f>
        <v>0</v>
      </c>
      <c r="H18" s="352">
        <v>0</v>
      </c>
      <c r="I18" s="352">
        <v>0</v>
      </c>
      <c r="J18" s="352">
        <f>SUM(H18:I18)</f>
        <v>0</v>
      </c>
      <c r="K18" s="352">
        <v>0</v>
      </c>
      <c r="L18" s="352">
        <v>0</v>
      </c>
      <c r="M18" s="352">
        <f>SUM(K18:L18)</f>
        <v>0</v>
      </c>
      <c r="N18" s="352">
        <v>0</v>
      </c>
      <c r="O18" s="352">
        <v>0</v>
      </c>
      <c r="P18" s="352">
        <f>+G18+J18+M18+N18+O18</f>
        <v>0</v>
      </c>
    </row>
    <row r="19" spans="1:17" s="354" customFormat="1" ht="52.5" customHeight="1" x14ac:dyDescent="0.5">
      <c r="A19" s="1015"/>
      <c r="B19" s="483" t="s">
        <v>684</v>
      </c>
      <c r="C19" s="351" t="s">
        <v>78</v>
      </c>
      <c r="D19" s="352">
        <f>+D16-D18</f>
        <v>0</v>
      </c>
      <c r="E19" s="352">
        <f>+E16-E18</f>
        <v>0</v>
      </c>
      <c r="F19" s="352">
        <f>+F16-F18</f>
        <v>0</v>
      </c>
      <c r="G19" s="352">
        <f>G16-G18</f>
        <v>0</v>
      </c>
      <c r="H19" s="352">
        <f>+H16-H18</f>
        <v>0</v>
      </c>
      <c r="I19" s="352">
        <f>+I16-I18</f>
        <v>0</v>
      </c>
      <c r="J19" s="352">
        <f t="shared" ref="J19" si="3">J16-J18</f>
        <v>0</v>
      </c>
      <c r="K19" s="352">
        <f>+K16-K18</f>
        <v>0</v>
      </c>
      <c r="L19" s="352">
        <f>+L16-L18</f>
        <v>0</v>
      </c>
      <c r="M19" s="352">
        <f t="shared" ref="M19" si="4">M16-M18</f>
        <v>0</v>
      </c>
      <c r="N19" s="352">
        <f>+N16-N18</f>
        <v>0</v>
      </c>
      <c r="O19" s="352">
        <f>+O16-O18</f>
        <v>7989700</v>
      </c>
      <c r="P19" s="352">
        <f t="shared" ref="P19" si="5">P16-P18</f>
        <v>7989700</v>
      </c>
    </row>
    <row r="20" spans="1:17" s="354" customFormat="1" ht="52.5" customHeight="1" x14ac:dyDescent="0.5">
      <c r="A20" s="1015"/>
      <c r="B20" s="410" t="s">
        <v>230</v>
      </c>
      <c r="C20" s="351" t="s">
        <v>1049</v>
      </c>
      <c r="D20" s="352">
        <f>+D16-D17-D18</f>
        <v>0</v>
      </c>
      <c r="E20" s="352">
        <f>+E16-E17-E18</f>
        <v>0</v>
      </c>
      <c r="F20" s="352">
        <f>+F16-F17-F18</f>
        <v>0</v>
      </c>
      <c r="G20" s="352">
        <f>G16-G17-G18</f>
        <v>0</v>
      </c>
      <c r="H20" s="352">
        <f>+H16-H17-H18</f>
        <v>0</v>
      </c>
      <c r="I20" s="352">
        <f>+I16-I17-I18</f>
        <v>0</v>
      </c>
      <c r="J20" s="352">
        <f>J16-J17-J18</f>
        <v>0</v>
      </c>
      <c r="K20" s="352">
        <f>+K16-K17-K18</f>
        <v>0</v>
      </c>
      <c r="L20" s="352">
        <f>+L16-L17-L18</f>
        <v>0</v>
      </c>
      <c r="M20" s="352">
        <f>M16-M17-M18</f>
        <v>0</v>
      </c>
      <c r="N20" s="352">
        <f>+N16-N17-N18</f>
        <v>0</v>
      </c>
      <c r="O20" s="352">
        <f>+O16-O17-O18</f>
        <v>7989700</v>
      </c>
      <c r="P20" s="352">
        <f>P16-P17-P18</f>
        <v>7989700</v>
      </c>
    </row>
    <row r="21" spans="1:17" s="354" customFormat="1" ht="52.5" customHeight="1" x14ac:dyDescent="0.5">
      <c r="A21" s="1015"/>
      <c r="B21" s="410" t="s">
        <v>231</v>
      </c>
      <c r="C21" s="351" t="s">
        <v>100</v>
      </c>
      <c r="D21" s="352" t="e">
        <f>+D18*100/D15</f>
        <v>#DIV/0!</v>
      </c>
      <c r="E21" s="352" t="e">
        <f t="shared" ref="E21:P21" si="6">+E18*100/E15</f>
        <v>#DIV/0!</v>
      </c>
      <c r="F21" s="352" t="e">
        <f t="shared" si="6"/>
        <v>#DIV/0!</v>
      </c>
      <c r="G21" s="352" t="e">
        <f t="shared" si="6"/>
        <v>#DIV/0!</v>
      </c>
      <c r="H21" s="352" t="e">
        <f t="shared" si="6"/>
        <v>#DIV/0!</v>
      </c>
      <c r="I21" s="352" t="e">
        <f t="shared" si="6"/>
        <v>#DIV/0!</v>
      </c>
      <c r="J21" s="352" t="e">
        <f t="shared" si="6"/>
        <v>#DIV/0!</v>
      </c>
      <c r="K21" s="352" t="e">
        <f t="shared" si="6"/>
        <v>#DIV/0!</v>
      </c>
      <c r="L21" s="352" t="e">
        <f t="shared" si="6"/>
        <v>#DIV/0!</v>
      </c>
      <c r="M21" s="352" t="e">
        <f t="shared" si="6"/>
        <v>#DIV/0!</v>
      </c>
      <c r="N21" s="352" t="e">
        <f t="shared" si="6"/>
        <v>#DIV/0!</v>
      </c>
      <c r="O21" s="352">
        <f t="shared" si="6"/>
        <v>0</v>
      </c>
      <c r="P21" s="352">
        <f t="shared" si="6"/>
        <v>0</v>
      </c>
    </row>
    <row r="22" spans="1:17" s="354" customFormat="1" ht="52.5" customHeight="1" x14ac:dyDescent="0.5">
      <c r="A22" s="1016"/>
      <c r="B22" s="490" t="s">
        <v>685</v>
      </c>
      <c r="C22" s="351" t="s">
        <v>1008</v>
      </c>
      <c r="D22" s="352" t="e">
        <f>+D18*100/D16</f>
        <v>#DIV/0!</v>
      </c>
      <c r="E22" s="352" t="e">
        <f t="shared" ref="E22:P22" si="7">+E18*100/E16</f>
        <v>#DIV/0!</v>
      </c>
      <c r="F22" s="352" t="e">
        <f t="shared" si="7"/>
        <v>#DIV/0!</v>
      </c>
      <c r="G22" s="352" t="e">
        <f t="shared" si="7"/>
        <v>#DIV/0!</v>
      </c>
      <c r="H22" s="352" t="e">
        <f t="shared" si="7"/>
        <v>#DIV/0!</v>
      </c>
      <c r="I22" s="352" t="e">
        <f t="shared" si="7"/>
        <v>#DIV/0!</v>
      </c>
      <c r="J22" s="352" t="e">
        <f t="shared" si="7"/>
        <v>#DIV/0!</v>
      </c>
      <c r="K22" s="352" t="e">
        <f t="shared" si="7"/>
        <v>#DIV/0!</v>
      </c>
      <c r="L22" s="352" t="e">
        <f t="shared" si="7"/>
        <v>#DIV/0!</v>
      </c>
      <c r="M22" s="352" t="e">
        <f t="shared" si="7"/>
        <v>#DIV/0!</v>
      </c>
      <c r="N22" s="352" t="e">
        <f t="shared" si="7"/>
        <v>#DIV/0!</v>
      </c>
      <c r="O22" s="352">
        <f t="shared" si="7"/>
        <v>0</v>
      </c>
      <c r="P22" s="352">
        <f t="shared" si="7"/>
        <v>0</v>
      </c>
    </row>
    <row r="23" spans="1:17" s="354" customFormat="1" ht="52.5" customHeight="1" x14ac:dyDescent="0.5">
      <c r="A23" s="1014" t="s">
        <v>219</v>
      </c>
      <c r="B23" s="1014"/>
      <c r="C23" s="351" t="s">
        <v>991</v>
      </c>
      <c r="D23" s="352">
        <v>0</v>
      </c>
      <c r="E23" s="352">
        <v>0</v>
      </c>
      <c r="F23" s="352">
        <v>0</v>
      </c>
      <c r="G23" s="352">
        <f>SUM(D23:F23)</f>
        <v>0</v>
      </c>
      <c r="H23" s="352">
        <v>4643900</v>
      </c>
      <c r="I23" s="352">
        <v>5232600</v>
      </c>
      <c r="J23" s="352">
        <f>SUM(H23:I23)</f>
        <v>9876500</v>
      </c>
      <c r="K23" s="352">
        <v>0</v>
      </c>
      <c r="L23" s="352">
        <v>0</v>
      </c>
      <c r="M23" s="352">
        <f>SUM(K23:L23)</f>
        <v>0</v>
      </c>
      <c r="N23" s="352">
        <v>0</v>
      </c>
      <c r="O23" s="352">
        <v>0</v>
      </c>
      <c r="P23" s="352">
        <f>+G23+J23+M23+N23+O23</f>
        <v>9876500</v>
      </c>
    </row>
    <row r="24" spans="1:17" s="354" customFormat="1" ht="52.5" customHeight="1" x14ac:dyDescent="0.5">
      <c r="A24" s="1015">
        <v>3</v>
      </c>
      <c r="B24" s="409" t="s">
        <v>686</v>
      </c>
      <c r="C24" s="351" t="s">
        <v>1007</v>
      </c>
      <c r="D24" s="352">
        <v>0</v>
      </c>
      <c r="E24" s="352">
        <v>0</v>
      </c>
      <c r="F24" s="352">
        <v>0</v>
      </c>
      <c r="G24" s="352">
        <f>SUM(D24:F24)</f>
        <v>0</v>
      </c>
      <c r="H24" s="352">
        <f>+H23/2-25</f>
        <v>2321925</v>
      </c>
      <c r="I24" s="352">
        <f>+I23/2-25</f>
        <v>2616275</v>
      </c>
      <c r="J24" s="352">
        <f>SUM(H24:I24)</f>
        <v>4938200</v>
      </c>
      <c r="K24" s="352">
        <v>0</v>
      </c>
      <c r="L24" s="352">
        <v>0</v>
      </c>
      <c r="M24" s="352">
        <f>SUM(K24:L24)</f>
        <v>0</v>
      </c>
      <c r="N24" s="352">
        <v>0</v>
      </c>
      <c r="O24" s="352">
        <v>0</v>
      </c>
      <c r="P24" s="352">
        <f>+G24+J24+M24+N24+O24</f>
        <v>4938200</v>
      </c>
      <c r="Q24" s="354">
        <f>+P23-P24</f>
        <v>4938300</v>
      </c>
    </row>
    <row r="25" spans="1:17" s="354" customFormat="1" ht="52.5" customHeight="1" x14ac:dyDescent="0.5">
      <c r="A25" s="1015"/>
      <c r="B25" s="409" t="s">
        <v>687</v>
      </c>
      <c r="C25" s="351" t="s">
        <v>77</v>
      </c>
      <c r="D25" s="352">
        <v>0</v>
      </c>
      <c r="E25" s="352">
        <v>0</v>
      </c>
      <c r="F25" s="352">
        <v>0</v>
      </c>
      <c r="G25" s="352">
        <f>SUM(D25:F25)</f>
        <v>0</v>
      </c>
      <c r="H25" s="352">
        <v>0</v>
      </c>
      <c r="I25" s="352">
        <v>0</v>
      </c>
      <c r="J25" s="352">
        <f>SUM(H25:I25)</f>
        <v>0</v>
      </c>
      <c r="K25" s="352">
        <v>0</v>
      </c>
      <c r="L25" s="352">
        <v>0</v>
      </c>
      <c r="M25" s="352">
        <f>SUM(K25:L25)</f>
        <v>0</v>
      </c>
      <c r="N25" s="352">
        <v>0</v>
      </c>
      <c r="O25" s="352">
        <v>0</v>
      </c>
      <c r="P25" s="352">
        <f>+G25+J25+M25+N25+O25</f>
        <v>0</v>
      </c>
      <c r="Q25" s="354" t="e">
        <f>SUM(#REF!)</f>
        <v>#REF!</v>
      </c>
    </row>
    <row r="26" spans="1:17" s="354" customFormat="1" ht="52.5" customHeight="1" x14ac:dyDescent="0.5">
      <c r="A26" s="1015"/>
      <c r="B26" s="409" t="s">
        <v>236</v>
      </c>
      <c r="C26" s="351" t="s">
        <v>17</v>
      </c>
      <c r="D26" s="352">
        <v>0</v>
      </c>
      <c r="E26" s="352">
        <v>0</v>
      </c>
      <c r="F26" s="352">
        <v>0</v>
      </c>
      <c r="G26" s="352">
        <f>SUM(D26:F26)</f>
        <v>0</v>
      </c>
      <c r="H26" s="352">
        <f>714887.38-I26</f>
        <v>4880</v>
      </c>
      <c r="I26" s="352">
        <v>710007.38</v>
      </c>
      <c r="J26" s="352">
        <f>SUM(H26:I26)</f>
        <v>714887.38</v>
      </c>
      <c r="K26" s="352">
        <v>0</v>
      </c>
      <c r="L26" s="352">
        <v>0</v>
      </c>
      <c r="M26" s="352">
        <f>SUM(K26:L26)</f>
        <v>0</v>
      </c>
      <c r="N26" s="352">
        <v>0</v>
      </c>
      <c r="O26" s="352">
        <v>0</v>
      </c>
      <c r="P26" s="352">
        <f>+G26+J26+M26+N26+O26</f>
        <v>714887.38</v>
      </c>
    </row>
    <row r="27" spans="1:17" s="360" customFormat="1" ht="52.5" customHeight="1" x14ac:dyDescent="0.5">
      <c r="A27" s="1015"/>
      <c r="B27" s="410" t="s">
        <v>688</v>
      </c>
      <c r="C27" s="351" t="s">
        <v>78</v>
      </c>
      <c r="D27" s="352">
        <f>+D24-D26</f>
        <v>0</v>
      </c>
      <c r="E27" s="352">
        <f>+E24-E26</f>
        <v>0</v>
      </c>
      <c r="F27" s="352">
        <f>+F24-F26</f>
        <v>0</v>
      </c>
      <c r="G27" s="352">
        <f>G24-G26</f>
        <v>0</v>
      </c>
      <c r="H27" s="352">
        <f>+H24-H26</f>
        <v>2317045</v>
      </c>
      <c r="I27" s="352">
        <f>+I24-I26</f>
        <v>1906267.62</v>
      </c>
      <c r="J27" s="352">
        <f t="shared" ref="J27" si="8">J24-J26</f>
        <v>4223312.62</v>
      </c>
      <c r="K27" s="352">
        <f>+K24-K26</f>
        <v>0</v>
      </c>
      <c r="L27" s="352">
        <f>+L24-L26</f>
        <v>0</v>
      </c>
      <c r="M27" s="352">
        <f t="shared" ref="M27" si="9">M24-M26</f>
        <v>0</v>
      </c>
      <c r="N27" s="352">
        <f>+N24-N26</f>
        <v>0</v>
      </c>
      <c r="O27" s="352">
        <f>+O24-O26</f>
        <v>0</v>
      </c>
      <c r="P27" s="352">
        <f t="shared" ref="P27" si="10">P24-P26</f>
        <v>4223312.62</v>
      </c>
    </row>
    <row r="28" spans="1:17" s="360" customFormat="1" ht="52.5" customHeight="1" x14ac:dyDescent="0.5">
      <c r="A28" s="1015"/>
      <c r="B28" s="417"/>
      <c r="C28" s="351" t="s">
        <v>1049</v>
      </c>
      <c r="D28" s="352">
        <f>+D24-D25-D26</f>
        <v>0</v>
      </c>
      <c r="E28" s="352">
        <f>+E24-E25-E26</f>
        <v>0</v>
      </c>
      <c r="F28" s="352">
        <f>+F24-F25-F26</f>
        <v>0</v>
      </c>
      <c r="G28" s="352">
        <f>G24-G25-G26</f>
        <v>0</v>
      </c>
      <c r="H28" s="352">
        <f>+H24-H25-H26</f>
        <v>2317045</v>
      </c>
      <c r="I28" s="352">
        <f>+I24-I25-I26</f>
        <v>1906267.62</v>
      </c>
      <c r="J28" s="352">
        <f>J24-J25-J26</f>
        <v>4223312.62</v>
      </c>
      <c r="K28" s="352">
        <f>+K24-K25-K26</f>
        <v>0</v>
      </c>
      <c r="L28" s="352">
        <f>+L24-L25-L26</f>
        <v>0</v>
      </c>
      <c r="M28" s="352">
        <f>M24-M25-M26</f>
        <v>0</v>
      </c>
      <c r="N28" s="352">
        <f>+N24-N25-N26</f>
        <v>0</v>
      </c>
      <c r="O28" s="352">
        <f>+O24-O25-O26</f>
        <v>0</v>
      </c>
      <c r="P28" s="352">
        <f>P24-P25-P26</f>
        <v>4223312.62</v>
      </c>
    </row>
    <row r="29" spans="1:17" s="354" customFormat="1" ht="52.5" customHeight="1" x14ac:dyDescent="0.5">
      <c r="A29" s="1015"/>
      <c r="B29" s="633"/>
      <c r="C29" s="351" t="s">
        <v>100</v>
      </c>
      <c r="D29" s="352" t="e">
        <f>+D26*100/D23</f>
        <v>#DIV/0!</v>
      </c>
      <c r="E29" s="352" t="e">
        <f t="shared" ref="E29:P29" si="11">+E26*100/E23</f>
        <v>#DIV/0!</v>
      </c>
      <c r="F29" s="352" t="e">
        <f t="shared" si="11"/>
        <v>#DIV/0!</v>
      </c>
      <c r="G29" s="352" t="e">
        <f t="shared" si="11"/>
        <v>#DIV/0!</v>
      </c>
      <c r="H29" s="352">
        <f t="shared" si="11"/>
        <v>0.10508408880466849</v>
      </c>
      <c r="I29" s="352">
        <f t="shared" si="11"/>
        <v>13.568921377517869</v>
      </c>
      <c r="J29" s="352">
        <f t="shared" si="11"/>
        <v>7.2382663899154558</v>
      </c>
      <c r="K29" s="352" t="e">
        <f t="shared" si="11"/>
        <v>#DIV/0!</v>
      </c>
      <c r="L29" s="352" t="e">
        <f t="shared" si="11"/>
        <v>#DIV/0!</v>
      </c>
      <c r="M29" s="352" t="e">
        <f t="shared" si="11"/>
        <v>#DIV/0!</v>
      </c>
      <c r="N29" s="352" t="e">
        <f t="shared" si="11"/>
        <v>#DIV/0!</v>
      </c>
      <c r="O29" s="352" t="e">
        <f t="shared" si="11"/>
        <v>#DIV/0!</v>
      </c>
      <c r="P29" s="352">
        <f t="shared" si="11"/>
        <v>7.2382663899154558</v>
      </c>
    </row>
    <row r="30" spans="1:17" s="354" customFormat="1" ht="52.5" customHeight="1" x14ac:dyDescent="0.5">
      <c r="A30" s="1016"/>
      <c r="B30" s="491">
        <f>+B28-B29</f>
        <v>0</v>
      </c>
      <c r="C30" s="351" t="s">
        <v>1008</v>
      </c>
      <c r="D30" s="352" t="e">
        <f>+D26*100/D24</f>
        <v>#DIV/0!</v>
      </c>
      <c r="E30" s="352" t="e">
        <f t="shared" ref="E30:P30" si="12">+E26*100/E24</f>
        <v>#DIV/0!</v>
      </c>
      <c r="F30" s="352" t="e">
        <f t="shared" si="12"/>
        <v>#DIV/0!</v>
      </c>
      <c r="G30" s="352" t="e">
        <f t="shared" si="12"/>
        <v>#DIV/0!</v>
      </c>
      <c r="H30" s="352">
        <f t="shared" si="12"/>
        <v>0.21017044047503688</v>
      </c>
      <c r="I30" s="352">
        <f t="shared" si="12"/>
        <v>27.138102072603225</v>
      </c>
      <c r="J30" s="352">
        <f t="shared" si="12"/>
        <v>14.476679356850674</v>
      </c>
      <c r="K30" s="352" t="e">
        <f t="shared" si="12"/>
        <v>#DIV/0!</v>
      </c>
      <c r="L30" s="352" t="e">
        <f t="shared" si="12"/>
        <v>#DIV/0!</v>
      </c>
      <c r="M30" s="352" t="e">
        <f t="shared" si="12"/>
        <v>#DIV/0!</v>
      </c>
      <c r="N30" s="352" t="e">
        <f t="shared" si="12"/>
        <v>#DIV/0!</v>
      </c>
      <c r="O30" s="352" t="e">
        <f t="shared" si="12"/>
        <v>#DIV/0!</v>
      </c>
      <c r="P30" s="352">
        <f t="shared" si="12"/>
        <v>14.476679356850674</v>
      </c>
    </row>
    <row r="31" spans="1:17" s="354" customFormat="1" ht="52.5" customHeight="1" x14ac:dyDescent="0.5">
      <c r="A31" s="1023" t="s">
        <v>232</v>
      </c>
      <c r="B31" s="1023"/>
      <c r="C31" s="351" t="s">
        <v>991</v>
      </c>
      <c r="D31" s="352">
        <v>627075500</v>
      </c>
      <c r="E31" s="352">
        <v>246152200</v>
      </c>
      <c r="F31" s="352">
        <v>516824300</v>
      </c>
      <c r="G31" s="352">
        <f>SUM(D31:F31)</f>
        <v>1390052000</v>
      </c>
      <c r="H31" s="352">
        <v>30007600</v>
      </c>
      <c r="I31" s="352">
        <v>0</v>
      </c>
      <c r="J31" s="352">
        <f>SUM(H31:I31)</f>
        <v>30007600</v>
      </c>
      <c r="K31" s="352">
        <v>0</v>
      </c>
      <c r="L31" s="352">
        <v>0</v>
      </c>
      <c r="M31" s="352">
        <f>SUM(K31:L31)</f>
        <v>0</v>
      </c>
      <c r="N31" s="352">
        <v>0</v>
      </c>
      <c r="O31" s="352">
        <v>0</v>
      </c>
      <c r="P31" s="352">
        <f>+G31+J31+M31+N31+O31</f>
        <v>1420059600</v>
      </c>
    </row>
    <row r="32" spans="1:17" s="354" customFormat="1" ht="52.5" customHeight="1" x14ac:dyDescent="0.5">
      <c r="A32" s="1015">
        <v>4</v>
      </c>
      <c r="B32" s="411" t="s">
        <v>233</v>
      </c>
      <c r="C32" s="351" t="s">
        <v>1007</v>
      </c>
      <c r="D32" s="352">
        <f>+D31/2</f>
        <v>313537750</v>
      </c>
      <c r="E32" s="352">
        <f t="shared" ref="E32:F32" si="13">+E31/2</f>
        <v>123076100</v>
      </c>
      <c r="F32" s="352">
        <f t="shared" si="13"/>
        <v>258412150</v>
      </c>
      <c r="G32" s="352">
        <f>SUM(D32:F32)</f>
        <v>695026000</v>
      </c>
      <c r="H32" s="352">
        <v>15003700</v>
      </c>
      <c r="I32" s="352">
        <v>0</v>
      </c>
      <c r="J32" s="352">
        <f>SUM(H32:I32)</f>
        <v>15003700</v>
      </c>
      <c r="K32" s="352">
        <v>0</v>
      </c>
      <c r="L32" s="352">
        <v>0</v>
      </c>
      <c r="M32" s="352">
        <f>SUM(K32:L32)</f>
        <v>0</v>
      </c>
      <c r="N32" s="352">
        <v>0</v>
      </c>
      <c r="O32" s="352">
        <v>0</v>
      </c>
      <c r="P32" s="352">
        <f>+G32+J32+M32+N32+O32</f>
        <v>710029700</v>
      </c>
    </row>
    <row r="33" spans="1:17" s="354" customFormat="1" ht="52.5" customHeight="1" x14ac:dyDescent="0.5">
      <c r="A33" s="1015"/>
      <c r="B33" s="411" t="s">
        <v>689</v>
      </c>
      <c r="C33" s="351" t="s">
        <v>77</v>
      </c>
      <c r="D33" s="352">
        <v>0</v>
      </c>
      <c r="E33" s="352">
        <v>0</v>
      </c>
      <c r="F33" s="352">
        <v>0</v>
      </c>
      <c r="G33" s="352">
        <f>SUM(D33:F33)</f>
        <v>0</v>
      </c>
      <c r="H33" s="352">
        <v>0</v>
      </c>
      <c r="I33" s="352">
        <v>0</v>
      </c>
      <c r="J33" s="352">
        <f>SUM(H33:I33)</f>
        <v>0</v>
      </c>
      <c r="K33" s="352">
        <v>0</v>
      </c>
      <c r="L33" s="352">
        <v>0</v>
      </c>
      <c r="M33" s="352">
        <f>SUM(K33:L33)</f>
        <v>0</v>
      </c>
      <c r="N33" s="352">
        <v>0</v>
      </c>
      <c r="O33" s="352">
        <v>0</v>
      </c>
      <c r="P33" s="352">
        <f>+G33+J33+M33+N33+O33</f>
        <v>0</v>
      </c>
    </row>
    <row r="34" spans="1:17" s="354" customFormat="1" ht="52.5" customHeight="1" x14ac:dyDescent="0.5">
      <c r="A34" s="1015"/>
      <c r="B34" s="412" t="s">
        <v>239</v>
      </c>
      <c r="C34" s="351" t="s">
        <v>17</v>
      </c>
      <c r="D34" s="352">
        <v>51948454.979999997</v>
      </c>
      <c r="E34" s="352">
        <v>19790767.98</v>
      </c>
      <c r="F34" s="352">
        <v>37367406.509999998</v>
      </c>
      <c r="G34" s="352">
        <f>SUM(D34:F34)</f>
        <v>109106629.47</v>
      </c>
      <c r="H34" s="352">
        <f>906203.02+622630</f>
        <v>1528833.02</v>
      </c>
      <c r="I34" s="352">
        <v>0</v>
      </c>
      <c r="J34" s="352">
        <f>SUM(H34:I34)</f>
        <v>1528833.02</v>
      </c>
      <c r="K34" s="352">
        <v>0</v>
      </c>
      <c r="L34" s="352">
        <v>0</v>
      </c>
      <c r="M34" s="352">
        <f>SUM(K34:L34)</f>
        <v>0</v>
      </c>
      <c r="N34" s="352">
        <v>0</v>
      </c>
      <c r="O34" s="352">
        <v>0</v>
      </c>
      <c r="P34" s="352">
        <f>+G34+J34+M34+N34+O34</f>
        <v>110635462.48999999</v>
      </c>
    </row>
    <row r="35" spans="1:17" s="360" customFormat="1" ht="52.5" customHeight="1" x14ac:dyDescent="0.5">
      <c r="A35" s="1015"/>
      <c r="B35" s="412" t="s">
        <v>690</v>
      </c>
      <c r="C35" s="351" t="s">
        <v>78</v>
      </c>
      <c r="D35" s="352">
        <f>+D32-D34</f>
        <v>261589295.02000001</v>
      </c>
      <c r="E35" s="352">
        <f>+E32-E34</f>
        <v>103285332.02</v>
      </c>
      <c r="F35" s="352">
        <f>+F32-F34</f>
        <v>221044743.49000001</v>
      </c>
      <c r="G35" s="352">
        <f>G32-G34</f>
        <v>585919370.52999997</v>
      </c>
      <c r="H35" s="352">
        <f>+H32-H34</f>
        <v>13474866.98</v>
      </c>
      <c r="I35" s="352">
        <f>+I32-I34</f>
        <v>0</v>
      </c>
      <c r="J35" s="352">
        <f t="shared" ref="J35" si="14">J32-J34</f>
        <v>13474866.98</v>
      </c>
      <c r="K35" s="352">
        <f>+K32-K34</f>
        <v>0</v>
      </c>
      <c r="L35" s="352">
        <f>+L32-L34</f>
        <v>0</v>
      </c>
      <c r="M35" s="352">
        <f t="shared" ref="M35" si="15">M32-M34</f>
        <v>0</v>
      </c>
      <c r="N35" s="352">
        <f>+N32-N34</f>
        <v>0</v>
      </c>
      <c r="O35" s="352">
        <f>+O32-O34</f>
        <v>0</v>
      </c>
      <c r="P35" s="352">
        <f t="shared" ref="P35" si="16">P32-P34</f>
        <v>599394237.50999999</v>
      </c>
    </row>
    <row r="36" spans="1:17" s="360" customFormat="1" ht="52.5" customHeight="1" x14ac:dyDescent="0.5">
      <c r="A36" s="1015"/>
      <c r="B36" s="417"/>
      <c r="C36" s="351" t="s">
        <v>1049</v>
      </c>
      <c r="D36" s="352">
        <f>+D32-D33-D34</f>
        <v>261589295.02000001</v>
      </c>
      <c r="E36" s="352">
        <f>+E32-E33-E34</f>
        <v>103285332.02</v>
      </c>
      <c r="F36" s="352">
        <f>+F32-F33-F34</f>
        <v>221044743.49000001</v>
      </c>
      <c r="G36" s="352">
        <f>G32-G33-G34</f>
        <v>585919370.52999997</v>
      </c>
      <c r="H36" s="352">
        <f>+H32-H33-H34</f>
        <v>13474866.98</v>
      </c>
      <c r="I36" s="352">
        <f>+I32-I33-I34</f>
        <v>0</v>
      </c>
      <c r="J36" s="352">
        <f>J32-J33-J34</f>
        <v>13474866.98</v>
      </c>
      <c r="K36" s="352">
        <f>+K32-K33-K34</f>
        <v>0</v>
      </c>
      <c r="L36" s="352">
        <f>+L32-L33-L34</f>
        <v>0</v>
      </c>
      <c r="M36" s="352">
        <f>M32-M33-M34</f>
        <v>0</v>
      </c>
      <c r="N36" s="352">
        <f>+N32-N33-N34</f>
        <v>0</v>
      </c>
      <c r="O36" s="352">
        <f>+O32-O33-O34</f>
        <v>0</v>
      </c>
      <c r="P36" s="352">
        <f>P32-P33-P34</f>
        <v>599394237.50999999</v>
      </c>
    </row>
    <row r="37" spans="1:17" s="354" customFormat="1" ht="52.5" customHeight="1" x14ac:dyDescent="0.5">
      <c r="A37" s="1015"/>
      <c r="B37" s="417"/>
      <c r="C37" s="351" t="s">
        <v>100</v>
      </c>
      <c r="D37" s="352">
        <f>+D34*100/D31</f>
        <v>8.2842424843579447</v>
      </c>
      <c r="E37" s="352">
        <f t="shared" ref="E37:P37" si="17">+E34*100/E31</f>
        <v>8.0400532597311738</v>
      </c>
      <c r="F37" s="352">
        <f t="shared" si="17"/>
        <v>7.230195350721706</v>
      </c>
      <c r="G37" s="352">
        <f t="shared" si="17"/>
        <v>7.8491041680455123</v>
      </c>
      <c r="H37" s="352">
        <f t="shared" si="17"/>
        <v>5.0948193790906302</v>
      </c>
      <c r="I37" s="352" t="e">
        <f t="shared" si="17"/>
        <v>#DIV/0!</v>
      </c>
      <c r="J37" s="352">
        <f t="shared" si="17"/>
        <v>5.0948193790906302</v>
      </c>
      <c r="K37" s="352" t="e">
        <f t="shared" si="17"/>
        <v>#DIV/0!</v>
      </c>
      <c r="L37" s="352" t="e">
        <f t="shared" si="17"/>
        <v>#DIV/0!</v>
      </c>
      <c r="M37" s="352" t="e">
        <f t="shared" si="17"/>
        <v>#DIV/0!</v>
      </c>
      <c r="N37" s="352" t="e">
        <f t="shared" si="17"/>
        <v>#DIV/0!</v>
      </c>
      <c r="O37" s="352" t="e">
        <f t="shared" si="17"/>
        <v>#DIV/0!</v>
      </c>
      <c r="P37" s="352">
        <f t="shared" si="17"/>
        <v>7.7909027543632678</v>
      </c>
    </row>
    <row r="38" spans="1:17" s="354" customFormat="1" ht="52.5" customHeight="1" x14ac:dyDescent="0.5">
      <c r="A38" s="1016"/>
      <c r="B38" s="492"/>
      <c r="C38" s="351" t="s">
        <v>1008</v>
      </c>
      <c r="D38" s="352">
        <f>+D34*100/D32</f>
        <v>16.568484968715889</v>
      </c>
      <c r="E38" s="352">
        <f t="shared" ref="E38:P38" si="18">+E34*100/E32</f>
        <v>16.080106519462348</v>
      </c>
      <c r="F38" s="352">
        <f t="shared" si="18"/>
        <v>14.460390701443412</v>
      </c>
      <c r="G38" s="352">
        <f t="shared" si="18"/>
        <v>15.698208336091025</v>
      </c>
      <c r="H38" s="352">
        <f t="shared" si="18"/>
        <v>10.189706672354152</v>
      </c>
      <c r="I38" s="352" t="e">
        <f t="shared" si="18"/>
        <v>#DIV/0!</v>
      </c>
      <c r="J38" s="352">
        <f t="shared" si="18"/>
        <v>10.189706672354152</v>
      </c>
      <c r="K38" s="352" t="e">
        <f t="shared" si="18"/>
        <v>#DIV/0!</v>
      </c>
      <c r="L38" s="352" t="e">
        <f t="shared" si="18"/>
        <v>#DIV/0!</v>
      </c>
      <c r="M38" s="352" t="e">
        <f t="shared" si="18"/>
        <v>#DIV/0!</v>
      </c>
      <c r="N38" s="352" t="e">
        <f t="shared" si="18"/>
        <v>#DIV/0!</v>
      </c>
      <c r="O38" s="352" t="e">
        <f t="shared" si="18"/>
        <v>#DIV/0!</v>
      </c>
      <c r="P38" s="352">
        <f t="shared" si="18"/>
        <v>15.58180770325523</v>
      </c>
    </row>
    <row r="39" spans="1:17" s="354" customFormat="1" ht="52.5" customHeight="1" x14ac:dyDescent="0.5">
      <c r="A39" s="1014" t="s">
        <v>409</v>
      </c>
      <c r="B39" s="1014"/>
      <c r="C39" s="351" t="s">
        <v>991</v>
      </c>
      <c r="D39" s="352">
        <v>0</v>
      </c>
      <c r="E39" s="352">
        <v>0</v>
      </c>
      <c r="F39" s="352">
        <v>0</v>
      </c>
      <c r="G39" s="352">
        <f>SUM(D39:F39)</f>
        <v>0</v>
      </c>
      <c r="H39" s="352">
        <v>0</v>
      </c>
      <c r="I39" s="352">
        <v>0</v>
      </c>
      <c r="J39" s="352">
        <f>SUM(H39:I39)</f>
        <v>0</v>
      </c>
      <c r="K39" s="352">
        <v>0</v>
      </c>
      <c r="L39" s="352">
        <v>0</v>
      </c>
      <c r="M39" s="352">
        <f>SUM(K39:L39)</f>
        <v>0</v>
      </c>
      <c r="N39" s="352">
        <v>0</v>
      </c>
      <c r="O39" s="352">
        <v>1567000</v>
      </c>
      <c r="P39" s="352">
        <f>+G39+J39+M39+N39+O39</f>
        <v>1567000</v>
      </c>
    </row>
    <row r="40" spans="1:17" s="354" customFormat="1" ht="52.5" customHeight="1" x14ac:dyDescent="0.5">
      <c r="A40" s="1014" t="s">
        <v>995</v>
      </c>
      <c r="B40" s="1017"/>
      <c r="C40" s="351" t="s">
        <v>1007</v>
      </c>
      <c r="D40" s="352">
        <v>0</v>
      </c>
      <c r="E40" s="352">
        <v>0</v>
      </c>
      <c r="F40" s="352">
        <v>0</v>
      </c>
      <c r="G40" s="352">
        <f>SUM(D40:F40)</f>
        <v>0</v>
      </c>
      <c r="H40" s="352">
        <v>0</v>
      </c>
      <c r="I40" s="352">
        <v>0</v>
      </c>
      <c r="J40" s="352">
        <f>SUM(H40:I40)</f>
        <v>0</v>
      </c>
      <c r="K40" s="352">
        <v>0</v>
      </c>
      <c r="L40" s="352">
        <v>0</v>
      </c>
      <c r="M40" s="352">
        <f>SUM(K40:L40)</f>
        <v>0</v>
      </c>
      <c r="N40" s="352">
        <v>0</v>
      </c>
      <c r="O40" s="352">
        <v>783500</v>
      </c>
      <c r="P40" s="352">
        <f>+G40+J40+M40+N40+O40</f>
        <v>783500</v>
      </c>
      <c r="Q40" s="354">
        <f>+P39-P40</f>
        <v>783500</v>
      </c>
    </row>
    <row r="41" spans="1:17" s="354" customFormat="1" ht="52.5" customHeight="1" x14ac:dyDescent="0.5">
      <c r="A41" s="1021">
        <v>5</v>
      </c>
      <c r="B41" s="409" t="s">
        <v>996</v>
      </c>
      <c r="C41" s="351" t="s">
        <v>77</v>
      </c>
      <c r="D41" s="352">
        <v>0</v>
      </c>
      <c r="E41" s="352">
        <v>0</v>
      </c>
      <c r="F41" s="352">
        <v>0</v>
      </c>
      <c r="G41" s="352">
        <f>SUM(D41:F41)</f>
        <v>0</v>
      </c>
      <c r="H41" s="352">
        <v>0</v>
      </c>
      <c r="I41" s="352">
        <v>0</v>
      </c>
      <c r="J41" s="352">
        <f>SUM(H41:I41)</f>
        <v>0</v>
      </c>
      <c r="K41" s="352">
        <v>0</v>
      </c>
      <c r="L41" s="352">
        <v>0</v>
      </c>
      <c r="M41" s="352">
        <f>SUM(K41:L41)</f>
        <v>0</v>
      </c>
      <c r="N41" s="352">
        <v>0</v>
      </c>
      <c r="O41" s="352">
        <v>0</v>
      </c>
      <c r="P41" s="352">
        <f>+G41+J41+M41+N41+O41</f>
        <v>0</v>
      </c>
      <c r="Q41" s="354">
        <f>SUM(Q32:Q40)</f>
        <v>783500</v>
      </c>
    </row>
    <row r="42" spans="1:17" s="354" customFormat="1" ht="52.5" customHeight="1" x14ac:dyDescent="0.5">
      <c r="A42" s="1021"/>
      <c r="B42" s="414" t="s">
        <v>997</v>
      </c>
      <c r="C42" s="351" t="s">
        <v>17</v>
      </c>
      <c r="D42" s="352">
        <v>0</v>
      </c>
      <c r="E42" s="352">
        <v>0</v>
      </c>
      <c r="F42" s="352">
        <v>0</v>
      </c>
      <c r="G42" s="352">
        <f>SUM(D42:F42)</f>
        <v>0</v>
      </c>
      <c r="H42" s="352">
        <v>0</v>
      </c>
      <c r="I42" s="352">
        <v>0</v>
      </c>
      <c r="J42" s="352">
        <f>SUM(H42:I42)</f>
        <v>0</v>
      </c>
      <c r="K42" s="352">
        <v>0</v>
      </c>
      <c r="L42" s="352">
        <v>0</v>
      </c>
      <c r="M42" s="352">
        <f>SUM(K42:L42)</f>
        <v>0</v>
      </c>
      <c r="N42" s="352">
        <v>0</v>
      </c>
      <c r="O42" s="352">
        <v>0</v>
      </c>
      <c r="P42" s="352">
        <f>+G42+J42+M42+N42+O42</f>
        <v>0</v>
      </c>
    </row>
    <row r="43" spans="1:17" s="360" customFormat="1" ht="52.5" customHeight="1" x14ac:dyDescent="0.5">
      <c r="A43" s="1021"/>
      <c r="B43" s="412" t="s">
        <v>998</v>
      </c>
      <c r="C43" s="351" t="s">
        <v>78</v>
      </c>
      <c r="D43" s="352">
        <f>+D40-D42</f>
        <v>0</v>
      </c>
      <c r="E43" s="352">
        <f>+E40-E42</f>
        <v>0</v>
      </c>
      <c r="F43" s="352">
        <f>+F40-F42</f>
        <v>0</v>
      </c>
      <c r="G43" s="352">
        <f>G40-G42</f>
        <v>0</v>
      </c>
      <c r="H43" s="352">
        <f>+H40-H42</f>
        <v>0</v>
      </c>
      <c r="I43" s="352">
        <f>+I40-I42</f>
        <v>0</v>
      </c>
      <c r="J43" s="352">
        <f t="shared" ref="J43" si="19">J40-J42</f>
        <v>0</v>
      </c>
      <c r="K43" s="352">
        <f>+K40-K42</f>
        <v>0</v>
      </c>
      <c r="L43" s="352">
        <f>+L40-L42</f>
        <v>0</v>
      </c>
      <c r="M43" s="352">
        <f t="shared" ref="M43" si="20">M40-M42</f>
        <v>0</v>
      </c>
      <c r="N43" s="352">
        <f>+N40-N42</f>
        <v>0</v>
      </c>
      <c r="O43" s="352">
        <f>+O40-O42</f>
        <v>783500</v>
      </c>
      <c r="P43" s="352">
        <f t="shared" ref="P43" si="21">P40-P42</f>
        <v>783500</v>
      </c>
    </row>
    <row r="44" spans="1:17" s="360" customFormat="1" ht="52.5" customHeight="1" x14ac:dyDescent="0.5">
      <c r="A44" s="1021"/>
      <c r="B44" s="410"/>
      <c r="C44" s="351" t="s">
        <v>1049</v>
      </c>
      <c r="D44" s="352">
        <f>+D40-D41-D42</f>
        <v>0</v>
      </c>
      <c r="E44" s="352">
        <f>+E40-E41-E42</f>
        <v>0</v>
      </c>
      <c r="F44" s="352">
        <f>+F40-F41-F42</f>
        <v>0</v>
      </c>
      <c r="G44" s="352">
        <f>G40-G41-G42</f>
        <v>0</v>
      </c>
      <c r="H44" s="352">
        <f>+H40-H41-H42</f>
        <v>0</v>
      </c>
      <c r="I44" s="352">
        <f>+I40-I41-I42</f>
        <v>0</v>
      </c>
      <c r="J44" s="352">
        <f>J40-J41-J42</f>
        <v>0</v>
      </c>
      <c r="K44" s="352">
        <f>+K40-K41-K42</f>
        <v>0</v>
      </c>
      <c r="L44" s="352">
        <f>+L40-L41-L42</f>
        <v>0</v>
      </c>
      <c r="M44" s="352">
        <f>M40-M41-M42</f>
        <v>0</v>
      </c>
      <c r="N44" s="352">
        <f>+N40-N41-N42</f>
        <v>0</v>
      </c>
      <c r="O44" s="352">
        <f>+O40-O41-O42</f>
        <v>783500</v>
      </c>
      <c r="P44" s="352">
        <f>P40-P41-P42</f>
        <v>783500</v>
      </c>
    </row>
    <row r="45" spans="1:17" s="354" customFormat="1" ht="52.5" customHeight="1" x14ac:dyDescent="0.5">
      <c r="A45" s="1021"/>
      <c r="B45" s="412"/>
      <c r="C45" s="351" t="s">
        <v>100</v>
      </c>
      <c r="D45" s="352" t="e">
        <f>+D42*100/D39</f>
        <v>#DIV/0!</v>
      </c>
      <c r="E45" s="352" t="e">
        <f t="shared" ref="E45:P45" si="22">+E42*100/E39</f>
        <v>#DIV/0!</v>
      </c>
      <c r="F45" s="352" t="e">
        <f t="shared" si="22"/>
        <v>#DIV/0!</v>
      </c>
      <c r="G45" s="352" t="e">
        <f t="shared" si="22"/>
        <v>#DIV/0!</v>
      </c>
      <c r="H45" s="352" t="e">
        <f t="shared" si="22"/>
        <v>#DIV/0!</v>
      </c>
      <c r="I45" s="352" t="e">
        <f t="shared" si="22"/>
        <v>#DIV/0!</v>
      </c>
      <c r="J45" s="352" t="e">
        <f t="shared" si="22"/>
        <v>#DIV/0!</v>
      </c>
      <c r="K45" s="352" t="e">
        <f t="shared" si="22"/>
        <v>#DIV/0!</v>
      </c>
      <c r="L45" s="352" t="e">
        <f t="shared" si="22"/>
        <v>#DIV/0!</v>
      </c>
      <c r="M45" s="352" t="e">
        <f t="shared" si="22"/>
        <v>#DIV/0!</v>
      </c>
      <c r="N45" s="352" t="e">
        <f t="shared" si="22"/>
        <v>#DIV/0!</v>
      </c>
      <c r="O45" s="352">
        <f t="shared" si="22"/>
        <v>0</v>
      </c>
      <c r="P45" s="352">
        <f t="shared" si="22"/>
        <v>0</v>
      </c>
    </row>
    <row r="46" spans="1:17" s="354" customFormat="1" ht="52.5" customHeight="1" x14ac:dyDescent="0.5">
      <c r="A46" s="1022"/>
      <c r="B46" s="493"/>
      <c r="C46" s="351" t="s">
        <v>1008</v>
      </c>
      <c r="D46" s="352" t="e">
        <f>+D42*100/D40</f>
        <v>#DIV/0!</v>
      </c>
      <c r="E46" s="352" t="e">
        <f t="shared" ref="E46:P46" si="23">+E42*100/E40</f>
        <v>#DIV/0!</v>
      </c>
      <c r="F46" s="352" t="e">
        <f t="shared" si="23"/>
        <v>#DIV/0!</v>
      </c>
      <c r="G46" s="352" t="e">
        <f t="shared" si="23"/>
        <v>#DIV/0!</v>
      </c>
      <c r="H46" s="352" t="e">
        <f t="shared" si="23"/>
        <v>#DIV/0!</v>
      </c>
      <c r="I46" s="352" t="e">
        <f t="shared" si="23"/>
        <v>#DIV/0!</v>
      </c>
      <c r="J46" s="352" t="e">
        <f t="shared" si="23"/>
        <v>#DIV/0!</v>
      </c>
      <c r="K46" s="352" t="e">
        <f t="shared" si="23"/>
        <v>#DIV/0!</v>
      </c>
      <c r="L46" s="352" t="e">
        <f t="shared" si="23"/>
        <v>#DIV/0!</v>
      </c>
      <c r="M46" s="352" t="e">
        <f t="shared" si="23"/>
        <v>#DIV/0!</v>
      </c>
      <c r="N46" s="352" t="e">
        <f t="shared" si="23"/>
        <v>#DIV/0!</v>
      </c>
      <c r="O46" s="352">
        <f t="shared" si="23"/>
        <v>0</v>
      </c>
      <c r="P46" s="352">
        <f t="shared" si="23"/>
        <v>0</v>
      </c>
    </row>
    <row r="47" spans="1:17" s="354" customFormat="1" ht="52.5" customHeight="1" x14ac:dyDescent="0.5">
      <c r="A47" s="1014" t="s">
        <v>409</v>
      </c>
      <c r="B47" s="1014"/>
      <c r="C47" s="351" t="s">
        <v>991</v>
      </c>
      <c r="D47" s="352">
        <v>0</v>
      </c>
      <c r="E47" s="352">
        <v>0</v>
      </c>
      <c r="F47" s="352">
        <v>0</v>
      </c>
      <c r="G47" s="352">
        <f>SUM(D47:F47)</f>
        <v>0</v>
      </c>
      <c r="H47" s="352">
        <v>487500</v>
      </c>
      <c r="I47" s="352">
        <v>0</v>
      </c>
      <c r="J47" s="352">
        <f>SUM(H47:I47)</f>
        <v>487500</v>
      </c>
      <c r="K47" s="352">
        <v>0</v>
      </c>
      <c r="L47" s="352">
        <v>0</v>
      </c>
      <c r="M47" s="352">
        <f>SUM(K47:L47)</f>
        <v>0</v>
      </c>
      <c r="N47" s="352">
        <v>0</v>
      </c>
      <c r="O47" s="352">
        <v>4624600</v>
      </c>
      <c r="P47" s="352">
        <f>+G47+J47+M47+N47+O47</f>
        <v>5112100</v>
      </c>
    </row>
    <row r="48" spans="1:17" s="354" customFormat="1" ht="52.5" customHeight="1" x14ac:dyDescent="0.5">
      <c r="A48" s="1014" t="s">
        <v>415</v>
      </c>
      <c r="B48" s="1017"/>
      <c r="C48" s="351" t="s">
        <v>1007</v>
      </c>
      <c r="D48" s="352">
        <v>0</v>
      </c>
      <c r="E48" s="352">
        <v>0</v>
      </c>
      <c r="F48" s="352">
        <v>0</v>
      </c>
      <c r="G48" s="352">
        <f>SUM(D48:F48)</f>
        <v>0</v>
      </c>
      <c r="H48" s="352">
        <v>243700</v>
      </c>
      <c r="I48" s="352">
        <v>0</v>
      </c>
      <c r="J48" s="352">
        <f>SUM(H48:I48)</f>
        <v>243700</v>
      </c>
      <c r="K48" s="352">
        <v>0</v>
      </c>
      <c r="L48" s="352">
        <v>0</v>
      </c>
      <c r="M48" s="352">
        <f>SUM(K48:L48)</f>
        <v>0</v>
      </c>
      <c r="N48" s="352">
        <v>0</v>
      </c>
      <c r="O48" s="352">
        <v>2312300</v>
      </c>
      <c r="P48" s="352">
        <f>+G48+J48+M48+N48+O48</f>
        <v>2556000</v>
      </c>
      <c r="Q48" s="354">
        <f>+P47-P48</f>
        <v>2556100</v>
      </c>
    </row>
    <row r="49" spans="1:17" s="354" customFormat="1" ht="52.5" customHeight="1" x14ac:dyDescent="0.5">
      <c r="A49" s="1021">
        <v>6</v>
      </c>
      <c r="B49" s="409" t="s">
        <v>1001</v>
      </c>
      <c r="C49" s="351" t="s">
        <v>77</v>
      </c>
      <c r="D49" s="352">
        <v>0</v>
      </c>
      <c r="E49" s="352">
        <v>0</v>
      </c>
      <c r="F49" s="352">
        <v>0</v>
      </c>
      <c r="G49" s="352">
        <f>SUM(D49:F49)</f>
        <v>0</v>
      </c>
      <c r="H49" s="352">
        <v>0</v>
      </c>
      <c r="I49" s="352">
        <v>0</v>
      </c>
      <c r="J49" s="352">
        <f>SUM(H49:I49)</f>
        <v>0</v>
      </c>
      <c r="K49" s="352">
        <v>0</v>
      </c>
      <c r="L49" s="352">
        <v>0</v>
      </c>
      <c r="M49" s="352">
        <f>SUM(K49:L49)</f>
        <v>0</v>
      </c>
      <c r="N49" s="352">
        <v>0</v>
      </c>
      <c r="O49" s="352">
        <v>0</v>
      </c>
      <c r="P49" s="352">
        <f>+G49+J49+M49+N49+O49</f>
        <v>0</v>
      </c>
      <c r="Q49" s="354">
        <f>SUM(Q40:Q48)</f>
        <v>4123100</v>
      </c>
    </row>
    <row r="50" spans="1:17" s="354" customFormat="1" ht="52.5" customHeight="1" x14ac:dyDescent="0.5">
      <c r="A50" s="1021"/>
      <c r="B50" s="409" t="s">
        <v>238</v>
      </c>
      <c r="C50" s="351" t="s">
        <v>17</v>
      </c>
      <c r="D50" s="352">
        <v>0</v>
      </c>
      <c r="E50" s="352">
        <v>0</v>
      </c>
      <c r="F50" s="352">
        <v>0</v>
      </c>
      <c r="G50" s="352">
        <f>SUM(D50:F50)</f>
        <v>0</v>
      </c>
      <c r="H50" s="352">
        <v>0</v>
      </c>
      <c r="I50" s="352">
        <v>0</v>
      </c>
      <c r="J50" s="352">
        <f>SUM(H50:I50)</f>
        <v>0</v>
      </c>
      <c r="K50" s="352">
        <v>0</v>
      </c>
      <c r="L50" s="352">
        <v>0</v>
      </c>
      <c r="M50" s="352">
        <f>SUM(K50:L50)</f>
        <v>0</v>
      </c>
      <c r="N50" s="352">
        <v>0</v>
      </c>
      <c r="O50" s="352">
        <v>0</v>
      </c>
      <c r="P50" s="352">
        <f>+G50+J50+M50+N50+O50</f>
        <v>0</v>
      </c>
    </row>
    <row r="51" spans="1:17" s="360" customFormat="1" ht="52.5" customHeight="1" x14ac:dyDescent="0.5">
      <c r="A51" s="1021"/>
      <c r="B51" s="412" t="s">
        <v>691</v>
      </c>
      <c r="C51" s="351" t="s">
        <v>78</v>
      </c>
      <c r="D51" s="352">
        <f>+D48-D50</f>
        <v>0</v>
      </c>
      <c r="E51" s="352">
        <f>+E48-E50</f>
        <v>0</v>
      </c>
      <c r="F51" s="352">
        <f>+F48-F50</f>
        <v>0</v>
      </c>
      <c r="G51" s="352">
        <f>G48-G50</f>
        <v>0</v>
      </c>
      <c r="H51" s="352">
        <f>+H48-H50</f>
        <v>243700</v>
      </c>
      <c r="I51" s="352">
        <f>+I48-I50</f>
        <v>0</v>
      </c>
      <c r="J51" s="352">
        <f t="shared" ref="J51" si="24">J48-J50</f>
        <v>243700</v>
      </c>
      <c r="K51" s="352">
        <f>+K48-K50</f>
        <v>0</v>
      </c>
      <c r="L51" s="352">
        <f>+L48-L50</f>
        <v>0</v>
      </c>
      <c r="M51" s="352">
        <f t="shared" ref="M51" si="25">M48-M50</f>
        <v>0</v>
      </c>
      <c r="N51" s="352">
        <f>+N48-N50</f>
        <v>0</v>
      </c>
      <c r="O51" s="352">
        <f>+O48-O50</f>
        <v>2312300</v>
      </c>
      <c r="P51" s="352">
        <f t="shared" ref="P51" si="26">P48-P50</f>
        <v>2556000</v>
      </c>
    </row>
    <row r="52" spans="1:17" s="360" customFormat="1" ht="52.5" customHeight="1" x14ac:dyDescent="0.5">
      <c r="A52" s="1021"/>
      <c r="B52" s="905" t="s">
        <v>1002</v>
      </c>
      <c r="C52" s="351" t="s">
        <v>1049</v>
      </c>
      <c r="D52" s="352">
        <f>+D48-D49-D50</f>
        <v>0</v>
      </c>
      <c r="E52" s="352">
        <f>+E48-E49-E50</f>
        <v>0</v>
      </c>
      <c r="F52" s="352">
        <f>+F48-F49-F50</f>
        <v>0</v>
      </c>
      <c r="G52" s="352">
        <f>G48-G49-G50</f>
        <v>0</v>
      </c>
      <c r="H52" s="352">
        <f>+H48-H49-H50</f>
        <v>243700</v>
      </c>
      <c r="I52" s="352">
        <f>+I48-I49-I50</f>
        <v>0</v>
      </c>
      <c r="J52" s="352">
        <f>J48-J49-J50</f>
        <v>243700</v>
      </c>
      <c r="K52" s="352">
        <f>+K48-K49-K50</f>
        <v>0</v>
      </c>
      <c r="L52" s="352">
        <f>+L48-L49-L50</f>
        <v>0</v>
      </c>
      <c r="M52" s="352">
        <f>M48-M49-M50</f>
        <v>0</v>
      </c>
      <c r="N52" s="352">
        <f>+N48-N49-N50</f>
        <v>0</v>
      </c>
      <c r="O52" s="352">
        <f>+O48-O49-O50</f>
        <v>2312300</v>
      </c>
      <c r="P52" s="352">
        <f>P48-P49-P50</f>
        <v>2556000</v>
      </c>
    </row>
    <row r="53" spans="1:17" s="354" customFormat="1" ht="52.5" customHeight="1" x14ac:dyDescent="0.5">
      <c r="A53" s="1021"/>
      <c r="B53" s="411" t="s">
        <v>999</v>
      </c>
      <c r="C53" s="351" t="s">
        <v>100</v>
      </c>
      <c r="D53" s="352" t="e">
        <f>+D50*100/D47</f>
        <v>#DIV/0!</v>
      </c>
      <c r="E53" s="352" t="e">
        <f t="shared" ref="E53:P53" si="27">+E50*100/E47</f>
        <v>#DIV/0!</v>
      </c>
      <c r="F53" s="352" t="e">
        <f t="shared" si="27"/>
        <v>#DIV/0!</v>
      </c>
      <c r="G53" s="352" t="e">
        <f t="shared" si="27"/>
        <v>#DIV/0!</v>
      </c>
      <c r="H53" s="352">
        <f t="shared" si="27"/>
        <v>0</v>
      </c>
      <c r="I53" s="352" t="e">
        <f t="shared" si="27"/>
        <v>#DIV/0!</v>
      </c>
      <c r="J53" s="352">
        <f t="shared" si="27"/>
        <v>0</v>
      </c>
      <c r="K53" s="352" t="e">
        <f t="shared" si="27"/>
        <v>#DIV/0!</v>
      </c>
      <c r="L53" s="352" t="e">
        <f t="shared" si="27"/>
        <v>#DIV/0!</v>
      </c>
      <c r="M53" s="352" t="e">
        <f t="shared" si="27"/>
        <v>#DIV/0!</v>
      </c>
      <c r="N53" s="352" t="e">
        <f t="shared" si="27"/>
        <v>#DIV/0!</v>
      </c>
      <c r="O53" s="352">
        <f t="shared" si="27"/>
        <v>0</v>
      </c>
      <c r="P53" s="352">
        <f t="shared" si="27"/>
        <v>0</v>
      </c>
    </row>
    <row r="54" spans="1:17" s="354" customFormat="1" ht="52.5" customHeight="1" x14ac:dyDescent="0.5">
      <c r="A54" s="1022"/>
      <c r="B54" s="412" t="s">
        <v>1000</v>
      </c>
      <c r="C54" s="351" t="s">
        <v>1008</v>
      </c>
      <c r="D54" s="352" t="e">
        <f>+D50*100/D48</f>
        <v>#DIV/0!</v>
      </c>
      <c r="E54" s="352" t="e">
        <f t="shared" ref="E54:P54" si="28">+E50*100/E48</f>
        <v>#DIV/0!</v>
      </c>
      <c r="F54" s="352" t="e">
        <f t="shared" si="28"/>
        <v>#DIV/0!</v>
      </c>
      <c r="G54" s="352" t="e">
        <f t="shared" si="28"/>
        <v>#DIV/0!</v>
      </c>
      <c r="H54" s="352">
        <f t="shared" si="28"/>
        <v>0</v>
      </c>
      <c r="I54" s="352" t="e">
        <f t="shared" si="28"/>
        <v>#DIV/0!</v>
      </c>
      <c r="J54" s="352">
        <f t="shared" si="28"/>
        <v>0</v>
      </c>
      <c r="K54" s="352" t="e">
        <f t="shared" si="28"/>
        <v>#DIV/0!</v>
      </c>
      <c r="L54" s="352" t="e">
        <f t="shared" si="28"/>
        <v>#DIV/0!</v>
      </c>
      <c r="M54" s="352" t="e">
        <f t="shared" si="28"/>
        <v>#DIV/0!</v>
      </c>
      <c r="N54" s="352" t="e">
        <f t="shared" si="28"/>
        <v>#DIV/0!</v>
      </c>
      <c r="O54" s="352">
        <f t="shared" si="28"/>
        <v>0</v>
      </c>
      <c r="P54" s="352">
        <f t="shared" si="28"/>
        <v>0</v>
      </c>
    </row>
    <row r="55" spans="1:17" s="354" customFormat="1" ht="52.5" customHeight="1" x14ac:dyDescent="0.5">
      <c r="A55" s="1014" t="s">
        <v>240</v>
      </c>
      <c r="B55" s="1014"/>
      <c r="C55" s="351" t="s">
        <v>991</v>
      </c>
      <c r="D55" s="352">
        <v>0</v>
      </c>
      <c r="E55" s="352">
        <v>0</v>
      </c>
      <c r="F55" s="352">
        <v>0</v>
      </c>
      <c r="G55" s="352">
        <f>SUM(D55:F55)</f>
        <v>0</v>
      </c>
      <c r="H55" s="352">
        <v>188451000</v>
      </c>
      <c r="I55" s="352">
        <v>10704700</v>
      </c>
      <c r="J55" s="352">
        <f>SUM(H55:I55)</f>
        <v>199155700</v>
      </c>
      <c r="K55" s="352">
        <v>5732400</v>
      </c>
      <c r="L55" s="352">
        <v>47423100</v>
      </c>
      <c r="M55" s="352">
        <f>SUM(K55:L55)</f>
        <v>53155500</v>
      </c>
      <c r="N55" s="352">
        <v>0</v>
      </c>
      <c r="O55" s="352">
        <v>0</v>
      </c>
      <c r="P55" s="352">
        <f>+G55+J55+M55+N55+O55</f>
        <v>252311200</v>
      </c>
    </row>
    <row r="56" spans="1:17" s="354" customFormat="1" ht="52.5" customHeight="1" x14ac:dyDescent="0.5">
      <c r="A56" s="1014" t="s">
        <v>241</v>
      </c>
      <c r="B56" s="1014"/>
      <c r="C56" s="351" t="s">
        <v>1007</v>
      </c>
      <c r="D56" s="352">
        <v>0</v>
      </c>
      <c r="E56" s="352">
        <v>0</v>
      </c>
      <c r="F56" s="352">
        <v>0</v>
      </c>
      <c r="G56" s="352">
        <f>SUM(D56:F56)</f>
        <v>0</v>
      </c>
      <c r="H56" s="352">
        <f>+H55/2-25</f>
        <v>94225475</v>
      </c>
      <c r="I56" s="352">
        <f>+I55/2-25</f>
        <v>5352325</v>
      </c>
      <c r="J56" s="352">
        <f>SUM(H56:I56)</f>
        <v>99577800</v>
      </c>
      <c r="K56" s="352">
        <v>5732400</v>
      </c>
      <c r="L56" s="352">
        <v>32745800</v>
      </c>
      <c r="M56" s="352">
        <f>SUM(K56:L56)</f>
        <v>38478200</v>
      </c>
      <c r="N56" s="352">
        <v>0</v>
      </c>
      <c r="O56" s="352">
        <v>0</v>
      </c>
      <c r="P56" s="352">
        <f>+G56+J56+M56+N56+O56</f>
        <v>138056000</v>
      </c>
      <c r="Q56" s="354">
        <f>+P55-P56</f>
        <v>114255200</v>
      </c>
    </row>
    <row r="57" spans="1:17" s="354" customFormat="1" ht="52.5" customHeight="1" x14ac:dyDescent="0.5">
      <c r="A57" s="1015">
        <v>7</v>
      </c>
      <c r="B57" s="480" t="s">
        <v>1003</v>
      </c>
      <c r="C57" s="351" t="s">
        <v>77</v>
      </c>
      <c r="D57" s="352">
        <v>0</v>
      </c>
      <c r="E57" s="352">
        <v>0</v>
      </c>
      <c r="F57" s="352">
        <v>0</v>
      </c>
      <c r="G57" s="352">
        <f>SUM(D57:F57)</f>
        <v>0</v>
      </c>
      <c r="H57" s="352">
        <f>5084094.86-I57</f>
        <v>4648094.8600000003</v>
      </c>
      <c r="I57" s="352">
        <v>436000</v>
      </c>
      <c r="J57" s="352">
        <f>SUM(H57:I57)</f>
        <v>5084094.8600000003</v>
      </c>
      <c r="K57" s="352">
        <v>798670</v>
      </c>
      <c r="L57" s="352">
        <v>3235800</v>
      </c>
      <c r="M57" s="352">
        <f>SUM(K57:L57)</f>
        <v>4034470</v>
      </c>
      <c r="N57" s="352">
        <v>0</v>
      </c>
      <c r="O57" s="352">
        <v>0</v>
      </c>
      <c r="P57" s="352">
        <f>+G57+J57+M57+N57+O57</f>
        <v>9118564.8599999994</v>
      </c>
      <c r="Q57" s="354">
        <f>SUM(Q48:Q56)</f>
        <v>120934400</v>
      </c>
    </row>
    <row r="58" spans="1:17" s="354" customFormat="1" ht="52.5" customHeight="1" x14ac:dyDescent="0.5">
      <c r="A58" s="1015"/>
      <c r="B58" s="411" t="s">
        <v>1004</v>
      </c>
      <c r="C58" s="351" t="s">
        <v>17</v>
      </c>
      <c r="D58" s="352">
        <v>0</v>
      </c>
      <c r="E58" s="352">
        <v>0</v>
      </c>
      <c r="F58" s="352">
        <v>0</v>
      </c>
      <c r="G58" s="352">
        <f>SUM(D58:F58)</f>
        <v>0</v>
      </c>
      <c r="H58" s="352">
        <f>3500580.6-I58</f>
        <v>2149023.52</v>
      </c>
      <c r="I58" s="352">
        <v>1351557.08</v>
      </c>
      <c r="J58" s="352">
        <f>SUM(H58:I58)</f>
        <v>3500580.6</v>
      </c>
      <c r="K58" s="352">
        <v>218560</v>
      </c>
      <c r="L58" s="352">
        <v>0</v>
      </c>
      <c r="M58" s="352">
        <f>SUM(K58:L58)</f>
        <v>218560</v>
      </c>
      <c r="N58" s="352">
        <v>0</v>
      </c>
      <c r="O58" s="352">
        <v>0</v>
      </c>
      <c r="P58" s="352">
        <f>+G58+J58+M58+N58+O58</f>
        <v>3719140.6</v>
      </c>
    </row>
    <row r="59" spans="1:17" s="360" customFormat="1" ht="52.5" customHeight="1" x14ac:dyDescent="0.5">
      <c r="A59" s="1015"/>
      <c r="B59" s="412" t="s">
        <v>692</v>
      </c>
      <c r="C59" s="351" t="s">
        <v>78</v>
      </c>
      <c r="D59" s="352">
        <f>+D56-D58</f>
        <v>0</v>
      </c>
      <c r="E59" s="352">
        <f>+E56-E58</f>
        <v>0</v>
      </c>
      <c r="F59" s="352">
        <f>+F56-F58</f>
        <v>0</v>
      </c>
      <c r="G59" s="352">
        <f>G56-G58</f>
        <v>0</v>
      </c>
      <c r="H59" s="352">
        <f>+H56-H58</f>
        <v>92076451.480000004</v>
      </c>
      <c r="I59" s="352">
        <f>+I56-I58</f>
        <v>4000767.92</v>
      </c>
      <c r="J59" s="352">
        <f t="shared" ref="J59" si="29">J56-J58</f>
        <v>96077219.400000006</v>
      </c>
      <c r="K59" s="352">
        <f>+K56-K58</f>
        <v>5513840</v>
      </c>
      <c r="L59" s="352">
        <f>+L56-L58</f>
        <v>32745800</v>
      </c>
      <c r="M59" s="352">
        <f t="shared" ref="M59" si="30">M56-M58</f>
        <v>38259640</v>
      </c>
      <c r="N59" s="352">
        <f>+N56-N58</f>
        <v>0</v>
      </c>
      <c r="O59" s="352">
        <f>+O56-O58</f>
        <v>0</v>
      </c>
      <c r="P59" s="352">
        <f t="shared" ref="P59" si="31">P56-P58</f>
        <v>134336859.40000001</v>
      </c>
    </row>
    <row r="60" spans="1:17" s="360" customFormat="1" ht="52.5" customHeight="1" x14ac:dyDescent="0.5">
      <c r="A60" s="1015"/>
      <c r="B60" s="927">
        <f>+H56*100/H55</f>
        <v>49.999986733952063</v>
      </c>
      <c r="C60" s="351" t="s">
        <v>1049</v>
      </c>
      <c r="D60" s="352">
        <f>+D56-D57-D58</f>
        <v>0</v>
      </c>
      <c r="E60" s="352">
        <f>+E56-E57-E58</f>
        <v>0</v>
      </c>
      <c r="F60" s="352">
        <f>+F56-F57-F58</f>
        <v>0</v>
      </c>
      <c r="G60" s="352">
        <f>G56-G57-G58</f>
        <v>0</v>
      </c>
      <c r="H60" s="352">
        <f>+H56-H57-H58</f>
        <v>87428356.620000005</v>
      </c>
      <c r="I60" s="352">
        <f>+I56-I57-I58</f>
        <v>3564767.92</v>
      </c>
      <c r="J60" s="352">
        <f>J56-J57-J58</f>
        <v>90993124.540000007</v>
      </c>
      <c r="K60" s="352">
        <f>+K56-K57-K58</f>
        <v>4715170</v>
      </c>
      <c r="L60" s="352">
        <f>+L56-L57-L58</f>
        <v>29510000</v>
      </c>
      <c r="M60" s="352">
        <f>M56-M57-M58</f>
        <v>34225170</v>
      </c>
      <c r="N60" s="352">
        <f>+N56-N57-N58</f>
        <v>0</v>
      </c>
      <c r="O60" s="352">
        <f>+O56-O57-O58</f>
        <v>0</v>
      </c>
      <c r="P60" s="352">
        <f>P56-P57-P58</f>
        <v>125218294.54000001</v>
      </c>
    </row>
    <row r="61" spans="1:17" s="354" customFormat="1" ht="52.5" customHeight="1" x14ac:dyDescent="0.5">
      <c r="A61" s="1015"/>
      <c r="B61" s="412"/>
      <c r="C61" s="351" t="s">
        <v>100</v>
      </c>
      <c r="D61" s="352" t="e">
        <f>+D58*100/D55</f>
        <v>#DIV/0!</v>
      </c>
      <c r="E61" s="352" t="e">
        <f t="shared" ref="E61:P61" si="32">+E58*100/E55</f>
        <v>#DIV/0!</v>
      </c>
      <c r="F61" s="352" t="e">
        <f t="shared" si="32"/>
        <v>#DIV/0!</v>
      </c>
      <c r="G61" s="352" t="e">
        <f t="shared" si="32"/>
        <v>#DIV/0!</v>
      </c>
      <c r="H61" s="352">
        <f t="shared" si="32"/>
        <v>1.140361961464784</v>
      </c>
      <c r="I61" s="352">
        <f t="shared" si="32"/>
        <v>12.625828654703074</v>
      </c>
      <c r="J61" s="352">
        <f t="shared" si="32"/>
        <v>1.7577104747692383</v>
      </c>
      <c r="K61" s="352">
        <f t="shared" si="32"/>
        <v>3.8127136975786757</v>
      </c>
      <c r="L61" s="352">
        <f t="shared" si="32"/>
        <v>0</v>
      </c>
      <c r="M61" s="352">
        <f t="shared" si="32"/>
        <v>0.41117099829744808</v>
      </c>
      <c r="N61" s="352" t="e">
        <f t="shared" si="32"/>
        <v>#DIV/0!</v>
      </c>
      <c r="O61" s="352" t="e">
        <f t="shared" si="32"/>
        <v>#DIV/0!</v>
      </c>
      <c r="P61" s="352">
        <f t="shared" si="32"/>
        <v>1.4740291354486048</v>
      </c>
    </row>
    <row r="62" spans="1:17" s="354" customFormat="1" ht="52.5" customHeight="1" x14ac:dyDescent="0.5">
      <c r="A62" s="1016"/>
      <c r="B62" s="493"/>
      <c r="C62" s="351" t="s">
        <v>1008</v>
      </c>
      <c r="D62" s="352" t="e">
        <f>+D58*100/D56</f>
        <v>#DIV/0!</v>
      </c>
      <c r="E62" s="352" t="e">
        <f t="shared" ref="E62:P62" si="33">+E58*100/E56</f>
        <v>#DIV/0!</v>
      </c>
      <c r="F62" s="352" t="e">
        <f t="shared" si="33"/>
        <v>#DIV/0!</v>
      </c>
      <c r="G62" s="352" t="e">
        <f t="shared" si="33"/>
        <v>#DIV/0!</v>
      </c>
      <c r="H62" s="352">
        <f t="shared" si="33"/>
        <v>2.2807245280535864</v>
      </c>
      <c r="I62" s="352">
        <f t="shared" si="33"/>
        <v>25.25177525654739</v>
      </c>
      <c r="J62" s="352">
        <f t="shared" si="33"/>
        <v>3.5154227147014696</v>
      </c>
      <c r="K62" s="352">
        <f t="shared" si="33"/>
        <v>3.8127136975786757</v>
      </c>
      <c r="L62" s="352">
        <f t="shared" si="33"/>
        <v>0</v>
      </c>
      <c r="M62" s="352">
        <f t="shared" si="33"/>
        <v>0.56800993809481737</v>
      </c>
      <c r="N62" s="352" t="e">
        <f t="shared" si="33"/>
        <v>#DIV/0!</v>
      </c>
      <c r="O62" s="352" t="e">
        <f t="shared" si="33"/>
        <v>#DIV/0!</v>
      </c>
      <c r="P62" s="352">
        <f t="shared" si="33"/>
        <v>2.6939362287767281</v>
      </c>
    </row>
    <row r="63" spans="1:17" s="354" customFormat="1" ht="52.5" customHeight="1" x14ac:dyDescent="0.5">
      <c r="A63" s="1014" t="s">
        <v>240</v>
      </c>
      <c r="B63" s="1014"/>
      <c r="C63" s="351" t="s">
        <v>991</v>
      </c>
      <c r="D63" s="352">
        <v>0</v>
      </c>
      <c r="E63" s="352">
        <v>0</v>
      </c>
      <c r="F63" s="352">
        <v>0</v>
      </c>
      <c r="G63" s="352">
        <f>SUM(D63:F63)</f>
        <v>0</v>
      </c>
      <c r="H63" s="352">
        <v>175645900</v>
      </c>
      <c r="I63" s="352">
        <v>17368500</v>
      </c>
      <c r="J63" s="352">
        <f>SUM(H63:I63)</f>
        <v>193014400</v>
      </c>
      <c r="K63" s="352">
        <v>13396300</v>
      </c>
      <c r="L63" s="352">
        <v>51742500</v>
      </c>
      <c r="M63" s="352">
        <f>SUM(K63:L63)</f>
        <v>65138800</v>
      </c>
      <c r="N63" s="352">
        <v>0</v>
      </c>
      <c r="O63" s="352">
        <f>750000+4366200+523700</f>
        <v>5639900</v>
      </c>
      <c r="P63" s="352">
        <f>+G63+J63+M63+N63+O63</f>
        <v>263793100</v>
      </c>
    </row>
    <row r="64" spans="1:17" s="354" customFormat="1" ht="52.5" customHeight="1" x14ac:dyDescent="0.5">
      <c r="A64" s="1014" t="s">
        <v>241</v>
      </c>
      <c r="B64" s="1014"/>
      <c r="C64" s="351" t="s">
        <v>992</v>
      </c>
      <c r="D64" s="352">
        <v>0</v>
      </c>
      <c r="E64" s="352">
        <v>0</v>
      </c>
      <c r="F64" s="352">
        <v>0</v>
      </c>
      <c r="G64" s="352">
        <f>SUM(D64:F64)</f>
        <v>0</v>
      </c>
      <c r="H64" s="352">
        <f>+H63/2-50</f>
        <v>87822900</v>
      </c>
      <c r="I64" s="352">
        <f>+I63/2-50</f>
        <v>8684200</v>
      </c>
      <c r="J64" s="352">
        <f>SUM(H64:I64)</f>
        <v>96507100</v>
      </c>
      <c r="K64" s="352">
        <v>13396300</v>
      </c>
      <c r="L64" s="352">
        <v>16349000</v>
      </c>
      <c r="M64" s="352">
        <f>SUM(K64:L64)</f>
        <v>29745300</v>
      </c>
      <c r="N64" s="352">
        <v>0</v>
      </c>
      <c r="O64" s="352">
        <f>375000+2183100+261800</f>
        <v>2819900</v>
      </c>
      <c r="P64" s="352">
        <f>+G64+J64+M64+N64+O64</f>
        <v>129072300</v>
      </c>
      <c r="Q64" s="354">
        <f>+P63-P64</f>
        <v>134720800</v>
      </c>
    </row>
    <row r="65" spans="1:18" s="354" customFormat="1" ht="52.5" customHeight="1" x14ac:dyDescent="0.5">
      <c r="A65" s="1015">
        <v>8</v>
      </c>
      <c r="B65" s="480" t="s">
        <v>1005</v>
      </c>
      <c r="C65" s="351" t="s">
        <v>77</v>
      </c>
      <c r="D65" s="352">
        <v>0</v>
      </c>
      <c r="E65" s="352">
        <v>0</v>
      </c>
      <c r="F65" s="352">
        <v>0</v>
      </c>
      <c r="G65" s="352">
        <f>SUM(D65:F65)</f>
        <v>0</v>
      </c>
      <c r="H65" s="352">
        <f>5936653.1-I65</f>
        <v>5936653.0999999996</v>
      </c>
      <c r="I65" s="352">
        <v>0</v>
      </c>
      <c r="J65" s="352">
        <f>SUM(H65:I65)</f>
        <v>5936653.0999999996</v>
      </c>
      <c r="K65" s="352">
        <v>552940</v>
      </c>
      <c r="L65" s="352">
        <v>3000000</v>
      </c>
      <c r="M65" s="352">
        <f>SUM(K65:L65)</f>
        <v>3552940</v>
      </c>
      <c r="N65" s="352">
        <v>0</v>
      </c>
      <c r="O65" s="352">
        <v>0</v>
      </c>
      <c r="P65" s="352">
        <f>+G65+J65+M65+N65+O65</f>
        <v>9489593.0999999996</v>
      </c>
      <c r="Q65" s="354">
        <f>SUM(Q56:Q64)</f>
        <v>369910400</v>
      </c>
    </row>
    <row r="66" spans="1:18" s="354" customFormat="1" ht="52.5" customHeight="1" x14ac:dyDescent="0.5">
      <c r="A66" s="1015"/>
      <c r="B66" s="411" t="s">
        <v>1006</v>
      </c>
      <c r="C66" s="351" t="s">
        <v>17</v>
      </c>
      <c r="D66" s="352">
        <v>0</v>
      </c>
      <c r="E66" s="352">
        <v>0</v>
      </c>
      <c r="F66" s="352">
        <v>0</v>
      </c>
      <c r="G66" s="352">
        <f>SUM(D66:F66)</f>
        <v>0</v>
      </c>
      <c r="H66" s="352">
        <f>2272267.59-I66</f>
        <v>1327616.2599999998</v>
      </c>
      <c r="I66" s="352">
        <v>944651.33</v>
      </c>
      <c r="J66" s="352">
        <f>SUM(H66:I66)</f>
        <v>2272267.59</v>
      </c>
      <c r="K66" s="352">
        <v>1103946.5</v>
      </c>
      <c r="L66" s="352">
        <v>0</v>
      </c>
      <c r="M66" s="352">
        <f>SUM(K66:L66)</f>
        <v>1103946.5</v>
      </c>
      <c r="N66" s="352">
        <v>0</v>
      </c>
      <c r="O66" s="352">
        <v>0</v>
      </c>
      <c r="P66" s="352">
        <f>+G66+J66+M66+N66+O66</f>
        <v>3376214.09</v>
      </c>
    </row>
    <row r="67" spans="1:18" s="360" customFormat="1" ht="52.5" customHeight="1" x14ac:dyDescent="0.5">
      <c r="A67" s="1015"/>
      <c r="B67" s="410" t="s">
        <v>741</v>
      </c>
      <c r="C67" s="351" t="s">
        <v>78</v>
      </c>
      <c r="D67" s="352">
        <f>+D64-D66</f>
        <v>0</v>
      </c>
      <c r="E67" s="352">
        <f>+E64-E66</f>
        <v>0</v>
      </c>
      <c r="F67" s="352">
        <f>+F64-F66</f>
        <v>0</v>
      </c>
      <c r="G67" s="352">
        <f>G64-G66</f>
        <v>0</v>
      </c>
      <c r="H67" s="352">
        <f>+H64-H66</f>
        <v>86495283.739999995</v>
      </c>
      <c r="I67" s="352">
        <f>+I64-I66</f>
        <v>7739548.6699999999</v>
      </c>
      <c r="J67" s="352">
        <f t="shared" ref="J67" si="34">J64-J66</f>
        <v>94234832.409999996</v>
      </c>
      <c r="K67" s="352">
        <f>+K64-K66</f>
        <v>12292353.5</v>
      </c>
      <c r="L67" s="352">
        <f>+L64-L66</f>
        <v>16349000</v>
      </c>
      <c r="M67" s="352">
        <f t="shared" ref="M67" si="35">M64-M66</f>
        <v>28641353.5</v>
      </c>
      <c r="N67" s="352">
        <f>+N64-N66</f>
        <v>0</v>
      </c>
      <c r="O67" s="352">
        <f>+O64-O66</f>
        <v>2819900</v>
      </c>
      <c r="P67" s="352">
        <f t="shared" ref="P67" si="36">P64-P66</f>
        <v>125696085.91</v>
      </c>
    </row>
    <row r="68" spans="1:18" s="360" customFormat="1" ht="52.5" customHeight="1" x14ac:dyDescent="0.5">
      <c r="A68" s="1015"/>
      <c r="B68" s="928">
        <f>+H64*100/J63</f>
        <v>45.500698393487738</v>
      </c>
      <c r="C68" s="351" t="s">
        <v>1049</v>
      </c>
      <c r="D68" s="352">
        <f>+D64-D65-D66</f>
        <v>0</v>
      </c>
      <c r="E68" s="352">
        <f>+E64-E65-E66</f>
        <v>0</v>
      </c>
      <c r="F68" s="352">
        <f>+F64-F65-F66</f>
        <v>0</v>
      </c>
      <c r="G68" s="352">
        <f>G64-G65-G66</f>
        <v>0</v>
      </c>
      <c r="H68" s="352">
        <f>+H64-H65-H66</f>
        <v>80558630.640000001</v>
      </c>
      <c r="I68" s="352">
        <f>+I64-I65-I66</f>
        <v>7739548.6699999999</v>
      </c>
      <c r="J68" s="352">
        <f>J64-J65-J66</f>
        <v>88298179.310000002</v>
      </c>
      <c r="K68" s="352">
        <f>+K64-K65-K66</f>
        <v>11739413.5</v>
      </c>
      <c r="L68" s="352">
        <f>+L64-L65-L66</f>
        <v>13349000</v>
      </c>
      <c r="M68" s="352">
        <f>M64-M65-M66</f>
        <v>25088413.5</v>
      </c>
      <c r="N68" s="352">
        <f>+N64-N65-N66</f>
        <v>0</v>
      </c>
      <c r="O68" s="352">
        <f>+O64-O65-O66</f>
        <v>2819900</v>
      </c>
      <c r="P68" s="352">
        <f>P64-P65-P66</f>
        <v>116206492.81</v>
      </c>
    </row>
    <row r="69" spans="1:18" s="354" customFormat="1" ht="52.5" customHeight="1" x14ac:dyDescent="0.5">
      <c r="A69" s="1015"/>
      <c r="B69" s="413"/>
      <c r="C69" s="351" t="s">
        <v>100</v>
      </c>
      <c r="D69" s="352" t="e">
        <f>+D66*100/D63</f>
        <v>#DIV/0!</v>
      </c>
      <c r="E69" s="352" t="e">
        <f t="shared" ref="E69:P69" si="37">+E66*100/E63</f>
        <v>#DIV/0!</v>
      </c>
      <c r="F69" s="352" t="e">
        <f t="shared" si="37"/>
        <v>#DIV/0!</v>
      </c>
      <c r="G69" s="352" t="e">
        <f t="shared" si="37"/>
        <v>#DIV/0!</v>
      </c>
      <c r="H69" s="352">
        <f t="shared" si="37"/>
        <v>0.75584813536780515</v>
      </c>
      <c r="I69" s="352">
        <f t="shared" si="37"/>
        <v>5.4388768748020846</v>
      </c>
      <c r="J69" s="352">
        <f t="shared" si="37"/>
        <v>1.1772528837226652</v>
      </c>
      <c r="K69" s="352">
        <f t="shared" si="37"/>
        <v>8.2406821286474621</v>
      </c>
      <c r="L69" s="352">
        <f t="shared" si="37"/>
        <v>0</v>
      </c>
      <c r="M69" s="352">
        <f t="shared" si="37"/>
        <v>1.6947602657709384</v>
      </c>
      <c r="N69" s="352" t="e">
        <f t="shared" si="37"/>
        <v>#DIV/0!</v>
      </c>
      <c r="O69" s="352">
        <f t="shared" si="37"/>
        <v>0</v>
      </c>
      <c r="P69" s="352">
        <f t="shared" si="37"/>
        <v>1.2798720247042095</v>
      </c>
    </row>
    <row r="70" spans="1:18" s="354" customFormat="1" ht="52.5" customHeight="1" x14ac:dyDescent="0.5">
      <c r="A70" s="1016"/>
      <c r="B70" s="493"/>
      <c r="C70" s="351" t="s">
        <v>1008</v>
      </c>
      <c r="D70" s="352" t="e">
        <f>+D66*100/D64</f>
        <v>#DIV/0!</v>
      </c>
      <c r="E70" s="352" t="e">
        <f t="shared" ref="E70:P70" si="38">+E66*100/E64</f>
        <v>#DIV/0!</v>
      </c>
      <c r="F70" s="352" t="e">
        <f t="shared" si="38"/>
        <v>#DIV/0!</v>
      </c>
      <c r="G70" s="352" t="e">
        <f t="shared" si="38"/>
        <v>#DIV/0!</v>
      </c>
      <c r="H70" s="352">
        <f t="shared" si="38"/>
        <v>1.5116971313860048</v>
      </c>
      <c r="I70" s="352">
        <f t="shared" si="38"/>
        <v>10.877816379171369</v>
      </c>
      <c r="J70" s="352">
        <f t="shared" si="38"/>
        <v>2.3545082071681773</v>
      </c>
      <c r="K70" s="352">
        <f t="shared" si="38"/>
        <v>8.2406821286474621</v>
      </c>
      <c r="L70" s="352">
        <f t="shared" si="38"/>
        <v>0</v>
      </c>
      <c r="M70" s="352">
        <f t="shared" si="38"/>
        <v>3.7113308657166004</v>
      </c>
      <c r="N70" s="352" t="e">
        <f t="shared" si="38"/>
        <v>#DIV/0!</v>
      </c>
      <c r="O70" s="352">
        <f t="shared" si="38"/>
        <v>0</v>
      </c>
      <c r="P70" s="352">
        <f t="shared" si="38"/>
        <v>2.6157541858322815</v>
      </c>
    </row>
    <row r="71" spans="1:18" s="354" customFormat="1" ht="52.5" customHeight="1" x14ac:dyDescent="0.5">
      <c r="A71" s="1018">
        <v>9</v>
      </c>
      <c r="B71" s="494"/>
      <c r="C71" s="351" t="s">
        <v>991</v>
      </c>
      <c r="D71" s="352">
        <f t="shared" ref="D71:F74" si="39">+D55+D63</f>
        <v>0</v>
      </c>
      <c r="E71" s="352">
        <f t="shared" si="39"/>
        <v>0</v>
      </c>
      <c r="F71" s="352">
        <f t="shared" si="39"/>
        <v>0</v>
      </c>
      <c r="G71" s="352">
        <f>SUM(D71:F71)</f>
        <v>0</v>
      </c>
      <c r="H71" s="352">
        <f>+H55+H63</f>
        <v>364096900</v>
      </c>
      <c r="I71" s="352">
        <f t="shared" ref="I71:M71" si="40">+I55+I63</f>
        <v>28073200</v>
      </c>
      <c r="J71" s="352">
        <f t="shared" si="40"/>
        <v>392170100</v>
      </c>
      <c r="K71" s="352">
        <f t="shared" si="40"/>
        <v>19128700</v>
      </c>
      <c r="L71" s="352">
        <f t="shared" si="40"/>
        <v>99165600</v>
      </c>
      <c r="M71" s="352">
        <f t="shared" si="40"/>
        <v>118294300</v>
      </c>
      <c r="N71" s="352">
        <f>+N55+N63</f>
        <v>0</v>
      </c>
      <c r="O71" s="352">
        <f t="shared" ref="O71" si="41">+O55+O63</f>
        <v>5639900</v>
      </c>
      <c r="P71" s="352">
        <f>SUM(G71+J71+M71+N71+O71)</f>
        <v>516104300</v>
      </c>
    </row>
    <row r="72" spans="1:18" s="354" customFormat="1" ht="52.5" customHeight="1" x14ac:dyDescent="0.5">
      <c r="A72" s="1019"/>
      <c r="B72" s="433" t="s">
        <v>10</v>
      </c>
      <c r="C72" s="351" t="s">
        <v>1007</v>
      </c>
      <c r="D72" s="352">
        <f t="shared" si="39"/>
        <v>0</v>
      </c>
      <c r="E72" s="352">
        <f t="shared" si="39"/>
        <v>0</v>
      </c>
      <c r="F72" s="352">
        <f t="shared" si="39"/>
        <v>0</v>
      </c>
      <c r="G72" s="352">
        <f>SUM(D72:F72)</f>
        <v>0</v>
      </c>
      <c r="H72" s="352">
        <f t="shared" ref="H72" si="42">+H56+H64</f>
        <v>182048375</v>
      </c>
      <c r="I72" s="352">
        <f t="shared" ref="I72:N72" si="43">+I56+I64</f>
        <v>14036525</v>
      </c>
      <c r="J72" s="352">
        <f t="shared" si="43"/>
        <v>196084900</v>
      </c>
      <c r="K72" s="352">
        <f t="shared" si="43"/>
        <v>19128700</v>
      </c>
      <c r="L72" s="352">
        <f t="shared" si="43"/>
        <v>49094800</v>
      </c>
      <c r="M72" s="352">
        <f t="shared" si="43"/>
        <v>68223500</v>
      </c>
      <c r="N72" s="352">
        <f t="shared" si="43"/>
        <v>0</v>
      </c>
      <c r="O72" s="352">
        <f t="shared" ref="O72" si="44">+O56+O64</f>
        <v>2819900</v>
      </c>
      <c r="P72" s="352">
        <f>SUM(G72+J72+M72+N72+O72)</f>
        <v>267128300</v>
      </c>
    </row>
    <row r="73" spans="1:18" s="354" customFormat="1" ht="52.5" customHeight="1" x14ac:dyDescent="0.5">
      <c r="A73" s="1019"/>
      <c r="B73" s="479" t="s">
        <v>242</v>
      </c>
      <c r="C73" s="351" t="s">
        <v>77</v>
      </c>
      <c r="D73" s="352">
        <f t="shared" si="39"/>
        <v>0</v>
      </c>
      <c r="E73" s="352">
        <f t="shared" si="39"/>
        <v>0</v>
      </c>
      <c r="F73" s="352">
        <f t="shared" si="39"/>
        <v>0</v>
      </c>
      <c r="G73" s="352">
        <f>SUM(D73:F73)</f>
        <v>0</v>
      </c>
      <c r="H73" s="352">
        <f>+H57+H65</f>
        <v>10584747.960000001</v>
      </c>
      <c r="I73" s="352">
        <f t="shared" ref="I73:M73" si="45">+I57+I65</f>
        <v>436000</v>
      </c>
      <c r="J73" s="352">
        <f t="shared" si="45"/>
        <v>11020747.960000001</v>
      </c>
      <c r="K73" s="352">
        <f t="shared" si="45"/>
        <v>1351610</v>
      </c>
      <c r="L73" s="352">
        <f t="shared" si="45"/>
        <v>6235800</v>
      </c>
      <c r="M73" s="352">
        <f t="shared" si="45"/>
        <v>7587410</v>
      </c>
      <c r="N73" s="352">
        <f>+N57+N65</f>
        <v>0</v>
      </c>
      <c r="O73" s="352">
        <f t="shared" ref="O73" si="46">+O57+O65</f>
        <v>0</v>
      </c>
      <c r="P73" s="352">
        <f>SUM(G73+J73+M73+N73+O73)</f>
        <v>18608157.960000001</v>
      </c>
    </row>
    <row r="74" spans="1:18" s="354" customFormat="1" ht="52.5" customHeight="1" x14ac:dyDescent="0.5">
      <c r="A74" s="1019"/>
      <c r="B74" s="479" t="s">
        <v>243</v>
      </c>
      <c r="C74" s="351" t="s">
        <v>17</v>
      </c>
      <c r="D74" s="352">
        <f t="shared" si="39"/>
        <v>0</v>
      </c>
      <c r="E74" s="352">
        <f t="shared" si="39"/>
        <v>0</v>
      </c>
      <c r="F74" s="352">
        <f t="shared" si="39"/>
        <v>0</v>
      </c>
      <c r="G74" s="352">
        <f>SUM(D74:F74)</f>
        <v>0</v>
      </c>
      <c r="H74" s="352">
        <f t="shared" ref="H74:M74" si="47">+H58+H66</f>
        <v>3476639.78</v>
      </c>
      <c r="I74" s="352">
        <f t="shared" si="47"/>
        <v>2296208.41</v>
      </c>
      <c r="J74" s="352">
        <f t="shared" si="47"/>
        <v>5772848.1899999995</v>
      </c>
      <c r="K74" s="352">
        <f t="shared" si="47"/>
        <v>1322506.5</v>
      </c>
      <c r="L74" s="352">
        <f t="shared" si="47"/>
        <v>0</v>
      </c>
      <c r="M74" s="352">
        <f t="shared" si="47"/>
        <v>1322506.5</v>
      </c>
      <c r="N74" s="352">
        <f t="shared" ref="N74:O74" si="48">+N58+N66</f>
        <v>0</v>
      </c>
      <c r="O74" s="352">
        <f t="shared" si="48"/>
        <v>0</v>
      </c>
      <c r="P74" s="352">
        <f>SUM(G74+J74+M74+N74+O74)</f>
        <v>7095354.6899999995</v>
      </c>
    </row>
    <row r="75" spans="1:18" s="354" customFormat="1" ht="52.5" customHeight="1" x14ac:dyDescent="0.5">
      <c r="A75" s="1019"/>
      <c r="B75" s="479" t="s">
        <v>244</v>
      </c>
      <c r="C75" s="351" t="s">
        <v>78</v>
      </c>
      <c r="D75" s="352">
        <f t="shared" ref="D75:L75" si="49">+D72-D74</f>
        <v>0</v>
      </c>
      <c r="E75" s="352">
        <f>+E72-E74</f>
        <v>0</v>
      </c>
      <c r="F75" s="352">
        <f>+F72-F74</f>
        <v>0</v>
      </c>
      <c r="G75" s="352">
        <f t="shared" si="49"/>
        <v>0</v>
      </c>
      <c r="H75" s="352">
        <f>+H72-H74</f>
        <v>178571735.22</v>
      </c>
      <c r="I75" s="352">
        <f>+I72-I74</f>
        <v>11740316.59</v>
      </c>
      <c r="J75" s="352">
        <f t="shared" si="49"/>
        <v>190312051.81</v>
      </c>
      <c r="K75" s="352">
        <f t="shared" si="49"/>
        <v>17806193.5</v>
      </c>
      <c r="L75" s="352">
        <f t="shared" si="49"/>
        <v>49094800</v>
      </c>
      <c r="M75" s="352">
        <f>+M72-M74</f>
        <v>66900993.5</v>
      </c>
      <c r="N75" s="352">
        <f>+N72-N74</f>
        <v>0</v>
      </c>
      <c r="O75" s="352">
        <f>+O72-O74</f>
        <v>2819900</v>
      </c>
      <c r="P75" s="352">
        <f>P72-P74</f>
        <v>260032945.31</v>
      </c>
    </row>
    <row r="76" spans="1:18" s="354" customFormat="1" ht="52.5" customHeight="1" x14ac:dyDescent="0.5">
      <c r="A76" s="1019"/>
      <c r="B76" s="907" t="s">
        <v>446</v>
      </c>
      <c r="C76" s="351" t="s">
        <v>1049</v>
      </c>
      <c r="D76" s="352">
        <f t="shared" ref="D76:L76" si="50">+D72-D73-D74</f>
        <v>0</v>
      </c>
      <c r="E76" s="352">
        <f>+E72-E73-E74</f>
        <v>0</v>
      </c>
      <c r="F76" s="352">
        <f>+F72-F73-F74</f>
        <v>0</v>
      </c>
      <c r="G76" s="352">
        <f t="shared" si="50"/>
        <v>0</v>
      </c>
      <c r="H76" s="352">
        <f>+H72-H73-H74</f>
        <v>167986987.25999999</v>
      </c>
      <c r="I76" s="352">
        <f>+I72-I73-I74</f>
        <v>11304316.59</v>
      </c>
      <c r="J76" s="352">
        <f t="shared" si="50"/>
        <v>179291303.84999999</v>
      </c>
      <c r="K76" s="352">
        <f t="shared" si="50"/>
        <v>16454583.5</v>
      </c>
      <c r="L76" s="352">
        <f t="shared" si="50"/>
        <v>42859000</v>
      </c>
      <c r="M76" s="352">
        <f>+M72-M73-M74</f>
        <v>59313583.5</v>
      </c>
      <c r="N76" s="352">
        <f>+N72-N73-N74</f>
        <v>0</v>
      </c>
      <c r="O76" s="352">
        <f>+O72-O73-O74</f>
        <v>2819900</v>
      </c>
      <c r="P76" s="352">
        <f>P72-P73-P74</f>
        <v>241424787.34999999</v>
      </c>
    </row>
    <row r="77" spans="1:18" s="354" customFormat="1" ht="52.5" customHeight="1" x14ac:dyDescent="0.5">
      <c r="A77" s="1019"/>
      <c r="B77" s="479"/>
      <c r="C77" s="351" t="s">
        <v>100</v>
      </c>
      <c r="D77" s="352" t="e">
        <f>+D74*100/D71</f>
        <v>#DIV/0!</v>
      </c>
      <c r="E77" s="352" t="e">
        <f t="shared" ref="E77:P77" si="51">+E74*100/E71</f>
        <v>#DIV/0!</v>
      </c>
      <c r="F77" s="352" t="e">
        <f t="shared" si="51"/>
        <v>#DIV/0!</v>
      </c>
      <c r="G77" s="352" t="e">
        <f t="shared" si="51"/>
        <v>#DIV/0!</v>
      </c>
      <c r="H77" s="352">
        <f t="shared" si="51"/>
        <v>0.9548666247913673</v>
      </c>
      <c r="I77" s="352">
        <f t="shared" si="51"/>
        <v>8.179361134462761</v>
      </c>
      <c r="J77" s="352">
        <f t="shared" si="51"/>
        <v>1.4720266001921105</v>
      </c>
      <c r="K77" s="352">
        <f t="shared" si="51"/>
        <v>6.913729108616895</v>
      </c>
      <c r="L77" s="352">
        <f t="shared" si="51"/>
        <v>0</v>
      </c>
      <c r="M77" s="352">
        <f t="shared" si="51"/>
        <v>1.1179799026664852</v>
      </c>
      <c r="N77" s="352" t="e">
        <f t="shared" si="51"/>
        <v>#DIV/0!</v>
      </c>
      <c r="O77" s="352">
        <f t="shared" si="51"/>
        <v>0</v>
      </c>
      <c r="P77" s="352">
        <f t="shared" si="51"/>
        <v>1.3747908494465169</v>
      </c>
    </row>
    <row r="78" spans="1:18" s="354" customFormat="1" ht="52.5" customHeight="1" x14ac:dyDescent="0.5">
      <c r="A78" s="1020"/>
      <c r="B78" s="495"/>
      <c r="C78" s="351" t="s">
        <v>1008</v>
      </c>
      <c r="D78" s="352" t="e">
        <f>+D74*100/D72</f>
        <v>#DIV/0!</v>
      </c>
      <c r="E78" s="352" t="e">
        <f t="shared" ref="E78:P78" si="52">+E74*100/E72</f>
        <v>#DIV/0!</v>
      </c>
      <c r="F78" s="352" t="e">
        <f t="shared" si="52"/>
        <v>#DIV/0!</v>
      </c>
      <c r="G78" s="352" t="e">
        <f t="shared" si="52"/>
        <v>#DIV/0!</v>
      </c>
      <c r="H78" s="352">
        <f t="shared" si="52"/>
        <v>1.9097340363516015</v>
      </c>
      <c r="I78" s="352">
        <f t="shared" si="52"/>
        <v>16.358809676896524</v>
      </c>
      <c r="J78" s="352">
        <f t="shared" si="52"/>
        <v>2.9440554525106215</v>
      </c>
      <c r="K78" s="352">
        <f t="shared" si="52"/>
        <v>6.913729108616895</v>
      </c>
      <c r="L78" s="352">
        <f t="shared" si="52"/>
        <v>0</v>
      </c>
      <c r="M78" s="352">
        <f t="shared" si="52"/>
        <v>1.9384911357523433</v>
      </c>
      <c r="N78" s="352" t="e">
        <f t="shared" si="52"/>
        <v>#DIV/0!</v>
      </c>
      <c r="O78" s="352">
        <f t="shared" si="52"/>
        <v>0</v>
      </c>
      <c r="P78" s="352">
        <f t="shared" si="52"/>
        <v>2.6561598640054238</v>
      </c>
    </row>
    <row r="79" spans="1:18" s="415" customFormat="1" ht="52.5" customHeight="1" x14ac:dyDescent="0.5">
      <c r="A79" s="478"/>
      <c r="B79" s="430"/>
      <c r="C79" s="431" t="s">
        <v>991</v>
      </c>
      <c r="D79" s="429">
        <f>+D7+D15+D23+D31+D39+D47+D55+D63</f>
        <v>627075500</v>
      </c>
      <c r="E79" s="429">
        <f t="shared" ref="E79:P79" si="53">+E7+E15+E23+E31+E39+E47+E55+E63</f>
        <v>246152200</v>
      </c>
      <c r="F79" s="429">
        <f t="shared" si="53"/>
        <v>516824300</v>
      </c>
      <c r="G79" s="429">
        <f t="shared" si="53"/>
        <v>1390052000</v>
      </c>
      <c r="H79" s="429">
        <f t="shared" si="53"/>
        <v>399235900</v>
      </c>
      <c r="I79" s="429">
        <f t="shared" si="53"/>
        <v>33305800</v>
      </c>
      <c r="J79" s="429">
        <f t="shared" si="53"/>
        <v>432541700</v>
      </c>
      <c r="K79" s="429">
        <f t="shared" si="53"/>
        <v>19128700</v>
      </c>
      <c r="L79" s="429">
        <f t="shared" si="53"/>
        <v>99165600</v>
      </c>
      <c r="M79" s="429">
        <f t="shared" si="53"/>
        <v>118294300</v>
      </c>
      <c r="N79" s="429">
        <f t="shared" si="53"/>
        <v>0</v>
      </c>
      <c r="O79" s="429">
        <f t="shared" si="53"/>
        <v>28793900</v>
      </c>
      <c r="P79" s="429">
        <f t="shared" si="53"/>
        <v>1969681900</v>
      </c>
      <c r="Q79" s="353"/>
      <c r="R79" s="415" t="s">
        <v>218</v>
      </c>
    </row>
    <row r="80" spans="1:18" s="415" customFormat="1" ht="52.5" customHeight="1" x14ac:dyDescent="0.5">
      <c r="A80" s="1028">
        <v>10</v>
      </c>
      <c r="B80" s="430"/>
      <c r="C80" s="431" t="s">
        <v>1007</v>
      </c>
      <c r="D80" s="429">
        <f t="shared" ref="D80:P82" si="54">+D8+D16+D24+D32+D40+D48+D56+D64</f>
        <v>313537750</v>
      </c>
      <c r="E80" s="429">
        <f t="shared" si="54"/>
        <v>123076100</v>
      </c>
      <c r="F80" s="429">
        <f t="shared" si="54"/>
        <v>258412150</v>
      </c>
      <c r="G80" s="429">
        <f t="shared" si="54"/>
        <v>695026000</v>
      </c>
      <c r="H80" s="429">
        <f t="shared" si="54"/>
        <v>199617700</v>
      </c>
      <c r="I80" s="429">
        <f t="shared" si="54"/>
        <v>16652800</v>
      </c>
      <c r="J80" s="429">
        <f t="shared" si="54"/>
        <v>216270500</v>
      </c>
      <c r="K80" s="429">
        <f t="shared" si="54"/>
        <v>19128700</v>
      </c>
      <c r="L80" s="429">
        <f t="shared" si="54"/>
        <v>49094800</v>
      </c>
      <c r="M80" s="429">
        <f t="shared" si="54"/>
        <v>68223500</v>
      </c>
      <c r="N80" s="429">
        <f t="shared" si="54"/>
        <v>0</v>
      </c>
      <c r="O80" s="429">
        <f t="shared" si="54"/>
        <v>14396800</v>
      </c>
      <c r="P80" s="429">
        <f t="shared" si="54"/>
        <v>993916800</v>
      </c>
      <c r="Q80" s="353"/>
      <c r="R80" s="415">
        <f>+P80-P79</f>
        <v>-975765100</v>
      </c>
    </row>
    <row r="81" spans="1:17" s="415" customFormat="1" ht="59.25" x14ac:dyDescent="0.5">
      <c r="A81" s="1028"/>
      <c r="B81" s="432" t="s">
        <v>744</v>
      </c>
      <c r="C81" s="431" t="s">
        <v>77</v>
      </c>
      <c r="D81" s="429">
        <f t="shared" si="54"/>
        <v>0</v>
      </c>
      <c r="E81" s="429">
        <f t="shared" si="54"/>
        <v>0</v>
      </c>
      <c r="F81" s="429">
        <f t="shared" si="54"/>
        <v>0</v>
      </c>
      <c r="G81" s="429">
        <f t="shared" si="54"/>
        <v>0</v>
      </c>
      <c r="H81" s="429">
        <f t="shared" si="54"/>
        <v>10584747.960000001</v>
      </c>
      <c r="I81" s="429">
        <f t="shared" si="54"/>
        <v>436000</v>
      </c>
      <c r="J81" s="429">
        <f t="shared" si="54"/>
        <v>11020747.960000001</v>
      </c>
      <c r="K81" s="429">
        <f t="shared" si="54"/>
        <v>1351610</v>
      </c>
      <c r="L81" s="429">
        <f t="shared" si="54"/>
        <v>6235800</v>
      </c>
      <c r="M81" s="429">
        <f t="shared" si="54"/>
        <v>7587410</v>
      </c>
      <c r="N81" s="429">
        <f t="shared" si="54"/>
        <v>0</v>
      </c>
      <c r="O81" s="429">
        <f t="shared" si="54"/>
        <v>0</v>
      </c>
      <c r="P81" s="429">
        <f t="shared" si="54"/>
        <v>18608157.960000001</v>
      </c>
      <c r="Q81" s="353"/>
    </row>
    <row r="82" spans="1:17" s="415" customFormat="1" ht="52.5" customHeight="1" x14ac:dyDescent="0.5">
      <c r="A82" s="1028"/>
      <c r="B82" s="432" t="s">
        <v>67</v>
      </c>
      <c r="C82" s="431" t="s">
        <v>17</v>
      </c>
      <c r="D82" s="429">
        <f t="shared" si="54"/>
        <v>51948454.979999997</v>
      </c>
      <c r="E82" s="429">
        <f t="shared" si="54"/>
        <v>19790767.98</v>
      </c>
      <c r="F82" s="429">
        <f t="shared" si="54"/>
        <v>37367406.509999998</v>
      </c>
      <c r="G82" s="429">
        <f t="shared" si="54"/>
        <v>109106629.47</v>
      </c>
      <c r="H82" s="429">
        <f t="shared" si="54"/>
        <v>5010352.8</v>
      </c>
      <c r="I82" s="429">
        <f t="shared" si="54"/>
        <v>3006215.79</v>
      </c>
      <c r="J82" s="429">
        <f t="shared" si="54"/>
        <v>8016568.5899999999</v>
      </c>
      <c r="K82" s="429">
        <f t="shared" si="54"/>
        <v>1322506.5</v>
      </c>
      <c r="L82" s="429">
        <f t="shared" si="54"/>
        <v>0</v>
      </c>
      <c r="M82" s="429">
        <f t="shared" si="54"/>
        <v>1322506.5</v>
      </c>
      <c r="N82" s="429">
        <f t="shared" si="54"/>
        <v>0</v>
      </c>
      <c r="O82" s="429">
        <f t="shared" si="54"/>
        <v>0</v>
      </c>
      <c r="P82" s="429">
        <f t="shared" si="54"/>
        <v>118445704.55999999</v>
      </c>
      <c r="Q82" s="353"/>
    </row>
    <row r="83" spans="1:17" s="415" customFormat="1" ht="52.5" customHeight="1" x14ac:dyDescent="0.5">
      <c r="A83" s="1028"/>
      <c r="B83" s="432" t="s">
        <v>75</v>
      </c>
      <c r="C83" s="431" t="s">
        <v>78</v>
      </c>
      <c r="D83" s="429">
        <f t="shared" ref="D83:O83" si="55">+D80-D82</f>
        <v>261589295.02000001</v>
      </c>
      <c r="E83" s="429">
        <f t="shared" si="55"/>
        <v>103285332.02</v>
      </c>
      <c r="F83" s="429">
        <f t="shared" si="55"/>
        <v>221044743.49000001</v>
      </c>
      <c r="G83" s="429">
        <f t="shared" si="55"/>
        <v>585919370.52999997</v>
      </c>
      <c r="H83" s="429">
        <f t="shared" si="55"/>
        <v>194607347.19999999</v>
      </c>
      <c r="I83" s="429">
        <f t="shared" si="55"/>
        <v>13646584.210000001</v>
      </c>
      <c r="J83" s="429">
        <f t="shared" si="55"/>
        <v>208253931.41</v>
      </c>
      <c r="K83" s="429">
        <f t="shared" si="55"/>
        <v>17806193.5</v>
      </c>
      <c r="L83" s="429">
        <f t="shared" si="55"/>
        <v>49094800</v>
      </c>
      <c r="M83" s="429">
        <f t="shared" si="55"/>
        <v>66900993.5</v>
      </c>
      <c r="N83" s="429">
        <f t="shared" si="55"/>
        <v>0</v>
      </c>
      <c r="O83" s="429">
        <f t="shared" si="55"/>
        <v>14396800</v>
      </c>
      <c r="P83" s="429">
        <f>P80-P82</f>
        <v>875471095.44000006</v>
      </c>
      <c r="Q83" s="353"/>
    </row>
    <row r="84" spans="1:17" s="415" customFormat="1" ht="52.5" customHeight="1" x14ac:dyDescent="0.5">
      <c r="A84" s="478"/>
      <c r="B84" s="484"/>
      <c r="C84" s="431" t="s">
        <v>1049</v>
      </c>
      <c r="D84" s="429">
        <f t="shared" ref="D84:O84" si="56">+D80-D81-D82</f>
        <v>261589295.02000001</v>
      </c>
      <c r="E84" s="429">
        <f t="shared" si="56"/>
        <v>103285332.02</v>
      </c>
      <c r="F84" s="429">
        <f t="shared" si="56"/>
        <v>221044743.49000001</v>
      </c>
      <c r="G84" s="429">
        <f t="shared" si="56"/>
        <v>585919370.52999997</v>
      </c>
      <c r="H84" s="429">
        <f t="shared" si="56"/>
        <v>184022599.23999998</v>
      </c>
      <c r="I84" s="429">
        <f t="shared" si="56"/>
        <v>13210584.210000001</v>
      </c>
      <c r="J84" s="429">
        <f t="shared" si="56"/>
        <v>197233183.44999999</v>
      </c>
      <c r="K84" s="429">
        <f t="shared" si="56"/>
        <v>16454583.5</v>
      </c>
      <c r="L84" s="429">
        <f t="shared" si="56"/>
        <v>42859000</v>
      </c>
      <c r="M84" s="429">
        <f t="shared" si="56"/>
        <v>59313583.5</v>
      </c>
      <c r="N84" s="429">
        <f t="shared" si="56"/>
        <v>0</v>
      </c>
      <c r="O84" s="429">
        <f t="shared" si="56"/>
        <v>14396800</v>
      </c>
      <c r="P84" s="429">
        <f>P80-P81-P82</f>
        <v>856862937.48000002</v>
      </c>
      <c r="Q84" s="353"/>
    </row>
    <row r="85" spans="1:17" s="415" customFormat="1" ht="52.5" customHeight="1" x14ac:dyDescent="0.5">
      <c r="A85" s="478"/>
      <c r="B85" s="430"/>
      <c r="C85" s="431" t="s">
        <v>100</v>
      </c>
      <c r="D85" s="429">
        <f>+D82*100/D79</f>
        <v>8.2842424843579447</v>
      </c>
      <c r="E85" s="429">
        <f t="shared" ref="E85:P85" si="57">+E82*100/E79</f>
        <v>8.0400532597311738</v>
      </c>
      <c r="F85" s="429">
        <f t="shared" si="57"/>
        <v>7.230195350721706</v>
      </c>
      <c r="G85" s="429">
        <f t="shared" si="57"/>
        <v>7.8491041680455123</v>
      </c>
      <c r="H85" s="429">
        <f t="shared" si="57"/>
        <v>1.2549855361203739</v>
      </c>
      <c r="I85" s="429">
        <f t="shared" si="57"/>
        <v>9.0261029310210237</v>
      </c>
      <c r="J85" s="429">
        <f t="shared" si="57"/>
        <v>1.8533631763134051</v>
      </c>
      <c r="K85" s="429">
        <f t="shared" si="57"/>
        <v>6.913729108616895</v>
      </c>
      <c r="L85" s="429">
        <f t="shared" si="57"/>
        <v>0</v>
      </c>
      <c r="M85" s="429">
        <f t="shared" si="57"/>
        <v>1.1179799026664852</v>
      </c>
      <c r="N85" s="429" t="e">
        <f t="shared" si="57"/>
        <v>#DIV/0!</v>
      </c>
      <c r="O85" s="429">
        <f t="shared" si="57"/>
        <v>0</v>
      </c>
      <c r="P85" s="429">
        <f t="shared" si="57"/>
        <v>6.0134433158978604</v>
      </c>
      <c r="Q85" s="353"/>
    </row>
    <row r="86" spans="1:17" s="415" customFormat="1" ht="52.5" customHeight="1" x14ac:dyDescent="0.5">
      <c r="A86" s="496"/>
      <c r="B86" s="497"/>
      <c r="C86" s="431" t="s">
        <v>1008</v>
      </c>
      <c r="D86" s="429">
        <f>+D82*100/D80</f>
        <v>16.568484968715889</v>
      </c>
      <c r="E86" s="429">
        <f t="shared" ref="E86:P86" si="58">+E82*100/E80</f>
        <v>16.080106519462348</v>
      </c>
      <c r="F86" s="429">
        <f t="shared" si="58"/>
        <v>14.460390701443412</v>
      </c>
      <c r="G86" s="429">
        <f t="shared" si="58"/>
        <v>15.698208336091025</v>
      </c>
      <c r="H86" s="429">
        <f t="shared" si="58"/>
        <v>2.5099742157133362</v>
      </c>
      <c r="I86" s="429">
        <f t="shared" si="58"/>
        <v>18.052314265468869</v>
      </c>
      <c r="J86" s="429">
        <f t="shared" si="58"/>
        <v>3.7067323513840305</v>
      </c>
      <c r="K86" s="429">
        <f t="shared" si="58"/>
        <v>6.913729108616895</v>
      </c>
      <c r="L86" s="429">
        <f t="shared" si="58"/>
        <v>0</v>
      </c>
      <c r="M86" s="429">
        <f t="shared" si="58"/>
        <v>1.9384911357523433</v>
      </c>
      <c r="N86" s="429" t="e">
        <f t="shared" si="58"/>
        <v>#DIV/0!</v>
      </c>
      <c r="O86" s="429">
        <f t="shared" si="58"/>
        <v>0</v>
      </c>
      <c r="P86" s="429">
        <f t="shared" si="58"/>
        <v>11.91706434180406</v>
      </c>
      <c r="Q86" s="353"/>
    </row>
    <row r="87" spans="1:17" s="354" customFormat="1" ht="52.5" customHeight="1" x14ac:dyDescent="0.5">
      <c r="A87" s="1018">
        <v>11</v>
      </c>
      <c r="B87" s="1025" t="s">
        <v>850</v>
      </c>
      <c r="C87" s="351" t="s">
        <v>991</v>
      </c>
      <c r="D87" s="352">
        <f>+D79</f>
        <v>627075500</v>
      </c>
      <c r="E87" s="352">
        <f>+E79</f>
        <v>246152200</v>
      </c>
      <c r="F87" s="352">
        <f>+F79</f>
        <v>516824300</v>
      </c>
      <c r="G87" s="352">
        <f>SUM(D87:F87)</f>
        <v>1390052000</v>
      </c>
      <c r="H87" s="352">
        <f t="shared" ref="H87:I90" si="59">+H79</f>
        <v>399235900</v>
      </c>
      <c r="I87" s="352">
        <f t="shared" si="59"/>
        <v>33305800</v>
      </c>
      <c r="J87" s="352">
        <f>SUM(H87:I87)</f>
        <v>432541700</v>
      </c>
      <c r="K87" s="352"/>
      <c r="L87" s="352"/>
      <c r="M87" s="352"/>
      <c r="N87" s="352">
        <f t="shared" ref="N87:O90" si="60">+N79</f>
        <v>0</v>
      </c>
      <c r="O87" s="352">
        <f t="shared" si="60"/>
        <v>28793900</v>
      </c>
      <c r="P87" s="352">
        <f>SUM(G87+J87+M87+N87+O87)</f>
        <v>1851387600</v>
      </c>
    </row>
    <row r="88" spans="1:17" s="354" customFormat="1" ht="52.5" customHeight="1" x14ac:dyDescent="0.5">
      <c r="A88" s="1019"/>
      <c r="B88" s="1026"/>
      <c r="C88" s="351" t="s">
        <v>1007</v>
      </c>
      <c r="D88" s="352">
        <f t="shared" ref="D88:F90" si="61">+D80</f>
        <v>313537750</v>
      </c>
      <c r="E88" s="352">
        <f t="shared" si="61"/>
        <v>123076100</v>
      </c>
      <c r="F88" s="352">
        <f>+F80</f>
        <v>258412150</v>
      </c>
      <c r="G88" s="352">
        <f>SUM(D88:F88)</f>
        <v>695026000</v>
      </c>
      <c r="H88" s="352">
        <f t="shared" si="59"/>
        <v>199617700</v>
      </c>
      <c r="I88" s="352">
        <f t="shared" si="59"/>
        <v>16652800</v>
      </c>
      <c r="J88" s="352">
        <f>SUM(H88:I88)</f>
        <v>216270500</v>
      </c>
      <c r="K88" s="352"/>
      <c r="L88" s="352"/>
      <c r="M88" s="352"/>
      <c r="N88" s="352">
        <f t="shared" si="60"/>
        <v>0</v>
      </c>
      <c r="O88" s="352">
        <f t="shared" si="60"/>
        <v>14396800</v>
      </c>
      <c r="P88" s="352">
        <f>SUM(G88+J88+M88+N88+O88)</f>
        <v>925693300</v>
      </c>
    </row>
    <row r="89" spans="1:17" s="354" customFormat="1" ht="52.5" customHeight="1" x14ac:dyDescent="0.5">
      <c r="A89" s="1019"/>
      <c r="B89" s="1026"/>
      <c r="C89" s="351" t="s">
        <v>77</v>
      </c>
      <c r="D89" s="352">
        <f t="shared" si="61"/>
        <v>0</v>
      </c>
      <c r="E89" s="352">
        <f t="shared" si="61"/>
        <v>0</v>
      </c>
      <c r="F89" s="352">
        <f t="shared" si="61"/>
        <v>0</v>
      </c>
      <c r="G89" s="352">
        <f>SUM(D89:F89)</f>
        <v>0</v>
      </c>
      <c r="H89" s="352">
        <f t="shared" si="59"/>
        <v>10584747.960000001</v>
      </c>
      <c r="I89" s="352">
        <f t="shared" si="59"/>
        <v>436000</v>
      </c>
      <c r="J89" s="352">
        <f>SUM(H89:I89)</f>
        <v>11020747.960000001</v>
      </c>
      <c r="K89" s="352"/>
      <c r="L89" s="352"/>
      <c r="M89" s="352"/>
      <c r="N89" s="352">
        <f t="shared" si="60"/>
        <v>0</v>
      </c>
      <c r="O89" s="352">
        <f t="shared" si="60"/>
        <v>0</v>
      </c>
      <c r="P89" s="352">
        <f>SUM(G89+J89+M89+N89+O89)</f>
        <v>11020747.960000001</v>
      </c>
    </row>
    <row r="90" spans="1:17" s="354" customFormat="1" ht="52.5" customHeight="1" x14ac:dyDescent="0.5">
      <c r="A90" s="1019"/>
      <c r="B90" s="1026"/>
      <c r="C90" s="351" t="s">
        <v>17</v>
      </c>
      <c r="D90" s="352">
        <f t="shared" si="61"/>
        <v>51948454.979999997</v>
      </c>
      <c r="E90" s="352">
        <f t="shared" si="61"/>
        <v>19790767.98</v>
      </c>
      <c r="F90" s="352">
        <f t="shared" si="61"/>
        <v>37367406.509999998</v>
      </c>
      <c r="G90" s="352">
        <f>SUM(D90:F90)</f>
        <v>109106629.47</v>
      </c>
      <c r="H90" s="352">
        <f t="shared" si="59"/>
        <v>5010352.8</v>
      </c>
      <c r="I90" s="352">
        <f t="shared" si="59"/>
        <v>3006215.79</v>
      </c>
      <c r="J90" s="352">
        <f>SUM(H90:I90)</f>
        <v>8016568.5899999999</v>
      </c>
      <c r="K90" s="352"/>
      <c r="L90" s="352"/>
      <c r="M90" s="352"/>
      <c r="N90" s="352">
        <f t="shared" si="60"/>
        <v>0</v>
      </c>
      <c r="O90" s="352">
        <f t="shared" si="60"/>
        <v>0</v>
      </c>
      <c r="P90" s="352">
        <f>SUM(G90+J90+M90+N90+O90)</f>
        <v>117123198.06</v>
      </c>
    </row>
    <row r="91" spans="1:17" s="354" customFormat="1" ht="52.5" customHeight="1" x14ac:dyDescent="0.5">
      <c r="A91" s="1019"/>
      <c r="B91" s="1026"/>
      <c r="C91" s="351" t="s">
        <v>78</v>
      </c>
      <c r="D91" s="352">
        <f t="shared" ref="D91:J91" si="62">+D88-D90</f>
        <v>261589295.02000001</v>
      </c>
      <c r="E91" s="352">
        <f t="shared" si="62"/>
        <v>103285332.02</v>
      </c>
      <c r="F91" s="352">
        <f t="shared" si="62"/>
        <v>221044743.49000001</v>
      </c>
      <c r="G91" s="352">
        <f t="shared" si="62"/>
        <v>585919370.52999997</v>
      </c>
      <c r="H91" s="352">
        <f t="shared" si="62"/>
        <v>194607347.19999999</v>
      </c>
      <c r="I91" s="352">
        <f t="shared" si="62"/>
        <v>13646584.210000001</v>
      </c>
      <c r="J91" s="352">
        <f t="shared" si="62"/>
        <v>208253931.41</v>
      </c>
      <c r="K91" s="352"/>
      <c r="L91" s="352"/>
      <c r="M91" s="352"/>
      <c r="N91" s="352">
        <f>+N88-N90</f>
        <v>0</v>
      </c>
      <c r="O91" s="352">
        <f>+O88-O90</f>
        <v>14396800</v>
      </c>
      <c r="P91" s="352">
        <f>P88-P90</f>
        <v>808570101.94000006</v>
      </c>
    </row>
    <row r="92" spans="1:17" s="354" customFormat="1" ht="52.5" customHeight="1" x14ac:dyDescent="0.5">
      <c r="A92" s="1019"/>
      <c r="B92" s="1026"/>
      <c r="C92" s="351" t="s">
        <v>1049</v>
      </c>
      <c r="D92" s="352">
        <f t="shared" ref="D92:J92" si="63">+D88-D89-D90</f>
        <v>261589295.02000001</v>
      </c>
      <c r="E92" s="352">
        <f t="shared" si="63"/>
        <v>103285332.02</v>
      </c>
      <c r="F92" s="352">
        <f t="shared" si="63"/>
        <v>221044743.49000001</v>
      </c>
      <c r="G92" s="352">
        <f t="shared" si="63"/>
        <v>585919370.52999997</v>
      </c>
      <c r="H92" s="352">
        <f t="shared" si="63"/>
        <v>184022599.23999998</v>
      </c>
      <c r="I92" s="352">
        <f t="shared" si="63"/>
        <v>13210584.210000001</v>
      </c>
      <c r="J92" s="352">
        <f t="shared" si="63"/>
        <v>197233183.44999999</v>
      </c>
      <c r="K92" s="352"/>
      <c r="L92" s="352"/>
      <c r="M92" s="352"/>
      <c r="N92" s="352">
        <f>+N88-N89-N90</f>
        <v>0</v>
      </c>
      <c r="O92" s="352">
        <f>+O88-O89-O90</f>
        <v>14396800</v>
      </c>
      <c r="P92" s="352">
        <f>P88-P89-P90</f>
        <v>797549353.98000002</v>
      </c>
    </row>
    <row r="93" spans="1:17" s="353" customFormat="1" ht="52.5" customHeight="1" x14ac:dyDescent="0.5">
      <c r="A93" s="1019"/>
      <c r="B93" s="1026"/>
      <c r="C93" s="351" t="s">
        <v>100</v>
      </c>
      <c r="D93" s="352">
        <f>+D90*100/D87</f>
        <v>8.2842424843579447</v>
      </c>
      <c r="E93" s="352">
        <f t="shared" ref="E93:P93" si="64">+E90*100/E87</f>
        <v>8.0400532597311738</v>
      </c>
      <c r="F93" s="352">
        <f t="shared" si="64"/>
        <v>7.230195350721706</v>
      </c>
      <c r="G93" s="352">
        <f t="shared" si="64"/>
        <v>7.8491041680455123</v>
      </c>
      <c r="H93" s="352">
        <f t="shared" si="64"/>
        <v>1.2549855361203739</v>
      </c>
      <c r="I93" s="352">
        <f t="shared" si="64"/>
        <v>9.0261029310210237</v>
      </c>
      <c r="J93" s="352">
        <f t="shared" si="64"/>
        <v>1.8533631763134051</v>
      </c>
      <c r="K93" s="352" t="e">
        <f t="shared" si="64"/>
        <v>#DIV/0!</v>
      </c>
      <c r="L93" s="352" t="e">
        <f t="shared" si="64"/>
        <v>#DIV/0!</v>
      </c>
      <c r="M93" s="352" t="e">
        <f t="shared" si="64"/>
        <v>#DIV/0!</v>
      </c>
      <c r="N93" s="352" t="e">
        <f t="shared" si="64"/>
        <v>#DIV/0!</v>
      </c>
      <c r="O93" s="352">
        <f t="shared" si="64"/>
        <v>0</v>
      </c>
      <c r="P93" s="352">
        <f t="shared" si="64"/>
        <v>6.3262386579665977</v>
      </c>
      <c r="Q93" s="354"/>
    </row>
    <row r="94" spans="1:17" s="354" customFormat="1" ht="52.5" customHeight="1" x14ac:dyDescent="0.5">
      <c r="A94" s="1020"/>
      <c r="B94" s="1027"/>
      <c r="C94" s="351" t="s">
        <v>1008</v>
      </c>
      <c r="D94" s="352">
        <f>+D90*100/D88</f>
        <v>16.568484968715889</v>
      </c>
      <c r="E94" s="352">
        <f t="shared" ref="E94:P94" si="65">+E90*100/E88</f>
        <v>16.080106519462348</v>
      </c>
      <c r="F94" s="352">
        <f t="shared" si="65"/>
        <v>14.460390701443412</v>
      </c>
      <c r="G94" s="352">
        <f t="shared" si="65"/>
        <v>15.698208336091025</v>
      </c>
      <c r="H94" s="352">
        <f t="shared" si="65"/>
        <v>2.5099742157133362</v>
      </c>
      <c r="I94" s="352">
        <f t="shared" si="65"/>
        <v>18.052314265468869</v>
      </c>
      <c r="J94" s="352">
        <f t="shared" si="65"/>
        <v>3.7067323513840305</v>
      </c>
      <c r="K94" s="352" t="e">
        <f t="shared" si="65"/>
        <v>#DIV/0!</v>
      </c>
      <c r="L94" s="352" t="e">
        <f t="shared" si="65"/>
        <v>#DIV/0!</v>
      </c>
      <c r="M94" s="352" t="e">
        <f t="shared" si="65"/>
        <v>#DIV/0!</v>
      </c>
      <c r="N94" s="352" t="e">
        <f t="shared" si="65"/>
        <v>#DIV/0!</v>
      </c>
      <c r="O94" s="352">
        <f t="shared" si="65"/>
        <v>0</v>
      </c>
      <c r="P94" s="352">
        <f t="shared" si="65"/>
        <v>12.652484149987906</v>
      </c>
    </row>
    <row r="95" spans="1:17" s="354" customFormat="1" ht="50.25" customHeight="1" x14ac:dyDescent="0.5">
      <c r="A95" s="1018">
        <v>12</v>
      </c>
      <c r="B95" s="1025" t="s">
        <v>15</v>
      </c>
      <c r="C95" s="351" t="s">
        <v>991</v>
      </c>
      <c r="D95" s="352">
        <v>0</v>
      </c>
      <c r="E95" s="352">
        <v>0</v>
      </c>
      <c r="F95" s="352">
        <v>0</v>
      </c>
      <c r="G95" s="352">
        <f>SUM(D95:F95)</f>
        <v>0</v>
      </c>
      <c r="H95" s="352">
        <v>0</v>
      </c>
      <c r="I95" s="352">
        <v>0</v>
      </c>
      <c r="J95" s="352">
        <f>SUM(H95:I95)</f>
        <v>0</v>
      </c>
      <c r="K95" s="352">
        <f>+K79</f>
        <v>19128700</v>
      </c>
      <c r="L95" s="352">
        <f>+L79</f>
        <v>99165600</v>
      </c>
      <c r="M95" s="352">
        <f>SUM(K95:L95)</f>
        <v>118294300</v>
      </c>
      <c r="N95" s="352">
        <v>0</v>
      </c>
      <c r="O95" s="352">
        <v>0</v>
      </c>
      <c r="P95" s="352">
        <f>SUM(G95+J95+M95+N95+O95)</f>
        <v>118294300</v>
      </c>
    </row>
    <row r="96" spans="1:17" s="354" customFormat="1" ht="50.25" customHeight="1" x14ac:dyDescent="0.5">
      <c r="A96" s="1019"/>
      <c r="B96" s="1026"/>
      <c r="C96" s="351" t="s">
        <v>1007</v>
      </c>
      <c r="D96" s="352">
        <v>0</v>
      </c>
      <c r="E96" s="352">
        <v>0</v>
      </c>
      <c r="F96" s="352">
        <v>0</v>
      </c>
      <c r="G96" s="352">
        <f>SUM(D96:F96)</f>
        <v>0</v>
      </c>
      <c r="H96" s="352">
        <v>0</v>
      </c>
      <c r="I96" s="352">
        <v>0</v>
      </c>
      <c r="J96" s="352">
        <f>SUM(H96:I96)</f>
        <v>0</v>
      </c>
      <c r="K96" s="352">
        <f t="shared" ref="K96:L98" si="66">+K80</f>
        <v>19128700</v>
      </c>
      <c r="L96" s="352">
        <f t="shared" si="66"/>
        <v>49094800</v>
      </c>
      <c r="M96" s="352">
        <f>SUM(K96:L96)</f>
        <v>68223500</v>
      </c>
      <c r="N96" s="352">
        <v>0</v>
      </c>
      <c r="O96" s="352">
        <v>0</v>
      </c>
      <c r="P96" s="352">
        <f>SUM(G96+J96+M96+N96+O96)</f>
        <v>68223500</v>
      </c>
    </row>
    <row r="97" spans="1:17" s="354" customFormat="1" ht="50.25" customHeight="1" x14ac:dyDescent="0.5">
      <c r="A97" s="1019"/>
      <c r="B97" s="1026"/>
      <c r="C97" s="351" t="s">
        <v>77</v>
      </c>
      <c r="D97" s="352">
        <v>0</v>
      </c>
      <c r="E97" s="352">
        <v>0</v>
      </c>
      <c r="F97" s="352">
        <v>0</v>
      </c>
      <c r="G97" s="352">
        <f>SUM(D97:F97)</f>
        <v>0</v>
      </c>
      <c r="H97" s="352">
        <v>0</v>
      </c>
      <c r="I97" s="352">
        <v>0</v>
      </c>
      <c r="J97" s="352">
        <f>SUM(H97:I97)</f>
        <v>0</v>
      </c>
      <c r="K97" s="352">
        <f t="shared" si="66"/>
        <v>1351610</v>
      </c>
      <c r="L97" s="352">
        <f t="shared" si="66"/>
        <v>6235800</v>
      </c>
      <c r="M97" s="352">
        <f>SUM(K97:L97)</f>
        <v>7587410</v>
      </c>
      <c r="N97" s="352">
        <v>0</v>
      </c>
      <c r="O97" s="352">
        <v>0</v>
      </c>
      <c r="P97" s="352">
        <f>SUM(G97+J97+M97+N97+O97)</f>
        <v>7587410</v>
      </c>
    </row>
    <row r="98" spans="1:17" s="354" customFormat="1" ht="50.25" customHeight="1" x14ac:dyDescent="0.5">
      <c r="A98" s="1019"/>
      <c r="B98" s="1026"/>
      <c r="C98" s="351" t="s">
        <v>17</v>
      </c>
      <c r="D98" s="352">
        <v>0</v>
      </c>
      <c r="E98" s="352">
        <v>0</v>
      </c>
      <c r="F98" s="352">
        <v>0</v>
      </c>
      <c r="G98" s="352">
        <f>SUM(D98:F98)</f>
        <v>0</v>
      </c>
      <c r="H98" s="352">
        <v>0</v>
      </c>
      <c r="I98" s="352">
        <v>0</v>
      </c>
      <c r="J98" s="352">
        <f>SUM(H98:I98)</f>
        <v>0</v>
      </c>
      <c r="K98" s="352">
        <f t="shared" si="66"/>
        <v>1322506.5</v>
      </c>
      <c r="L98" s="352">
        <f t="shared" si="66"/>
        <v>0</v>
      </c>
      <c r="M98" s="352">
        <f>SUM(K98:L98)</f>
        <v>1322506.5</v>
      </c>
      <c r="N98" s="352">
        <v>0</v>
      </c>
      <c r="O98" s="352">
        <v>0</v>
      </c>
      <c r="P98" s="352">
        <f>SUM(G98+J98+M98+N98+O98)</f>
        <v>1322506.5</v>
      </c>
    </row>
    <row r="99" spans="1:17" s="354" customFormat="1" ht="50.25" customHeight="1" x14ac:dyDescent="0.5">
      <c r="A99" s="1019"/>
      <c r="B99" s="1026"/>
      <c r="C99" s="351" t="s">
        <v>78</v>
      </c>
      <c r="D99" s="352">
        <f>+D96-D98</f>
        <v>0</v>
      </c>
      <c r="E99" s="352">
        <f>+E96-E98</f>
        <v>0</v>
      </c>
      <c r="F99" s="352">
        <f>+F96-F98</f>
        <v>0</v>
      </c>
      <c r="G99" s="352">
        <f>G96-G98</f>
        <v>0</v>
      </c>
      <c r="H99" s="352">
        <f>+H96-H98</f>
        <v>0</v>
      </c>
      <c r="I99" s="352">
        <f>+I96-I98</f>
        <v>0</v>
      </c>
      <c r="J99" s="352">
        <f>J96-J98</f>
        <v>0</v>
      </c>
      <c r="K99" s="352">
        <f>+K96-K98</f>
        <v>17806193.5</v>
      </c>
      <c r="L99" s="352">
        <f>+L96-L98</f>
        <v>49094800</v>
      </c>
      <c r="M99" s="352">
        <f>M96-M98</f>
        <v>66900993.5</v>
      </c>
      <c r="N99" s="352">
        <f>+N96-N98</f>
        <v>0</v>
      </c>
      <c r="O99" s="352">
        <f>+O96-O98</f>
        <v>0</v>
      </c>
      <c r="P99" s="352">
        <f>P96-P98</f>
        <v>66900993.5</v>
      </c>
    </row>
    <row r="100" spans="1:17" s="354" customFormat="1" ht="50.25" customHeight="1" x14ac:dyDescent="0.5">
      <c r="A100" s="1019"/>
      <c r="B100" s="1026"/>
      <c r="C100" s="351" t="s">
        <v>1049</v>
      </c>
      <c r="D100" s="352">
        <f>+D96-D97-D98</f>
        <v>0</v>
      </c>
      <c r="E100" s="352">
        <f>+E96-E97-E98</f>
        <v>0</v>
      </c>
      <c r="F100" s="352">
        <f>+F96-F97-F98</f>
        <v>0</v>
      </c>
      <c r="G100" s="352">
        <f>G96-G97-G98</f>
        <v>0</v>
      </c>
      <c r="H100" s="352">
        <f>+H96-H97-H98</f>
        <v>0</v>
      </c>
      <c r="I100" s="352">
        <f>+I96-I97-I98</f>
        <v>0</v>
      </c>
      <c r="J100" s="352">
        <f>J96-J97-J98</f>
        <v>0</v>
      </c>
      <c r="K100" s="352">
        <f>+K96-K97-K98</f>
        <v>16454583.5</v>
      </c>
      <c r="L100" s="352">
        <f>+L96-L97-L98</f>
        <v>42859000</v>
      </c>
      <c r="M100" s="352">
        <f>M96-M97-M98</f>
        <v>59313583.5</v>
      </c>
      <c r="N100" s="352">
        <f>+N96-N97-N98</f>
        <v>0</v>
      </c>
      <c r="O100" s="352">
        <f>+O96-O97-O98</f>
        <v>0</v>
      </c>
      <c r="P100" s="352">
        <f>P96-P97-P98</f>
        <v>59313583.5</v>
      </c>
    </row>
    <row r="101" spans="1:17" s="353" customFormat="1" ht="50.25" customHeight="1" x14ac:dyDescent="0.5">
      <c r="A101" s="1019"/>
      <c r="B101" s="1026"/>
      <c r="C101" s="351" t="s">
        <v>100</v>
      </c>
      <c r="D101" s="352" t="e">
        <f>+D98*100/D95</f>
        <v>#DIV/0!</v>
      </c>
      <c r="E101" s="352" t="e">
        <f t="shared" ref="E101:P101" si="67">+E98*100/E95</f>
        <v>#DIV/0!</v>
      </c>
      <c r="F101" s="352" t="e">
        <f t="shared" si="67"/>
        <v>#DIV/0!</v>
      </c>
      <c r="G101" s="352" t="e">
        <f t="shared" si="67"/>
        <v>#DIV/0!</v>
      </c>
      <c r="H101" s="352" t="e">
        <f t="shared" si="67"/>
        <v>#DIV/0!</v>
      </c>
      <c r="I101" s="352" t="e">
        <f t="shared" si="67"/>
        <v>#DIV/0!</v>
      </c>
      <c r="J101" s="352" t="e">
        <f t="shared" si="67"/>
        <v>#DIV/0!</v>
      </c>
      <c r="K101" s="352">
        <f t="shared" si="67"/>
        <v>6.913729108616895</v>
      </c>
      <c r="L101" s="352">
        <f t="shared" si="67"/>
        <v>0</v>
      </c>
      <c r="M101" s="352">
        <f t="shared" si="67"/>
        <v>1.1179799026664852</v>
      </c>
      <c r="N101" s="352" t="e">
        <f t="shared" si="67"/>
        <v>#DIV/0!</v>
      </c>
      <c r="O101" s="352" t="e">
        <f t="shared" si="67"/>
        <v>#DIV/0!</v>
      </c>
      <c r="P101" s="352">
        <f t="shared" si="67"/>
        <v>1.1179799026664852</v>
      </c>
      <c r="Q101" s="354"/>
    </row>
    <row r="102" spans="1:17" s="354" customFormat="1" ht="50.25" customHeight="1" x14ac:dyDescent="0.5">
      <c r="A102" s="1020"/>
      <c r="B102" s="1027"/>
      <c r="C102" s="351" t="s">
        <v>1008</v>
      </c>
      <c r="D102" s="352" t="e">
        <f>+D98*100/D96</f>
        <v>#DIV/0!</v>
      </c>
      <c r="E102" s="352" t="e">
        <f t="shared" ref="E102:P102" si="68">+E98*100/E96</f>
        <v>#DIV/0!</v>
      </c>
      <c r="F102" s="352" t="e">
        <f t="shared" si="68"/>
        <v>#DIV/0!</v>
      </c>
      <c r="G102" s="352" t="e">
        <f t="shared" si="68"/>
        <v>#DIV/0!</v>
      </c>
      <c r="H102" s="352" t="e">
        <f t="shared" si="68"/>
        <v>#DIV/0!</v>
      </c>
      <c r="I102" s="352" t="e">
        <f t="shared" si="68"/>
        <v>#DIV/0!</v>
      </c>
      <c r="J102" s="352" t="e">
        <f t="shared" si="68"/>
        <v>#DIV/0!</v>
      </c>
      <c r="K102" s="352">
        <f t="shared" si="68"/>
        <v>6.913729108616895</v>
      </c>
      <c r="L102" s="352">
        <f t="shared" si="68"/>
        <v>0</v>
      </c>
      <c r="M102" s="352">
        <f t="shared" si="68"/>
        <v>1.9384911357523433</v>
      </c>
      <c r="N102" s="352" t="e">
        <f t="shared" si="68"/>
        <v>#DIV/0!</v>
      </c>
      <c r="O102" s="352" t="e">
        <f t="shared" si="68"/>
        <v>#DIV/0!</v>
      </c>
      <c r="P102" s="352">
        <f t="shared" si="68"/>
        <v>1.9384911357523433</v>
      </c>
    </row>
    <row r="103" spans="1:17" s="395" customFormat="1" ht="53.25" hidden="1" customHeight="1" x14ac:dyDescent="0.5">
      <c r="A103" s="392"/>
      <c r="B103" s="485" t="s">
        <v>674</v>
      </c>
      <c r="C103" s="394"/>
      <c r="D103" s="394"/>
      <c r="E103" s="394"/>
      <c r="F103" s="394"/>
      <c r="G103" s="394"/>
      <c r="H103" s="394"/>
      <c r="I103" s="394"/>
      <c r="J103" s="394"/>
      <c r="K103" s="394"/>
      <c r="L103" s="394"/>
      <c r="M103" s="394"/>
      <c r="N103" s="394"/>
      <c r="O103" s="394"/>
      <c r="P103" s="394"/>
    </row>
    <row r="104" spans="1:17" s="395" customFormat="1" ht="53.25" hidden="1" customHeight="1" x14ac:dyDescent="0.5">
      <c r="A104" s="392"/>
      <c r="B104" s="486" t="s">
        <v>74</v>
      </c>
      <c r="C104" s="397" t="s">
        <v>81</v>
      </c>
      <c r="D104" s="394" t="s">
        <v>92</v>
      </c>
      <c r="E104" s="394"/>
      <c r="F104" s="394"/>
      <c r="G104" s="394"/>
      <c r="H104" s="394"/>
      <c r="I104" s="394"/>
      <c r="J104" s="394"/>
      <c r="K104" s="394"/>
      <c r="L104" s="394"/>
      <c r="M104" s="394"/>
      <c r="N104" s="394"/>
      <c r="O104" s="394"/>
      <c r="P104" s="394"/>
    </row>
    <row r="105" spans="1:17" s="395" customFormat="1" ht="53.25" hidden="1" customHeight="1" x14ac:dyDescent="0.5">
      <c r="A105" s="392"/>
      <c r="B105" s="486" t="s">
        <v>69</v>
      </c>
      <c r="C105" s="397" t="s">
        <v>90</v>
      </c>
      <c r="D105" s="394" t="s">
        <v>93</v>
      </c>
      <c r="E105" s="394"/>
      <c r="F105" s="394"/>
      <c r="G105" s="394"/>
      <c r="H105" s="394">
        <v>8.3330000000000002</v>
      </c>
      <c r="I105" s="394">
        <f>42+8.33+8.33</f>
        <v>58.66</v>
      </c>
      <c r="J105" s="394"/>
      <c r="K105" s="394"/>
      <c r="L105" s="394"/>
      <c r="M105" s="394"/>
      <c r="N105" s="394"/>
      <c r="O105" s="394"/>
      <c r="P105" s="394"/>
    </row>
    <row r="106" spans="1:17" s="395" customFormat="1" ht="53.25" hidden="1" customHeight="1" x14ac:dyDescent="0.5">
      <c r="A106" s="392"/>
      <c r="B106" s="486" t="s">
        <v>70</v>
      </c>
      <c r="C106" s="397" t="s">
        <v>91</v>
      </c>
      <c r="D106" s="394" t="s">
        <v>94</v>
      </c>
      <c r="E106" s="394"/>
      <c r="F106" s="394"/>
      <c r="G106" s="394"/>
      <c r="H106" s="394"/>
      <c r="I106" s="394"/>
      <c r="J106" s="394"/>
      <c r="K106" s="394"/>
      <c r="L106" s="394"/>
      <c r="M106" s="394"/>
      <c r="N106" s="394"/>
      <c r="O106" s="394"/>
      <c r="P106" s="394"/>
    </row>
    <row r="107" spans="1:17" s="395" customFormat="1" ht="53.25" hidden="1" customHeight="1" x14ac:dyDescent="0.5">
      <c r="A107" s="392"/>
      <c r="B107" s="486" t="s">
        <v>71</v>
      </c>
      <c r="C107" s="397" t="s">
        <v>85</v>
      </c>
      <c r="D107" s="394" t="s">
        <v>95</v>
      </c>
      <c r="E107" s="394"/>
      <c r="F107" s="394"/>
      <c r="G107" s="394"/>
      <c r="H107" s="394"/>
      <c r="I107" s="394"/>
      <c r="J107" s="394"/>
      <c r="K107" s="394"/>
      <c r="L107" s="394"/>
      <c r="M107" s="394"/>
      <c r="N107" s="394"/>
      <c r="O107" s="394"/>
      <c r="P107" s="394"/>
    </row>
    <row r="108" spans="1:17" s="400" customFormat="1" ht="53.25" hidden="1" customHeight="1" x14ac:dyDescent="0.5">
      <c r="A108" s="392"/>
      <c r="B108" s="487" t="s">
        <v>675</v>
      </c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5"/>
      <c r="N108" s="395"/>
      <c r="O108" s="395"/>
      <c r="P108" s="395"/>
    </row>
    <row r="109" spans="1:17" s="395" customFormat="1" ht="53.25" hidden="1" customHeight="1" x14ac:dyDescent="0.5">
      <c r="A109" s="392"/>
      <c r="B109" s="486" t="s">
        <v>74</v>
      </c>
      <c r="C109" s="397" t="s">
        <v>86</v>
      </c>
      <c r="D109" s="394" t="s">
        <v>92</v>
      </c>
      <c r="E109" s="394"/>
      <c r="F109" s="394"/>
      <c r="G109" s="394"/>
      <c r="H109" s="394"/>
      <c r="I109" s="394"/>
      <c r="J109" s="394"/>
      <c r="K109" s="394"/>
      <c r="L109" s="394"/>
      <c r="M109" s="394"/>
      <c r="N109" s="394"/>
      <c r="O109" s="394"/>
      <c r="P109" s="394"/>
    </row>
    <row r="110" spans="1:17" s="395" customFormat="1" ht="53.25" hidden="1" customHeight="1" x14ac:dyDescent="0.5">
      <c r="A110" s="392"/>
      <c r="B110" s="486" t="s">
        <v>69</v>
      </c>
      <c r="C110" s="397" t="s">
        <v>96</v>
      </c>
      <c r="D110" s="394" t="s">
        <v>93</v>
      </c>
      <c r="E110" s="394"/>
      <c r="F110" s="394"/>
      <c r="G110" s="394"/>
      <c r="H110" s="394">
        <v>6.6660000000000004</v>
      </c>
      <c r="I110" s="394">
        <f>23+6.666+6.666</f>
        <v>36.332000000000001</v>
      </c>
      <c r="J110" s="394"/>
      <c r="K110" s="394"/>
      <c r="L110" s="394"/>
      <c r="M110" s="394"/>
      <c r="N110" s="394"/>
      <c r="O110" s="394"/>
      <c r="P110" s="394"/>
    </row>
    <row r="111" spans="1:17" s="395" customFormat="1" ht="53.25" hidden="1" customHeight="1" x14ac:dyDescent="0.5">
      <c r="A111" s="392"/>
      <c r="B111" s="486" t="s">
        <v>70</v>
      </c>
      <c r="C111" s="397" t="s">
        <v>97</v>
      </c>
      <c r="D111" s="394" t="s">
        <v>94</v>
      </c>
      <c r="E111" s="394"/>
      <c r="F111" s="394"/>
      <c r="G111" s="394"/>
      <c r="H111" s="394"/>
      <c r="I111" s="394"/>
      <c r="J111" s="394"/>
      <c r="K111" s="394"/>
      <c r="L111" s="394"/>
      <c r="M111" s="394"/>
      <c r="N111" s="394"/>
      <c r="O111" s="394"/>
      <c r="P111" s="394"/>
    </row>
    <row r="112" spans="1:17" s="395" customFormat="1" ht="53.25" hidden="1" customHeight="1" x14ac:dyDescent="0.5">
      <c r="A112" s="392"/>
      <c r="B112" s="486" t="s">
        <v>71</v>
      </c>
      <c r="C112" s="397" t="s">
        <v>87</v>
      </c>
      <c r="D112" s="394" t="s">
        <v>95</v>
      </c>
      <c r="E112" s="394"/>
      <c r="F112" s="394"/>
      <c r="G112" s="394"/>
      <c r="H112" s="394"/>
      <c r="I112" s="394"/>
      <c r="J112" s="394"/>
      <c r="K112" s="394"/>
      <c r="L112" s="394"/>
      <c r="M112" s="394"/>
      <c r="N112" s="394"/>
      <c r="O112" s="394"/>
      <c r="P112" s="394"/>
    </row>
    <row r="113" spans="1:16" s="401" customFormat="1" ht="52.5" hidden="1" customHeight="1" x14ac:dyDescent="0.5">
      <c r="A113" s="1024" t="s">
        <v>182</v>
      </c>
      <c r="B113" s="1024"/>
      <c r="C113" s="1024"/>
      <c r="D113" s="1024"/>
      <c r="E113" s="1024"/>
      <c r="F113" s="1024"/>
      <c r="G113" s="1024"/>
      <c r="H113" s="1024"/>
      <c r="I113" s="1024"/>
      <c r="J113" s="1024"/>
      <c r="K113" s="1024"/>
      <c r="L113" s="1024"/>
      <c r="M113" s="1024"/>
      <c r="N113" s="1024"/>
      <c r="O113" s="1024"/>
      <c r="P113" s="1024"/>
    </row>
    <row r="114" spans="1:16" s="404" customFormat="1" ht="46.5" hidden="1" customHeight="1" x14ac:dyDescent="0.5">
      <c r="A114" s="392" t="s">
        <v>98</v>
      </c>
      <c r="B114" s="488" t="s">
        <v>99</v>
      </c>
      <c r="C114" s="403"/>
      <c r="D114" s="403"/>
      <c r="E114" s="403"/>
      <c r="F114" s="403"/>
      <c r="G114" s="403"/>
      <c r="H114" s="403"/>
      <c r="I114" s="403"/>
      <c r="J114" s="403"/>
      <c r="K114" s="403"/>
      <c r="L114" s="403"/>
      <c r="M114" s="403"/>
      <c r="N114" s="403"/>
      <c r="O114" s="403"/>
    </row>
    <row r="115" spans="1:16" hidden="1" x14ac:dyDescent="0.5">
      <c r="K115" s="407">
        <f>+K96-K95</f>
        <v>0</v>
      </c>
      <c r="L115" s="407">
        <f>+L96-L95</f>
        <v>-50070800</v>
      </c>
      <c r="M115" s="407">
        <f>+M96-M95</f>
        <v>-50070800</v>
      </c>
    </row>
  </sheetData>
  <mergeCells count="48">
    <mergeCell ref="A113:P113"/>
    <mergeCell ref="B95:B102"/>
    <mergeCell ref="A80:A83"/>
    <mergeCell ref="B87:B94"/>
    <mergeCell ref="A95:A102"/>
    <mergeCell ref="A87:A94"/>
    <mergeCell ref="L5:L6"/>
    <mergeCell ref="J5:J6"/>
    <mergeCell ref="A71:A78"/>
    <mergeCell ref="A55:B55"/>
    <mergeCell ref="A41:A46"/>
    <mergeCell ref="A49:A54"/>
    <mergeCell ref="A56:B56"/>
    <mergeCell ref="A65:A70"/>
    <mergeCell ref="A64:B64"/>
    <mergeCell ref="A63:B63"/>
    <mergeCell ref="A47:B47"/>
    <mergeCell ref="A48:B48"/>
    <mergeCell ref="A57:A62"/>
    <mergeCell ref="A40:B40"/>
    <mergeCell ref="A31:B31"/>
    <mergeCell ref="G5:G6"/>
    <mergeCell ref="A7:B7"/>
    <mergeCell ref="A8:B8"/>
    <mergeCell ref="A39:B39"/>
    <mergeCell ref="A32:A38"/>
    <mergeCell ref="A9:A14"/>
    <mergeCell ref="A15:B15"/>
    <mergeCell ref="A17:A22"/>
    <mergeCell ref="A23:B23"/>
    <mergeCell ref="A24:A30"/>
    <mergeCell ref="A16:B16"/>
    <mergeCell ref="K5:K6"/>
    <mergeCell ref="I5:I6"/>
    <mergeCell ref="A1:P1"/>
    <mergeCell ref="A2:P2"/>
    <mergeCell ref="A3:P3"/>
    <mergeCell ref="A4:A6"/>
    <mergeCell ref="B4:C6"/>
    <mergeCell ref="D4:G4"/>
    <mergeCell ref="H4:J4"/>
    <mergeCell ref="K4:M4"/>
    <mergeCell ref="N4:N6"/>
    <mergeCell ref="O4:O6"/>
    <mergeCell ref="P4:P6"/>
    <mergeCell ref="D5:D6"/>
    <mergeCell ref="E5:E6"/>
    <mergeCell ref="M5:M6"/>
  </mergeCells>
  <pageMargins left="0.25" right="0" top="0.66929133858267698" bottom="0.43307086614173201" header="0.35433070866141703" footer="0.23622047244094499"/>
  <pageSetup paperSize="9" scale="35" orientation="landscape" r:id="rId1"/>
  <headerFooter alignWithMargins="0">
    <oddFooter>&amp;L&amp;20กลุ่มงานบัญชีและงบประมาณ&amp;R&amp;26หน้าที่ &amp;P จาก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30"/>
  <sheetViews>
    <sheetView topLeftCell="B1" zoomScaleNormal="100" workbookViewId="0">
      <selection activeCell="G111" sqref="G111"/>
    </sheetView>
  </sheetViews>
  <sheetFormatPr defaultRowHeight="27.75" x14ac:dyDescent="0.65"/>
  <cols>
    <col min="1" max="1" width="6.85546875" style="646" customWidth="1"/>
    <col min="2" max="2" width="4.7109375" style="647" customWidth="1"/>
    <col min="3" max="3" width="14.85546875" style="648" customWidth="1"/>
    <col min="4" max="4" width="17.140625" style="646" customWidth="1"/>
    <col min="5" max="5" width="19.28515625" style="645" customWidth="1"/>
    <col min="6" max="6" width="19.28515625" style="646" customWidth="1"/>
    <col min="7" max="7" width="19.28515625" style="650" customWidth="1"/>
    <col min="8" max="9" width="14.28515625" style="639" customWidth="1"/>
    <col min="10" max="10" width="16.140625" style="646" hidden="1" customWidth="1"/>
    <col min="11" max="16384" width="9.140625" style="646"/>
  </cols>
  <sheetData>
    <row r="1" spans="1:10" s="639" customFormat="1" x14ac:dyDescent="0.65">
      <c r="A1" s="1153" t="s">
        <v>57</v>
      </c>
      <c r="B1" s="1153"/>
      <c r="C1" s="1153"/>
      <c r="D1" s="1153"/>
      <c r="E1" s="1153"/>
      <c r="F1" s="1153"/>
      <c r="G1" s="1153"/>
      <c r="H1" s="1153"/>
      <c r="I1" s="1153"/>
    </row>
    <row r="2" spans="1:10" s="639" customFormat="1" x14ac:dyDescent="0.65">
      <c r="A2" s="1155" t="str">
        <f>+'3.งบบุคลากร (GF)'!A2:H2</f>
        <v xml:space="preserve">สรุปสถานะการใช้จ่ายเงินงบประมาณประจำปีงบประมาณ พ.ศ. 2565 ในระบบ GFMIS     </v>
      </c>
      <c r="B2" s="1155"/>
      <c r="C2" s="1155"/>
      <c r="D2" s="1155"/>
      <c r="E2" s="1155"/>
      <c r="F2" s="1155"/>
      <c r="G2" s="1155"/>
      <c r="H2" s="1155"/>
      <c r="I2" s="1155"/>
    </row>
    <row r="3" spans="1:10" s="639" customFormat="1" ht="29.25" hidden="1" customHeight="1" x14ac:dyDescent="0.65">
      <c r="A3" s="1155" t="s">
        <v>259</v>
      </c>
      <c r="B3" s="1155"/>
      <c r="C3" s="1155"/>
      <c r="D3" s="1155"/>
      <c r="E3" s="1155"/>
      <c r="F3" s="1155"/>
      <c r="G3" s="1155"/>
      <c r="H3" s="1155"/>
    </row>
    <row r="4" spans="1:10" s="639" customFormat="1" x14ac:dyDescent="0.65">
      <c r="A4" s="1155" t="s">
        <v>283</v>
      </c>
      <c r="B4" s="1155"/>
      <c r="C4" s="1155"/>
      <c r="D4" s="1155"/>
      <c r="E4" s="1155"/>
      <c r="F4" s="1155"/>
      <c r="G4" s="1155"/>
      <c r="H4" s="1155"/>
      <c r="I4" s="1155"/>
    </row>
    <row r="5" spans="1:10" s="639" customFormat="1" x14ac:dyDescent="0.65">
      <c r="A5" s="1158" t="str">
        <f>+รายจ่ายจริง!A3:P3</f>
        <v>ตั้งแต่วันที่ 1  ตุลาคม 2564 ถึงวันที่ 31 ตุลาคม 2564</v>
      </c>
      <c r="B5" s="1158"/>
      <c r="C5" s="1158"/>
      <c r="D5" s="1158"/>
      <c r="E5" s="1158"/>
      <c r="F5" s="1158"/>
      <c r="G5" s="1158"/>
      <c r="H5" s="1158"/>
      <c r="I5" s="1158"/>
    </row>
    <row r="6" spans="1:10" s="676" customFormat="1" x14ac:dyDescent="0.65">
      <c r="A6" s="1162" t="s">
        <v>0</v>
      </c>
      <c r="B6" s="1164" t="s">
        <v>1</v>
      </c>
      <c r="C6" s="1165"/>
      <c r="D6" s="640" t="s">
        <v>67</v>
      </c>
      <c r="E6" s="651" t="s">
        <v>109</v>
      </c>
      <c r="F6" s="640" t="s">
        <v>110</v>
      </c>
      <c r="G6" s="640" t="s">
        <v>60</v>
      </c>
      <c r="H6" s="652" t="s">
        <v>66</v>
      </c>
      <c r="I6" s="652" t="s">
        <v>66</v>
      </c>
    </row>
    <row r="7" spans="1:10" s="639" customFormat="1" x14ac:dyDescent="0.65">
      <c r="A7" s="1163"/>
      <c r="B7" s="1166"/>
      <c r="C7" s="1167"/>
      <c r="D7" s="643" t="s">
        <v>2</v>
      </c>
      <c r="E7" s="644" t="s">
        <v>2</v>
      </c>
      <c r="F7" s="643" t="s">
        <v>2</v>
      </c>
      <c r="G7" s="643" t="s">
        <v>2</v>
      </c>
      <c r="H7" s="654" t="s">
        <v>111</v>
      </c>
      <c r="I7" s="654" t="s">
        <v>787</v>
      </c>
    </row>
    <row r="8" spans="1:10" s="276" customFormat="1" ht="24" x14ac:dyDescent="0.55000000000000004">
      <c r="A8" s="273">
        <v>1</v>
      </c>
      <c r="B8" s="74" t="s">
        <v>112</v>
      </c>
      <c r="C8" s="274"/>
      <c r="D8" s="427">
        <v>47969385</v>
      </c>
      <c r="E8" s="427">
        <v>995958.4</v>
      </c>
      <c r="F8" s="427">
        <v>811293.88</v>
      </c>
      <c r="G8" s="288">
        <f>+D8-E8-F8</f>
        <v>46162132.719999999</v>
      </c>
      <c r="H8" s="287">
        <f>F8*100/D8</f>
        <v>1.691274299222306</v>
      </c>
      <c r="I8" s="287">
        <f>+J8*100/D8</f>
        <v>3.7675118828394401</v>
      </c>
      <c r="J8" s="677">
        <f>+E8+F8</f>
        <v>1807252.28</v>
      </c>
    </row>
    <row r="9" spans="1:10" s="276" customFormat="1" ht="24" x14ac:dyDescent="0.55000000000000004">
      <c r="A9" s="273">
        <v>2</v>
      </c>
      <c r="B9" s="74" t="s">
        <v>113</v>
      </c>
      <c r="C9" s="274" t="s">
        <v>114</v>
      </c>
      <c r="D9" s="427">
        <v>4010528</v>
      </c>
      <c r="E9" s="997"/>
      <c r="F9" s="427">
        <v>227096</v>
      </c>
      <c r="G9" s="288">
        <f t="shared" ref="G9:G72" si="0">+D9-E9-F9</f>
        <v>3783432</v>
      </c>
      <c r="H9" s="287">
        <f t="shared" ref="H9:H72" si="1">F9*100/D9</f>
        <v>5.6624963097128358</v>
      </c>
      <c r="I9" s="287">
        <f t="shared" ref="I9:I72" si="2">+J9*100/D9</f>
        <v>5.6624963097128358</v>
      </c>
      <c r="J9" s="677">
        <f t="shared" ref="J9:J72" si="3">+E9+F9</f>
        <v>227096</v>
      </c>
    </row>
    <row r="10" spans="1:10" s="276" customFormat="1" ht="24" x14ac:dyDescent="0.55000000000000004">
      <c r="A10" s="273">
        <v>3</v>
      </c>
      <c r="B10" s="74" t="s">
        <v>115</v>
      </c>
      <c r="C10" s="274" t="s">
        <v>18</v>
      </c>
      <c r="D10" s="427">
        <v>4589200</v>
      </c>
      <c r="E10" s="427">
        <v>1137792.3999999999</v>
      </c>
      <c r="F10" s="427">
        <v>249859.26</v>
      </c>
      <c r="G10" s="288">
        <f t="shared" si="0"/>
        <v>3201548.34</v>
      </c>
      <c r="H10" s="287">
        <f t="shared" si="1"/>
        <v>5.4445057962172054</v>
      </c>
      <c r="I10" s="287">
        <f t="shared" si="2"/>
        <v>30.237332432668005</v>
      </c>
      <c r="J10" s="677">
        <f t="shared" si="3"/>
        <v>1387651.66</v>
      </c>
    </row>
    <row r="11" spans="1:10" s="276" customFormat="1" ht="24" x14ac:dyDescent="0.55000000000000004">
      <c r="A11" s="273">
        <v>4</v>
      </c>
      <c r="B11" s="74" t="s">
        <v>115</v>
      </c>
      <c r="C11" s="274" t="s">
        <v>76</v>
      </c>
      <c r="D11" s="427">
        <v>2011621</v>
      </c>
      <c r="E11" s="427">
        <v>12500</v>
      </c>
      <c r="F11" s="427">
        <v>41444.629999999997</v>
      </c>
      <c r="G11" s="288">
        <f t="shared" si="0"/>
        <v>1957676.37</v>
      </c>
      <c r="H11" s="287">
        <f t="shared" si="1"/>
        <v>2.0602603571945211</v>
      </c>
      <c r="I11" s="287">
        <f t="shared" si="2"/>
        <v>2.6816497739882412</v>
      </c>
      <c r="J11" s="677">
        <f t="shared" si="3"/>
        <v>53944.63</v>
      </c>
    </row>
    <row r="12" spans="1:10" s="276" customFormat="1" ht="24" x14ac:dyDescent="0.55000000000000004">
      <c r="A12" s="273">
        <v>5</v>
      </c>
      <c r="B12" s="74" t="s">
        <v>115</v>
      </c>
      <c r="C12" s="274" t="s">
        <v>116</v>
      </c>
      <c r="D12" s="427">
        <v>2090540</v>
      </c>
      <c r="E12" s="997"/>
      <c r="F12" s="427">
        <v>76104.350000000006</v>
      </c>
      <c r="G12" s="288">
        <f t="shared" si="0"/>
        <v>2014435.65</v>
      </c>
      <c r="H12" s="287">
        <f t="shared" si="1"/>
        <v>3.6404158734106979</v>
      </c>
      <c r="I12" s="287">
        <f t="shared" si="2"/>
        <v>3.6404158734106979</v>
      </c>
      <c r="J12" s="677">
        <f t="shared" si="3"/>
        <v>76104.350000000006</v>
      </c>
    </row>
    <row r="13" spans="1:10" s="276" customFormat="1" ht="24" x14ac:dyDescent="0.55000000000000004">
      <c r="A13" s="273">
        <v>6</v>
      </c>
      <c r="B13" s="74" t="s">
        <v>115</v>
      </c>
      <c r="C13" s="274" t="s">
        <v>73</v>
      </c>
      <c r="D13" s="427">
        <v>1838645</v>
      </c>
      <c r="E13" s="997"/>
      <c r="F13" s="427">
        <v>98203.75</v>
      </c>
      <c r="G13" s="288">
        <f t="shared" si="0"/>
        <v>1740441.25</v>
      </c>
      <c r="H13" s="287">
        <f t="shared" si="1"/>
        <v>5.3410935770635444</v>
      </c>
      <c r="I13" s="287">
        <f t="shared" si="2"/>
        <v>5.3410935770635444</v>
      </c>
      <c r="J13" s="677">
        <f t="shared" si="3"/>
        <v>98203.75</v>
      </c>
    </row>
    <row r="14" spans="1:10" s="276" customFormat="1" ht="24" x14ac:dyDescent="0.55000000000000004">
      <c r="A14" s="273">
        <v>7</v>
      </c>
      <c r="B14" s="74" t="s">
        <v>115</v>
      </c>
      <c r="C14" s="274" t="s">
        <v>106</v>
      </c>
      <c r="D14" s="427">
        <v>2839267</v>
      </c>
      <c r="E14" s="997"/>
      <c r="F14" s="427">
        <v>27140</v>
      </c>
      <c r="G14" s="288">
        <f t="shared" si="0"/>
        <v>2812127</v>
      </c>
      <c r="H14" s="287">
        <f t="shared" si="1"/>
        <v>0.95588051423131393</v>
      </c>
      <c r="I14" s="287">
        <f t="shared" si="2"/>
        <v>0.95588051423131393</v>
      </c>
      <c r="J14" s="677">
        <f t="shared" si="3"/>
        <v>27140</v>
      </c>
    </row>
    <row r="15" spans="1:10" s="276" customFormat="1" ht="24" x14ac:dyDescent="0.55000000000000004">
      <c r="A15" s="273">
        <v>8</v>
      </c>
      <c r="B15" s="74" t="s">
        <v>115</v>
      </c>
      <c r="C15" s="274" t="s">
        <v>117</v>
      </c>
      <c r="D15" s="427">
        <v>3392417</v>
      </c>
      <c r="E15" s="427">
        <v>330779.3</v>
      </c>
      <c r="F15" s="427">
        <v>106344.03</v>
      </c>
      <c r="G15" s="288">
        <f t="shared" si="0"/>
        <v>2955293.6700000004</v>
      </c>
      <c r="H15" s="287">
        <f t="shared" si="1"/>
        <v>3.1347570183736257</v>
      </c>
      <c r="I15" s="287">
        <f t="shared" si="2"/>
        <v>12.885306552820598</v>
      </c>
      <c r="J15" s="677">
        <f t="shared" si="3"/>
        <v>437123.32999999996</v>
      </c>
    </row>
    <row r="16" spans="1:10" s="276" customFormat="1" ht="24" x14ac:dyDescent="0.55000000000000004">
      <c r="A16" s="273">
        <v>9</v>
      </c>
      <c r="B16" s="74" t="s">
        <v>115</v>
      </c>
      <c r="C16" s="274" t="s">
        <v>118</v>
      </c>
      <c r="D16" s="427">
        <v>3831557</v>
      </c>
      <c r="E16" s="997"/>
      <c r="F16" s="427">
        <v>148121.31</v>
      </c>
      <c r="G16" s="288">
        <f t="shared" si="0"/>
        <v>3683435.69</v>
      </c>
      <c r="H16" s="287">
        <f t="shared" si="1"/>
        <v>3.8658255638634635</v>
      </c>
      <c r="I16" s="287">
        <f t="shared" si="2"/>
        <v>3.8658255638634635</v>
      </c>
      <c r="J16" s="677">
        <f t="shared" si="3"/>
        <v>148121.31</v>
      </c>
    </row>
    <row r="17" spans="1:10" s="276" customFormat="1" ht="24" x14ac:dyDescent="0.55000000000000004">
      <c r="A17" s="273">
        <v>10</v>
      </c>
      <c r="B17" s="74" t="s">
        <v>115</v>
      </c>
      <c r="C17" s="274" t="s">
        <v>119</v>
      </c>
      <c r="D17" s="427">
        <v>6774983</v>
      </c>
      <c r="E17" s="997"/>
      <c r="F17" s="427">
        <v>101736</v>
      </c>
      <c r="G17" s="288">
        <f t="shared" si="0"/>
        <v>6673247</v>
      </c>
      <c r="H17" s="287">
        <f t="shared" si="1"/>
        <v>1.5016421443419119</v>
      </c>
      <c r="I17" s="287">
        <f t="shared" si="2"/>
        <v>1.5016421443419119</v>
      </c>
      <c r="J17" s="677">
        <f t="shared" si="3"/>
        <v>101736</v>
      </c>
    </row>
    <row r="18" spans="1:10" s="276" customFormat="1" ht="24" x14ac:dyDescent="0.55000000000000004">
      <c r="A18" s="273">
        <v>11</v>
      </c>
      <c r="B18" s="74" t="s">
        <v>115</v>
      </c>
      <c r="C18" s="274" t="s">
        <v>120</v>
      </c>
      <c r="D18" s="427">
        <v>7660884</v>
      </c>
      <c r="E18" s="427">
        <v>3224017.85</v>
      </c>
      <c r="F18" s="427">
        <v>222755.26</v>
      </c>
      <c r="G18" s="288">
        <f t="shared" si="0"/>
        <v>4214110.8900000006</v>
      </c>
      <c r="H18" s="287">
        <f t="shared" si="1"/>
        <v>2.9076965530348717</v>
      </c>
      <c r="I18" s="287">
        <f t="shared" si="2"/>
        <v>44.991845719110231</v>
      </c>
      <c r="J18" s="677">
        <f t="shared" si="3"/>
        <v>3446773.1100000003</v>
      </c>
    </row>
    <row r="19" spans="1:10" s="276" customFormat="1" ht="24" x14ac:dyDescent="0.55000000000000004">
      <c r="A19" s="273">
        <v>12</v>
      </c>
      <c r="B19" s="74" t="s">
        <v>115</v>
      </c>
      <c r="C19" s="274" t="s">
        <v>121</v>
      </c>
      <c r="D19" s="427">
        <v>8165160</v>
      </c>
      <c r="E19" s="997"/>
      <c r="F19" s="427">
        <v>169048.44</v>
      </c>
      <c r="G19" s="288">
        <f t="shared" si="0"/>
        <v>7996111.5599999996</v>
      </c>
      <c r="H19" s="287">
        <f t="shared" si="1"/>
        <v>2.0703628587804772</v>
      </c>
      <c r="I19" s="287">
        <f t="shared" si="2"/>
        <v>2.0703628587804772</v>
      </c>
      <c r="J19" s="677">
        <f t="shared" si="3"/>
        <v>169048.44</v>
      </c>
    </row>
    <row r="20" spans="1:10" s="276" customFormat="1" ht="24" x14ac:dyDescent="0.55000000000000004">
      <c r="A20" s="273">
        <v>13</v>
      </c>
      <c r="B20" s="74" t="s">
        <v>115</v>
      </c>
      <c r="C20" s="274" t="s">
        <v>122</v>
      </c>
      <c r="D20" s="427">
        <v>5075208</v>
      </c>
      <c r="E20" s="997"/>
      <c r="F20" s="427">
        <v>126155.58</v>
      </c>
      <c r="G20" s="288">
        <f t="shared" si="0"/>
        <v>4949052.42</v>
      </c>
      <c r="H20" s="287">
        <f t="shared" si="1"/>
        <v>2.4857223585713135</v>
      </c>
      <c r="I20" s="287">
        <f t="shared" si="2"/>
        <v>2.4857223585713135</v>
      </c>
      <c r="J20" s="677">
        <f t="shared" si="3"/>
        <v>126155.58</v>
      </c>
    </row>
    <row r="21" spans="1:10" s="276" customFormat="1" ht="24" x14ac:dyDescent="0.55000000000000004">
      <c r="A21" s="273">
        <v>14</v>
      </c>
      <c r="B21" s="74" t="s">
        <v>115</v>
      </c>
      <c r="C21" s="274" t="s">
        <v>123</v>
      </c>
      <c r="D21" s="427">
        <v>6698830</v>
      </c>
      <c r="E21" s="997"/>
      <c r="F21" s="427">
        <v>457603.39</v>
      </c>
      <c r="G21" s="288">
        <f t="shared" si="0"/>
        <v>6241226.6100000003</v>
      </c>
      <c r="H21" s="287">
        <f t="shared" si="1"/>
        <v>6.8310942358590978</v>
      </c>
      <c r="I21" s="287">
        <f t="shared" si="2"/>
        <v>6.8310942358590978</v>
      </c>
      <c r="J21" s="677">
        <f t="shared" si="3"/>
        <v>457603.39</v>
      </c>
    </row>
    <row r="22" spans="1:10" s="276" customFormat="1" ht="24" x14ac:dyDescent="0.55000000000000004">
      <c r="A22" s="273">
        <v>15</v>
      </c>
      <c r="B22" s="74" t="s">
        <v>115</v>
      </c>
      <c r="C22" s="274" t="s">
        <v>124</v>
      </c>
      <c r="D22" s="427">
        <v>4536013</v>
      </c>
      <c r="E22" s="427">
        <v>34770</v>
      </c>
      <c r="F22" s="427">
        <v>153283.56</v>
      </c>
      <c r="G22" s="288">
        <f t="shared" si="0"/>
        <v>4347959.4400000004</v>
      </c>
      <c r="H22" s="287">
        <f t="shared" si="1"/>
        <v>3.379257510946287</v>
      </c>
      <c r="I22" s="287">
        <f t="shared" si="2"/>
        <v>4.1457897056291504</v>
      </c>
      <c r="J22" s="677">
        <f t="shared" si="3"/>
        <v>188053.56</v>
      </c>
    </row>
    <row r="23" spans="1:10" s="276" customFormat="1" ht="24" x14ac:dyDescent="0.55000000000000004">
      <c r="A23" s="273">
        <v>16</v>
      </c>
      <c r="B23" s="74" t="s">
        <v>115</v>
      </c>
      <c r="C23" s="274" t="s">
        <v>125</v>
      </c>
      <c r="D23" s="427">
        <v>3750315</v>
      </c>
      <c r="E23" s="427">
        <v>289584</v>
      </c>
      <c r="F23" s="427">
        <v>286748.26</v>
      </c>
      <c r="G23" s="288">
        <f t="shared" si="0"/>
        <v>3173982.74</v>
      </c>
      <c r="H23" s="287">
        <f t="shared" si="1"/>
        <v>7.6459780045142871</v>
      </c>
      <c r="I23" s="287">
        <f t="shared" si="2"/>
        <v>15.367569390837836</v>
      </c>
      <c r="J23" s="677">
        <f t="shared" si="3"/>
        <v>576332.26</v>
      </c>
    </row>
    <row r="24" spans="1:10" s="276" customFormat="1" ht="24" x14ac:dyDescent="0.55000000000000004">
      <c r="A24" s="273">
        <v>17</v>
      </c>
      <c r="B24" s="74" t="s">
        <v>113</v>
      </c>
      <c r="C24" s="274" t="s">
        <v>126</v>
      </c>
      <c r="D24" s="427">
        <v>2187056</v>
      </c>
      <c r="E24" s="997"/>
      <c r="F24" s="427">
        <v>195327.92</v>
      </c>
      <c r="G24" s="288">
        <f t="shared" si="0"/>
        <v>1991728.08</v>
      </c>
      <c r="H24" s="287">
        <f t="shared" si="1"/>
        <v>8.9310890987702187</v>
      </c>
      <c r="I24" s="287">
        <f t="shared" si="2"/>
        <v>8.9310890987702187</v>
      </c>
      <c r="J24" s="677">
        <f t="shared" si="3"/>
        <v>195327.92</v>
      </c>
    </row>
    <row r="25" spans="1:10" s="276" customFormat="1" ht="24" x14ac:dyDescent="0.55000000000000004">
      <c r="A25" s="273">
        <v>18</v>
      </c>
      <c r="B25" s="74" t="s">
        <v>113</v>
      </c>
      <c r="C25" s="274" t="s">
        <v>127</v>
      </c>
      <c r="D25" s="427">
        <v>1152148</v>
      </c>
      <c r="E25" s="997"/>
      <c r="F25" s="427">
        <v>53290.22</v>
      </c>
      <c r="G25" s="288">
        <f t="shared" si="0"/>
        <v>1098857.78</v>
      </c>
      <c r="H25" s="287">
        <f t="shared" si="1"/>
        <v>4.6252929311164888</v>
      </c>
      <c r="I25" s="287">
        <f t="shared" si="2"/>
        <v>4.6252929311164888</v>
      </c>
      <c r="J25" s="677">
        <f t="shared" si="3"/>
        <v>53290.22</v>
      </c>
    </row>
    <row r="26" spans="1:10" s="276" customFormat="1" ht="24" x14ac:dyDescent="0.55000000000000004">
      <c r="A26" s="273">
        <v>19</v>
      </c>
      <c r="B26" s="74" t="s">
        <v>113</v>
      </c>
      <c r="C26" s="274" t="s">
        <v>19</v>
      </c>
      <c r="D26" s="427">
        <v>1237236</v>
      </c>
      <c r="E26" s="997"/>
      <c r="F26" s="427">
        <v>48654.73</v>
      </c>
      <c r="G26" s="288">
        <f t="shared" si="0"/>
        <v>1188581.27</v>
      </c>
      <c r="H26" s="287">
        <f t="shared" si="1"/>
        <v>3.9325342941847796</v>
      </c>
      <c r="I26" s="287">
        <f t="shared" si="2"/>
        <v>3.9325342941847796</v>
      </c>
      <c r="J26" s="677">
        <f t="shared" si="3"/>
        <v>48654.73</v>
      </c>
    </row>
    <row r="27" spans="1:10" s="276" customFormat="1" ht="24" x14ac:dyDescent="0.55000000000000004">
      <c r="A27" s="273">
        <v>20</v>
      </c>
      <c r="B27" s="74" t="s">
        <v>113</v>
      </c>
      <c r="C27" s="274" t="s">
        <v>20</v>
      </c>
      <c r="D27" s="427">
        <v>1374785</v>
      </c>
      <c r="E27" s="997"/>
      <c r="F27" s="427">
        <v>104858.82</v>
      </c>
      <c r="G27" s="288">
        <f t="shared" si="0"/>
        <v>1269926.18</v>
      </c>
      <c r="H27" s="287">
        <f t="shared" si="1"/>
        <v>7.6272886305858734</v>
      </c>
      <c r="I27" s="287">
        <f t="shared" si="2"/>
        <v>7.6272886305858734</v>
      </c>
      <c r="J27" s="677">
        <f t="shared" si="3"/>
        <v>104858.82</v>
      </c>
    </row>
    <row r="28" spans="1:10" s="276" customFormat="1" ht="24" x14ac:dyDescent="0.55000000000000004">
      <c r="A28" s="273">
        <v>21</v>
      </c>
      <c r="B28" s="74" t="s">
        <v>113</v>
      </c>
      <c r="C28" s="274" t="s">
        <v>128</v>
      </c>
      <c r="D28" s="427">
        <v>512205</v>
      </c>
      <c r="E28" s="427">
        <v>7800</v>
      </c>
      <c r="F28" s="427">
        <v>11445.7</v>
      </c>
      <c r="G28" s="288">
        <f t="shared" si="0"/>
        <v>492959.3</v>
      </c>
      <c r="H28" s="287">
        <f t="shared" si="1"/>
        <v>2.2345935709335127</v>
      </c>
      <c r="I28" s="287">
        <f t="shared" si="2"/>
        <v>3.7574213449692992</v>
      </c>
      <c r="J28" s="677">
        <f t="shared" si="3"/>
        <v>19245.7</v>
      </c>
    </row>
    <row r="29" spans="1:10" s="276" customFormat="1" ht="24" x14ac:dyDescent="0.55000000000000004">
      <c r="A29" s="273">
        <v>22</v>
      </c>
      <c r="B29" s="74" t="s">
        <v>113</v>
      </c>
      <c r="C29" s="274" t="s">
        <v>129</v>
      </c>
      <c r="D29" s="427">
        <v>536272</v>
      </c>
      <c r="E29" s="997"/>
      <c r="F29" s="427">
        <v>73364.77</v>
      </c>
      <c r="G29" s="288">
        <f t="shared" si="0"/>
        <v>462907.23</v>
      </c>
      <c r="H29" s="287">
        <f t="shared" si="1"/>
        <v>13.68051473878927</v>
      </c>
      <c r="I29" s="287">
        <f t="shared" si="2"/>
        <v>13.68051473878927</v>
      </c>
      <c r="J29" s="677">
        <f t="shared" si="3"/>
        <v>73364.77</v>
      </c>
    </row>
    <row r="30" spans="1:10" s="276" customFormat="1" ht="24" x14ac:dyDescent="0.55000000000000004">
      <c r="A30" s="273">
        <v>23</v>
      </c>
      <c r="B30" s="74" t="s">
        <v>113</v>
      </c>
      <c r="C30" s="274" t="s">
        <v>130</v>
      </c>
      <c r="D30" s="427">
        <v>1634531</v>
      </c>
      <c r="E30" s="427">
        <v>8510.7800000000007</v>
      </c>
      <c r="F30" s="427">
        <v>56655.75</v>
      </c>
      <c r="G30" s="288">
        <f t="shared" si="0"/>
        <v>1569364.47</v>
      </c>
      <c r="H30" s="287">
        <f t="shared" si="1"/>
        <v>3.4661777598589443</v>
      </c>
      <c r="I30" s="287">
        <f t="shared" si="2"/>
        <v>3.9868641218796097</v>
      </c>
      <c r="J30" s="677">
        <f t="shared" si="3"/>
        <v>65166.53</v>
      </c>
    </row>
    <row r="31" spans="1:10" s="276" customFormat="1" ht="24" x14ac:dyDescent="0.55000000000000004">
      <c r="A31" s="273">
        <v>24</v>
      </c>
      <c r="B31" s="74" t="s">
        <v>113</v>
      </c>
      <c r="C31" s="274" t="s">
        <v>21</v>
      </c>
      <c r="D31" s="427">
        <v>1472585</v>
      </c>
      <c r="E31" s="997"/>
      <c r="F31" s="427">
        <v>18640.599999999999</v>
      </c>
      <c r="G31" s="288">
        <f t="shared" si="0"/>
        <v>1453944.4</v>
      </c>
      <c r="H31" s="287">
        <f t="shared" si="1"/>
        <v>1.2658420396785244</v>
      </c>
      <c r="I31" s="287">
        <f t="shared" si="2"/>
        <v>1.2658420396785244</v>
      </c>
      <c r="J31" s="677">
        <f t="shared" si="3"/>
        <v>18640.599999999999</v>
      </c>
    </row>
    <row r="32" spans="1:10" s="276" customFormat="1" ht="24" x14ac:dyDescent="0.55000000000000004">
      <c r="A32" s="273">
        <v>25</v>
      </c>
      <c r="B32" s="74" t="s">
        <v>113</v>
      </c>
      <c r="C32" s="274" t="s">
        <v>22</v>
      </c>
      <c r="D32" s="427">
        <v>1461492</v>
      </c>
      <c r="E32" s="997"/>
      <c r="F32" s="427">
        <v>224735.43</v>
      </c>
      <c r="G32" s="288">
        <f t="shared" si="0"/>
        <v>1236756.57</v>
      </c>
      <c r="H32" s="287">
        <f t="shared" si="1"/>
        <v>15.377123514873841</v>
      </c>
      <c r="I32" s="287">
        <f t="shared" si="2"/>
        <v>15.377123514873841</v>
      </c>
      <c r="J32" s="677">
        <f t="shared" si="3"/>
        <v>224735.43</v>
      </c>
    </row>
    <row r="33" spans="1:10" s="276" customFormat="1" ht="24" x14ac:dyDescent="0.55000000000000004">
      <c r="A33" s="273">
        <v>26</v>
      </c>
      <c r="B33" s="74" t="s">
        <v>113</v>
      </c>
      <c r="C33" s="274" t="s">
        <v>131</v>
      </c>
      <c r="D33" s="427">
        <v>1201538</v>
      </c>
      <c r="E33" s="997"/>
      <c r="F33" s="427">
        <v>65424.800000000003</v>
      </c>
      <c r="G33" s="288">
        <f t="shared" si="0"/>
        <v>1136113.2</v>
      </c>
      <c r="H33" s="287">
        <f t="shared" si="1"/>
        <v>5.4450878790350368</v>
      </c>
      <c r="I33" s="287">
        <f t="shared" si="2"/>
        <v>5.4450878790350368</v>
      </c>
      <c r="J33" s="677">
        <f t="shared" si="3"/>
        <v>65424.800000000003</v>
      </c>
    </row>
    <row r="34" spans="1:10" s="276" customFormat="1" ht="24" x14ac:dyDescent="0.55000000000000004">
      <c r="A34" s="273">
        <v>27</v>
      </c>
      <c r="B34" s="74" t="s">
        <v>113</v>
      </c>
      <c r="C34" s="274" t="s">
        <v>132</v>
      </c>
      <c r="D34" s="427">
        <v>573623</v>
      </c>
      <c r="E34" s="997"/>
      <c r="F34" s="427">
        <v>11985.23</v>
      </c>
      <c r="G34" s="288">
        <f t="shared" si="0"/>
        <v>561637.77</v>
      </c>
      <c r="H34" s="287">
        <f t="shared" si="1"/>
        <v>2.0893914644287275</v>
      </c>
      <c r="I34" s="287">
        <f t="shared" si="2"/>
        <v>2.0893914644287275</v>
      </c>
      <c r="J34" s="677">
        <f t="shared" si="3"/>
        <v>11985.23</v>
      </c>
    </row>
    <row r="35" spans="1:10" s="276" customFormat="1" ht="24" x14ac:dyDescent="0.55000000000000004">
      <c r="A35" s="273">
        <v>28</v>
      </c>
      <c r="B35" s="74" t="s">
        <v>113</v>
      </c>
      <c r="C35" s="274" t="s">
        <v>23</v>
      </c>
      <c r="D35" s="427">
        <v>1406947</v>
      </c>
      <c r="E35" s="997"/>
      <c r="F35" s="427">
        <v>120120.47</v>
      </c>
      <c r="G35" s="288">
        <f t="shared" si="0"/>
        <v>1286826.53</v>
      </c>
      <c r="H35" s="287">
        <f t="shared" si="1"/>
        <v>8.5376684409576189</v>
      </c>
      <c r="I35" s="287">
        <f t="shared" si="2"/>
        <v>8.5376684409576189</v>
      </c>
      <c r="J35" s="677">
        <f t="shared" si="3"/>
        <v>120120.47</v>
      </c>
    </row>
    <row r="36" spans="1:10" s="276" customFormat="1" ht="24" x14ac:dyDescent="0.55000000000000004">
      <c r="A36" s="273">
        <v>29</v>
      </c>
      <c r="B36" s="74" t="s">
        <v>113</v>
      </c>
      <c r="C36" s="274" t="s">
        <v>24</v>
      </c>
      <c r="D36" s="427">
        <v>2412343</v>
      </c>
      <c r="E36" s="997"/>
      <c r="F36" s="427">
        <v>28424</v>
      </c>
      <c r="G36" s="288">
        <f t="shared" si="0"/>
        <v>2383919</v>
      </c>
      <c r="H36" s="287">
        <f t="shared" si="1"/>
        <v>1.1782735705494616</v>
      </c>
      <c r="I36" s="287">
        <f t="shared" si="2"/>
        <v>1.1782735705494616</v>
      </c>
      <c r="J36" s="677">
        <f t="shared" si="3"/>
        <v>28424</v>
      </c>
    </row>
    <row r="37" spans="1:10" s="276" customFormat="1" ht="24" x14ac:dyDescent="0.55000000000000004">
      <c r="A37" s="273">
        <v>30</v>
      </c>
      <c r="B37" s="74" t="s">
        <v>113</v>
      </c>
      <c r="C37" s="274" t="s">
        <v>25</v>
      </c>
      <c r="D37" s="427">
        <v>522833</v>
      </c>
      <c r="E37" s="997"/>
      <c r="F37" s="427">
        <v>37952.720000000001</v>
      </c>
      <c r="G37" s="288">
        <f t="shared" si="0"/>
        <v>484880.28</v>
      </c>
      <c r="H37" s="287">
        <f t="shared" si="1"/>
        <v>7.2590521256309373</v>
      </c>
      <c r="I37" s="287">
        <f t="shared" si="2"/>
        <v>7.2590521256309373</v>
      </c>
      <c r="J37" s="677">
        <f t="shared" si="3"/>
        <v>37952.720000000001</v>
      </c>
    </row>
    <row r="38" spans="1:10" s="276" customFormat="1" ht="24" x14ac:dyDescent="0.55000000000000004">
      <c r="A38" s="273">
        <v>31</v>
      </c>
      <c r="B38" s="74" t="s">
        <v>113</v>
      </c>
      <c r="C38" s="274" t="s">
        <v>181</v>
      </c>
      <c r="D38" s="427">
        <v>1052622</v>
      </c>
      <c r="E38" s="997"/>
      <c r="F38" s="427">
        <v>110725.03</v>
      </c>
      <c r="G38" s="288">
        <f t="shared" si="0"/>
        <v>941896.97</v>
      </c>
      <c r="H38" s="287">
        <f t="shared" si="1"/>
        <v>10.518973572659512</v>
      </c>
      <c r="I38" s="287">
        <f t="shared" si="2"/>
        <v>10.518973572659512</v>
      </c>
      <c r="J38" s="677">
        <f t="shared" si="3"/>
        <v>110725.03</v>
      </c>
    </row>
    <row r="39" spans="1:10" s="276" customFormat="1" ht="24" x14ac:dyDescent="0.55000000000000004">
      <c r="A39" s="273">
        <v>32</v>
      </c>
      <c r="B39" s="74" t="s">
        <v>113</v>
      </c>
      <c r="C39" s="274" t="s">
        <v>26</v>
      </c>
      <c r="D39" s="427">
        <v>3935627</v>
      </c>
      <c r="E39" s="427">
        <v>20850</v>
      </c>
      <c r="F39" s="427">
        <v>105425.12</v>
      </c>
      <c r="G39" s="288">
        <f t="shared" si="0"/>
        <v>3809351.88</v>
      </c>
      <c r="H39" s="287">
        <f t="shared" si="1"/>
        <v>2.678737593781118</v>
      </c>
      <c r="I39" s="287">
        <f t="shared" si="2"/>
        <v>3.2085134084098925</v>
      </c>
      <c r="J39" s="677">
        <f t="shared" si="3"/>
        <v>126275.12</v>
      </c>
    </row>
    <row r="40" spans="1:10" s="276" customFormat="1" ht="24" x14ac:dyDescent="0.55000000000000004">
      <c r="A40" s="273">
        <v>33</v>
      </c>
      <c r="B40" s="74" t="s">
        <v>113</v>
      </c>
      <c r="C40" s="274" t="s">
        <v>27</v>
      </c>
      <c r="D40" s="427">
        <v>422945</v>
      </c>
      <c r="E40" s="997"/>
      <c r="F40" s="427">
        <v>45825.99</v>
      </c>
      <c r="G40" s="288">
        <f t="shared" si="0"/>
        <v>377119.01</v>
      </c>
      <c r="H40" s="287">
        <f t="shared" si="1"/>
        <v>10.834976178935795</v>
      </c>
      <c r="I40" s="287">
        <f t="shared" si="2"/>
        <v>10.834976178935795</v>
      </c>
      <c r="J40" s="677">
        <f t="shared" si="3"/>
        <v>45825.99</v>
      </c>
    </row>
    <row r="41" spans="1:10" s="276" customFormat="1" ht="24" x14ac:dyDescent="0.55000000000000004">
      <c r="A41" s="273">
        <v>34</v>
      </c>
      <c r="B41" s="74" t="s">
        <v>113</v>
      </c>
      <c r="C41" s="274" t="s">
        <v>28</v>
      </c>
      <c r="D41" s="427">
        <v>2256969</v>
      </c>
      <c r="E41" s="427">
        <v>41240</v>
      </c>
      <c r="F41" s="427">
        <v>128781</v>
      </c>
      <c r="G41" s="288">
        <f t="shared" si="0"/>
        <v>2086948</v>
      </c>
      <c r="H41" s="287">
        <f t="shared" si="1"/>
        <v>5.7059268425928753</v>
      </c>
      <c r="I41" s="287">
        <f t="shared" si="2"/>
        <v>7.5331561931067732</v>
      </c>
      <c r="J41" s="677">
        <f t="shared" si="3"/>
        <v>170021</v>
      </c>
    </row>
    <row r="42" spans="1:10" s="276" customFormat="1" ht="24" x14ac:dyDescent="0.55000000000000004">
      <c r="A42" s="273">
        <v>35</v>
      </c>
      <c r="B42" s="74" t="s">
        <v>113</v>
      </c>
      <c r="C42" s="274" t="s">
        <v>133</v>
      </c>
      <c r="D42" s="427">
        <v>3377439</v>
      </c>
      <c r="E42" s="997"/>
      <c r="F42" s="427">
        <v>45509.08</v>
      </c>
      <c r="G42" s="288">
        <f t="shared" si="0"/>
        <v>3331929.92</v>
      </c>
      <c r="H42" s="287">
        <f t="shared" si="1"/>
        <v>1.3474434327311315</v>
      </c>
      <c r="I42" s="287">
        <f t="shared" si="2"/>
        <v>1.3474434327311315</v>
      </c>
      <c r="J42" s="677">
        <f t="shared" si="3"/>
        <v>45509.08</v>
      </c>
    </row>
    <row r="43" spans="1:10" s="276" customFormat="1" ht="24" x14ac:dyDescent="0.55000000000000004">
      <c r="A43" s="273">
        <v>36</v>
      </c>
      <c r="B43" s="74" t="s">
        <v>113</v>
      </c>
      <c r="C43" s="274" t="s">
        <v>29</v>
      </c>
      <c r="D43" s="427">
        <v>1729949</v>
      </c>
      <c r="E43" s="997"/>
      <c r="F43" s="427">
        <v>11650</v>
      </c>
      <c r="G43" s="288">
        <f t="shared" si="0"/>
        <v>1718299</v>
      </c>
      <c r="H43" s="287">
        <f t="shared" si="1"/>
        <v>0.67343025719255312</v>
      </c>
      <c r="I43" s="287">
        <f t="shared" si="2"/>
        <v>0.67343025719255312</v>
      </c>
      <c r="J43" s="677">
        <f t="shared" si="3"/>
        <v>11650</v>
      </c>
    </row>
    <row r="44" spans="1:10" s="276" customFormat="1" ht="24" x14ac:dyDescent="0.55000000000000004">
      <c r="A44" s="273">
        <v>37</v>
      </c>
      <c r="B44" s="74" t="s">
        <v>113</v>
      </c>
      <c r="C44" s="274" t="s">
        <v>30</v>
      </c>
      <c r="D44" s="427">
        <v>2247872</v>
      </c>
      <c r="E44" s="997"/>
      <c r="F44" s="427">
        <v>76172.460000000006</v>
      </c>
      <c r="G44" s="288">
        <f t="shared" si="0"/>
        <v>2171699.54</v>
      </c>
      <c r="H44" s="287">
        <f t="shared" si="1"/>
        <v>3.3886475742391031</v>
      </c>
      <c r="I44" s="287">
        <f t="shared" si="2"/>
        <v>3.3886475742391031</v>
      </c>
      <c r="J44" s="677">
        <f t="shared" si="3"/>
        <v>76172.460000000006</v>
      </c>
    </row>
    <row r="45" spans="1:10" s="276" customFormat="1" ht="24" x14ac:dyDescent="0.55000000000000004">
      <c r="A45" s="273">
        <v>38</v>
      </c>
      <c r="B45" s="74" t="s">
        <v>113</v>
      </c>
      <c r="C45" s="274" t="s">
        <v>31</v>
      </c>
      <c r="D45" s="427">
        <v>1194996</v>
      </c>
      <c r="E45" s="997"/>
      <c r="F45" s="427">
        <v>60197.51</v>
      </c>
      <c r="G45" s="288">
        <f t="shared" si="0"/>
        <v>1134798.49</v>
      </c>
      <c r="H45" s="287">
        <f t="shared" si="1"/>
        <v>5.0374653973737153</v>
      </c>
      <c r="I45" s="287">
        <f t="shared" si="2"/>
        <v>5.0374653973737153</v>
      </c>
      <c r="J45" s="677">
        <f t="shared" si="3"/>
        <v>60197.51</v>
      </c>
    </row>
    <row r="46" spans="1:10" s="276" customFormat="1" ht="24" x14ac:dyDescent="0.55000000000000004">
      <c r="A46" s="273">
        <v>39</v>
      </c>
      <c r="B46" s="74" t="s">
        <v>113</v>
      </c>
      <c r="C46" s="274" t="s">
        <v>134</v>
      </c>
      <c r="D46" s="427">
        <v>493799</v>
      </c>
      <c r="E46" s="997"/>
      <c r="F46" s="427">
        <v>51310.2</v>
      </c>
      <c r="G46" s="288">
        <f t="shared" si="0"/>
        <v>442488.8</v>
      </c>
      <c r="H46" s="287">
        <f t="shared" si="1"/>
        <v>10.390908041531068</v>
      </c>
      <c r="I46" s="287">
        <f t="shared" si="2"/>
        <v>10.390908041531068</v>
      </c>
      <c r="J46" s="677">
        <f t="shared" si="3"/>
        <v>51310.2</v>
      </c>
    </row>
    <row r="47" spans="1:10" s="276" customFormat="1" ht="24" x14ac:dyDescent="0.55000000000000004">
      <c r="A47" s="273">
        <v>40</v>
      </c>
      <c r="B47" s="74" t="s">
        <v>113</v>
      </c>
      <c r="C47" s="274" t="s">
        <v>32</v>
      </c>
      <c r="D47" s="427">
        <v>1578747</v>
      </c>
      <c r="E47" s="427">
        <v>621080</v>
      </c>
      <c r="F47" s="427">
        <v>126349.7</v>
      </c>
      <c r="G47" s="288">
        <f t="shared" si="0"/>
        <v>831317.3</v>
      </c>
      <c r="H47" s="287">
        <f t="shared" si="1"/>
        <v>8.0031632680853875</v>
      </c>
      <c r="I47" s="287">
        <f t="shared" si="2"/>
        <v>47.343222188229021</v>
      </c>
      <c r="J47" s="677">
        <f t="shared" si="3"/>
        <v>747429.7</v>
      </c>
    </row>
    <row r="48" spans="1:10" s="276" customFormat="1" ht="24" x14ac:dyDescent="0.55000000000000004">
      <c r="A48" s="273">
        <v>41</v>
      </c>
      <c r="B48" s="74" t="s">
        <v>113</v>
      </c>
      <c r="C48" s="274" t="s">
        <v>33</v>
      </c>
      <c r="D48" s="427">
        <v>1864215</v>
      </c>
      <c r="E48" s="997"/>
      <c r="F48" s="427">
        <v>97586.52</v>
      </c>
      <c r="G48" s="288">
        <f t="shared" si="0"/>
        <v>1766628.48</v>
      </c>
      <c r="H48" s="287">
        <f t="shared" si="1"/>
        <v>5.2347245355283594</v>
      </c>
      <c r="I48" s="287">
        <f t="shared" si="2"/>
        <v>5.2347245355283594</v>
      </c>
      <c r="J48" s="677">
        <f t="shared" si="3"/>
        <v>97586.52</v>
      </c>
    </row>
    <row r="49" spans="1:10" s="276" customFormat="1" ht="24" x14ac:dyDescent="0.55000000000000004">
      <c r="A49" s="273">
        <v>42</v>
      </c>
      <c r="B49" s="74" t="s">
        <v>113</v>
      </c>
      <c r="C49" s="274" t="s">
        <v>34</v>
      </c>
      <c r="D49" s="427">
        <v>429451</v>
      </c>
      <c r="E49" s="997"/>
      <c r="F49" s="427">
        <v>31228.14</v>
      </c>
      <c r="G49" s="288">
        <f t="shared" si="0"/>
        <v>398222.86</v>
      </c>
      <c r="H49" s="287">
        <f t="shared" si="1"/>
        <v>7.2716421663938373</v>
      </c>
      <c r="I49" s="287">
        <f t="shared" si="2"/>
        <v>7.2716421663938373</v>
      </c>
      <c r="J49" s="677">
        <f t="shared" si="3"/>
        <v>31228.14</v>
      </c>
    </row>
    <row r="50" spans="1:10" s="276" customFormat="1" ht="24" x14ac:dyDescent="0.55000000000000004">
      <c r="A50" s="273">
        <v>43</v>
      </c>
      <c r="B50" s="74" t="s">
        <v>113</v>
      </c>
      <c r="C50" s="274" t="s">
        <v>35</v>
      </c>
      <c r="D50" s="427">
        <v>2149927</v>
      </c>
      <c r="E50" s="427">
        <v>879925.18</v>
      </c>
      <c r="F50" s="427">
        <v>75897.259999999995</v>
      </c>
      <c r="G50" s="288">
        <f t="shared" si="0"/>
        <v>1194104.5599999998</v>
      </c>
      <c r="H50" s="287">
        <f t="shared" si="1"/>
        <v>3.5302249797318694</v>
      </c>
      <c r="I50" s="287">
        <f t="shared" si="2"/>
        <v>44.458367191072071</v>
      </c>
      <c r="J50" s="677">
        <f t="shared" si="3"/>
        <v>955822.44000000006</v>
      </c>
    </row>
    <row r="51" spans="1:10" s="276" customFormat="1" ht="24" x14ac:dyDescent="0.55000000000000004">
      <c r="A51" s="273">
        <v>44</v>
      </c>
      <c r="B51" s="74" t="s">
        <v>113</v>
      </c>
      <c r="C51" s="274" t="s">
        <v>135</v>
      </c>
      <c r="D51" s="427">
        <v>891999</v>
      </c>
      <c r="E51" s="427">
        <v>442500</v>
      </c>
      <c r="F51" s="427">
        <v>19683.96</v>
      </c>
      <c r="G51" s="288">
        <f t="shared" si="0"/>
        <v>429815.03999999998</v>
      </c>
      <c r="H51" s="287">
        <f t="shared" si="1"/>
        <v>2.206724447000501</v>
      </c>
      <c r="I51" s="287">
        <f t="shared" si="2"/>
        <v>51.814403379375989</v>
      </c>
      <c r="J51" s="677">
        <f t="shared" si="3"/>
        <v>462183.96</v>
      </c>
    </row>
    <row r="52" spans="1:10" s="276" customFormat="1" ht="24" x14ac:dyDescent="0.55000000000000004">
      <c r="A52" s="273">
        <v>45</v>
      </c>
      <c r="B52" s="74" t="s">
        <v>113</v>
      </c>
      <c r="C52" s="274" t="s">
        <v>36</v>
      </c>
      <c r="D52" s="427">
        <v>1268277</v>
      </c>
      <c r="E52" s="427">
        <v>125400</v>
      </c>
      <c r="F52" s="427">
        <v>20438.97</v>
      </c>
      <c r="G52" s="288">
        <f t="shared" si="0"/>
        <v>1122438.03</v>
      </c>
      <c r="H52" s="287">
        <f t="shared" si="1"/>
        <v>1.611554100563205</v>
      </c>
      <c r="I52" s="287">
        <f t="shared" si="2"/>
        <v>11.498984054745138</v>
      </c>
      <c r="J52" s="677">
        <f t="shared" si="3"/>
        <v>145838.97</v>
      </c>
    </row>
    <row r="53" spans="1:10" s="276" customFormat="1" ht="24" x14ac:dyDescent="0.55000000000000004">
      <c r="A53" s="273">
        <v>46</v>
      </c>
      <c r="B53" s="74" t="s">
        <v>113</v>
      </c>
      <c r="C53" s="274" t="s">
        <v>37</v>
      </c>
      <c r="D53" s="427">
        <v>1330513</v>
      </c>
      <c r="E53" s="427">
        <v>37529.5</v>
      </c>
      <c r="F53" s="427">
        <v>66899.44</v>
      </c>
      <c r="G53" s="288">
        <f t="shared" si="0"/>
        <v>1226084.06</v>
      </c>
      <c r="H53" s="287">
        <f t="shared" si="1"/>
        <v>5.0280936751463532</v>
      </c>
      <c r="I53" s="287">
        <f t="shared" si="2"/>
        <v>7.8487726162765794</v>
      </c>
      <c r="J53" s="677">
        <f t="shared" si="3"/>
        <v>104428.94</v>
      </c>
    </row>
    <row r="54" spans="1:10" s="276" customFormat="1" ht="24" x14ac:dyDescent="0.55000000000000004">
      <c r="A54" s="273">
        <v>47</v>
      </c>
      <c r="B54" s="74" t="s">
        <v>113</v>
      </c>
      <c r="C54" s="274" t="s">
        <v>38</v>
      </c>
      <c r="D54" s="427">
        <v>912310</v>
      </c>
      <c r="E54" s="997"/>
      <c r="F54" s="427">
        <v>19452.62</v>
      </c>
      <c r="G54" s="288">
        <f t="shared" si="0"/>
        <v>892857.38</v>
      </c>
      <c r="H54" s="287">
        <f t="shared" si="1"/>
        <v>2.1322379454352141</v>
      </c>
      <c r="I54" s="287">
        <f t="shared" si="2"/>
        <v>2.1322379454352141</v>
      </c>
      <c r="J54" s="677">
        <f t="shared" si="3"/>
        <v>19452.62</v>
      </c>
    </row>
    <row r="55" spans="1:10" s="276" customFormat="1" ht="24" x14ac:dyDescent="0.55000000000000004">
      <c r="A55" s="273">
        <v>48</v>
      </c>
      <c r="B55" s="74" t="s">
        <v>113</v>
      </c>
      <c r="C55" s="274" t="s">
        <v>136</v>
      </c>
      <c r="D55" s="427">
        <v>1155716</v>
      </c>
      <c r="E55" s="997"/>
      <c r="F55" s="427">
        <v>59949.34</v>
      </c>
      <c r="G55" s="288">
        <f t="shared" si="0"/>
        <v>1095766.6599999999</v>
      </c>
      <c r="H55" s="287">
        <f t="shared" si="1"/>
        <v>5.1872034306005972</v>
      </c>
      <c r="I55" s="287">
        <f t="shared" si="2"/>
        <v>5.1872034306005972</v>
      </c>
      <c r="J55" s="677">
        <f t="shared" si="3"/>
        <v>59949.34</v>
      </c>
    </row>
    <row r="56" spans="1:10" s="276" customFormat="1" ht="24" x14ac:dyDescent="0.55000000000000004">
      <c r="A56" s="273">
        <v>49</v>
      </c>
      <c r="B56" s="74" t="s">
        <v>113</v>
      </c>
      <c r="C56" s="274" t="s">
        <v>137</v>
      </c>
      <c r="D56" s="427">
        <v>637176</v>
      </c>
      <c r="E56" s="997"/>
      <c r="F56" s="427">
        <v>48739.87</v>
      </c>
      <c r="G56" s="288">
        <f t="shared" si="0"/>
        <v>588436.13</v>
      </c>
      <c r="H56" s="287">
        <f t="shared" si="1"/>
        <v>7.6493574773688904</v>
      </c>
      <c r="I56" s="287">
        <f t="shared" si="2"/>
        <v>7.6493574773688904</v>
      </c>
      <c r="J56" s="677">
        <f t="shared" si="3"/>
        <v>48739.87</v>
      </c>
    </row>
    <row r="57" spans="1:10" s="276" customFormat="1" ht="24" x14ac:dyDescent="0.55000000000000004">
      <c r="A57" s="273">
        <v>50</v>
      </c>
      <c r="B57" s="74" t="s">
        <v>113</v>
      </c>
      <c r="C57" s="274" t="s">
        <v>138</v>
      </c>
      <c r="D57" s="427">
        <v>618698</v>
      </c>
      <c r="E57" s="997"/>
      <c r="F57" s="427">
        <v>42519.26</v>
      </c>
      <c r="G57" s="288">
        <f t="shared" si="0"/>
        <v>576178.74</v>
      </c>
      <c r="H57" s="287">
        <f t="shared" si="1"/>
        <v>6.8723771533122786</v>
      </c>
      <c r="I57" s="287">
        <f t="shared" si="2"/>
        <v>6.8723771533122786</v>
      </c>
      <c r="J57" s="677">
        <f t="shared" si="3"/>
        <v>42519.26</v>
      </c>
    </row>
    <row r="58" spans="1:10" s="276" customFormat="1" ht="24" x14ac:dyDescent="0.55000000000000004">
      <c r="A58" s="273">
        <v>51</v>
      </c>
      <c r="B58" s="74" t="s">
        <v>113</v>
      </c>
      <c r="C58" s="274" t="s">
        <v>139</v>
      </c>
      <c r="D58" s="427">
        <v>1851072</v>
      </c>
      <c r="E58" s="997"/>
      <c r="F58" s="427">
        <v>14533</v>
      </c>
      <c r="G58" s="288">
        <f t="shared" si="0"/>
        <v>1836539</v>
      </c>
      <c r="H58" s="287">
        <f t="shared" si="1"/>
        <v>0.78511262662932613</v>
      </c>
      <c r="I58" s="287">
        <f t="shared" si="2"/>
        <v>0.78511262662932613</v>
      </c>
      <c r="J58" s="677">
        <f t="shared" si="3"/>
        <v>14533</v>
      </c>
    </row>
    <row r="59" spans="1:10" s="276" customFormat="1" ht="24" x14ac:dyDescent="0.55000000000000004">
      <c r="A59" s="273">
        <v>52</v>
      </c>
      <c r="B59" s="74" t="s">
        <v>113</v>
      </c>
      <c r="C59" s="274" t="s">
        <v>140</v>
      </c>
      <c r="D59" s="427">
        <v>1267543</v>
      </c>
      <c r="E59" s="427">
        <v>5000</v>
      </c>
      <c r="F59" s="427">
        <v>19869</v>
      </c>
      <c r="G59" s="288">
        <f t="shared" si="0"/>
        <v>1242674</v>
      </c>
      <c r="H59" s="287">
        <f t="shared" si="1"/>
        <v>1.567520786277073</v>
      </c>
      <c r="I59" s="287">
        <f t="shared" si="2"/>
        <v>1.9619847216228561</v>
      </c>
      <c r="J59" s="677">
        <f t="shared" si="3"/>
        <v>24869</v>
      </c>
    </row>
    <row r="60" spans="1:10" s="276" customFormat="1" ht="24" x14ac:dyDescent="0.55000000000000004">
      <c r="A60" s="273">
        <v>53</v>
      </c>
      <c r="B60" s="74" t="s">
        <v>113</v>
      </c>
      <c r="C60" s="274" t="s">
        <v>141</v>
      </c>
      <c r="D60" s="427">
        <v>1949625</v>
      </c>
      <c r="E60" s="427">
        <v>644862</v>
      </c>
      <c r="F60" s="427">
        <v>92652.18</v>
      </c>
      <c r="G60" s="288">
        <f t="shared" si="0"/>
        <v>1212110.82</v>
      </c>
      <c r="H60" s="287">
        <f t="shared" si="1"/>
        <v>4.7523077514906715</v>
      </c>
      <c r="I60" s="287">
        <f t="shared" si="2"/>
        <v>37.828514714368147</v>
      </c>
      <c r="J60" s="677">
        <f t="shared" si="3"/>
        <v>737514.17999999993</v>
      </c>
    </row>
    <row r="61" spans="1:10" s="276" customFormat="1" ht="24" x14ac:dyDescent="0.55000000000000004">
      <c r="A61" s="273">
        <v>54</v>
      </c>
      <c r="B61" s="74" t="s">
        <v>113</v>
      </c>
      <c r="C61" s="274" t="s">
        <v>142</v>
      </c>
      <c r="D61" s="427">
        <v>2192217</v>
      </c>
      <c r="E61" s="997"/>
      <c r="F61" s="427">
        <v>130951.29</v>
      </c>
      <c r="G61" s="288">
        <f t="shared" si="0"/>
        <v>2061265.71</v>
      </c>
      <c r="H61" s="287">
        <f t="shared" si="1"/>
        <v>5.9734638496097787</v>
      </c>
      <c r="I61" s="287">
        <f t="shared" si="2"/>
        <v>5.9734638496097787</v>
      </c>
      <c r="J61" s="677">
        <f t="shared" si="3"/>
        <v>130951.29</v>
      </c>
    </row>
    <row r="62" spans="1:10" s="276" customFormat="1" ht="24" x14ac:dyDescent="0.55000000000000004">
      <c r="A62" s="273">
        <v>55</v>
      </c>
      <c r="B62" s="74" t="s">
        <v>113</v>
      </c>
      <c r="C62" s="274" t="s">
        <v>39</v>
      </c>
      <c r="D62" s="427">
        <v>1168253</v>
      </c>
      <c r="E62" s="427">
        <v>227999</v>
      </c>
      <c r="F62" s="427">
        <v>94091.85</v>
      </c>
      <c r="G62" s="288">
        <f t="shared" si="0"/>
        <v>846162.15</v>
      </c>
      <c r="H62" s="287">
        <f t="shared" si="1"/>
        <v>8.0540644877436645</v>
      </c>
      <c r="I62" s="287">
        <f t="shared" si="2"/>
        <v>27.570299412884022</v>
      </c>
      <c r="J62" s="677">
        <f t="shared" si="3"/>
        <v>322090.84999999998</v>
      </c>
    </row>
    <row r="63" spans="1:10" s="276" customFormat="1" ht="24" x14ac:dyDescent="0.55000000000000004">
      <c r="A63" s="273">
        <v>56</v>
      </c>
      <c r="B63" s="74" t="s">
        <v>113</v>
      </c>
      <c r="C63" s="274" t="s">
        <v>143</v>
      </c>
      <c r="D63" s="427">
        <v>1332442</v>
      </c>
      <c r="E63" s="997"/>
      <c r="F63" s="427">
        <v>60657.04</v>
      </c>
      <c r="G63" s="288">
        <f t="shared" si="0"/>
        <v>1271784.96</v>
      </c>
      <c r="H63" s="287">
        <f t="shared" si="1"/>
        <v>4.5523212267400757</v>
      </c>
      <c r="I63" s="287">
        <f t="shared" si="2"/>
        <v>4.5523212267400757</v>
      </c>
      <c r="J63" s="677">
        <f t="shared" si="3"/>
        <v>60657.04</v>
      </c>
    </row>
    <row r="64" spans="1:10" s="276" customFormat="1" ht="24" x14ac:dyDescent="0.55000000000000004">
      <c r="A64" s="273">
        <v>57</v>
      </c>
      <c r="B64" s="74" t="s">
        <v>113</v>
      </c>
      <c r="C64" s="274" t="s">
        <v>144</v>
      </c>
      <c r="D64" s="427">
        <v>1840589</v>
      </c>
      <c r="E64" s="997"/>
      <c r="F64" s="427">
        <v>73341.03</v>
      </c>
      <c r="G64" s="288">
        <f t="shared" si="0"/>
        <v>1767247.97</v>
      </c>
      <c r="H64" s="287">
        <f t="shared" si="1"/>
        <v>3.9846500223569739</v>
      </c>
      <c r="I64" s="287">
        <f t="shared" si="2"/>
        <v>3.9846500223569739</v>
      </c>
      <c r="J64" s="677">
        <f t="shared" si="3"/>
        <v>73341.03</v>
      </c>
    </row>
    <row r="65" spans="1:10" s="276" customFormat="1" ht="24" x14ac:dyDescent="0.55000000000000004">
      <c r="A65" s="273">
        <v>58</v>
      </c>
      <c r="B65" s="74" t="s">
        <v>113</v>
      </c>
      <c r="C65" s="274" t="s">
        <v>40</v>
      </c>
      <c r="D65" s="427">
        <v>823920</v>
      </c>
      <c r="E65" s="997"/>
      <c r="F65" s="427">
        <v>29875</v>
      </c>
      <c r="G65" s="288">
        <f t="shared" si="0"/>
        <v>794045</v>
      </c>
      <c r="H65" s="287">
        <f t="shared" si="1"/>
        <v>3.6259588309544615</v>
      </c>
      <c r="I65" s="287">
        <f t="shared" si="2"/>
        <v>3.6259588309544615</v>
      </c>
      <c r="J65" s="677">
        <f t="shared" si="3"/>
        <v>29875</v>
      </c>
    </row>
    <row r="66" spans="1:10" s="276" customFormat="1" ht="24" x14ac:dyDescent="0.55000000000000004">
      <c r="A66" s="273">
        <v>59</v>
      </c>
      <c r="B66" s="74" t="s">
        <v>113</v>
      </c>
      <c r="C66" s="274" t="s">
        <v>145</v>
      </c>
      <c r="D66" s="427">
        <v>2545808</v>
      </c>
      <c r="E66" s="997"/>
      <c r="F66" s="427">
        <v>24410</v>
      </c>
      <c r="G66" s="288">
        <f t="shared" si="0"/>
        <v>2521398</v>
      </c>
      <c r="H66" s="287">
        <f t="shared" si="1"/>
        <v>0.95883114516098622</v>
      </c>
      <c r="I66" s="287">
        <f t="shared" si="2"/>
        <v>0.95883114516098622</v>
      </c>
      <c r="J66" s="677">
        <f t="shared" si="3"/>
        <v>24410</v>
      </c>
    </row>
    <row r="67" spans="1:10" s="276" customFormat="1" ht="24" x14ac:dyDescent="0.55000000000000004">
      <c r="A67" s="273">
        <v>60</v>
      </c>
      <c r="B67" s="74" t="s">
        <v>113</v>
      </c>
      <c r="C67" s="274" t="s">
        <v>146</v>
      </c>
      <c r="D67" s="427">
        <v>751750</v>
      </c>
      <c r="E67" s="997"/>
      <c r="F67" s="427">
        <v>55864.85</v>
      </c>
      <c r="G67" s="288">
        <f t="shared" si="0"/>
        <v>695885.15</v>
      </c>
      <c r="H67" s="287">
        <f t="shared" si="1"/>
        <v>7.4313069504489526</v>
      </c>
      <c r="I67" s="287">
        <f t="shared" si="2"/>
        <v>7.4313069504489526</v>
      </c>
      <c r="J67" s="677">
        <f t="shared" si="3"/>
        <v>55864.85</v>
      </c>
    </row>
    <row r="68" spans="1:10" s="276" customFormat="1" ht="24" x14ac:dyDescent="0.55000000000000004">
      <c r="A68" s="273">
        <v>61</v>
      </c>
      <c r="B68" s="74" t="s">
        <v>113</v>
      </c>
      <c r="C68" s="274" t="s">
        <v>147</v>
      </c>
      <c r="D68" s="427">
        <v>510495</v>
      </c>
      <c r="E68" s="997"/>
      <c r="F68" s="427">
        <v>21057.08</v>
      </c>
      <c r="G68" s="288">
        <f t="shared" si="0"/>
        <v>489437.92</v>
      </c>
      <c r="H68" s="287">
        <f t="shared" si="1"/>
        <v>4.1248356986846098</v>
      </c>
      <c r="I68" s="287">
        <f t="shared" si="2"/>
        <v>4.1248356986846098</v>
      </c>
      <c r="J68" s="677">
        <f t="shared" si="3"/>
        <v>21057.08</v>
      </c>
    </row>
    <row r="69" spans="1:10" s="276" customFormat="1" ht="24" x14ac:dyDescent="0.55000000000000004">
      <c r="A69" s="273">
        <v>62</v>
      </c>
      <c r="B69" s="74" t="s">
        <v>113</v>
      </c>
      <c r="C69" s="274" t="s">
        <v>148</v>
      </c>
      <c r="D69" s="427">
        <v>666080</v>
      </c>
      <c r="E69" s="997"/>
      <c r="F69" s="427">
        <v>59459.26</v>
      </c>
      <c r="G69" s="288">
        <f t="shared" si="0"/>
        <v>606620.74</v>
      </c>
      <c r="H69" s="287">
        <f t="shared" si="1"/>
        <v>8.9267445351909682</v>
      </c>
      <c r="I69" s="287">
        <f t="shared" si="2"/>
        <v>8.9267445351909682</v>
      </c>
      <c r="J69" s="677">
        <f t="shared" si="3"/>
        <v>59459.26</v>
      </c>
    </row>
    <row r="70" spans="1:10" s="276" customFormat="1" ht="24" x14ac:dyDescent="0.55000000000000004">
      <c r="A70" s="273">
        <v>63</v>
      </c>
      <c r="B70" s="74" t="s">
        <v>113</v>
      </c>
      <c r="C70" s="274" t="s">
        <v>149</v>
      </c>
      <c r="D70" s="427">
        <v>604205</v>
      </c>
      <c r="E70" s="997"/>
      <c r="F70" s="427">
        <v>21750</v>
      </c>
      <c r="G70" s="288">
        <f t="shared" si="0"/>
        <v>582455</v>
      </c>
      <c r="H70" s="287">
        <f t="shared" si="1"/>
        <v>3.5997716006984386</v>
      </c>
      <c r="I70" s="287">
        <f t="shared" si="2"/>
        <v>3.5997716006984386</v>
      </c>
      <c r="J70" s="677">
        <f t="shared" si="3"/>
        <v>21750</v>
      </c>
    </row>
    <row r="71" spans="1:10" s="276" customFormat="1" ht="24" x14ac:dyDescent="0.55000000000000004">
      <c r="A71" s="273">
        <v>64</v>
      </c>
      <c r="B71" s="74" t="s">
        <v>113</v>
      </c>
      <c r="C71" s="274" t="s">
        <v>41</v>
      </c>
      <c r="D71" s="427">
        <v>626366</v>
      </c>
      <c r="E71" s="997"/>
      <c r="F71" s="427">
        <v>84905.39</v>
      </c>
      <c r="G71" s="288">
        <f t="shared" si="0"/>
        <v>541460.61</v>
      </c>
      <c r="H71" s="287">
        <f t="shared" si="1"/>
        <v>13.555236076032225</v>
      </c>
      <c r="I71" s="287">
        <f t="shared" si="2"/>
        <v>13.555236076032225</v>
      </c>
      <c r="J71" s="677">
        <f t="shared" si="3"/>
        <v>84905.39</v>
      </c>
    </row>
    <row r="72" spans="1:10" s="276" customFormat="1" ht="24" x14ac:dyDescent="0.55000000000000004">
      <c r="A72" s="273">
        <v>65</v>
      </c>
      <c r="B72" s="74" t="s">
        <v>113</v>
      </c>
      <c r="C72" s="274" t="s">
        <v>42</v>
      </c>
      <c r="D72" s="427">
        <v>737421</v>
      </c>
      <c r="E72" s="997"/>
      <c r="F72" s="427">
        <v>77655.460000000006</v>
      </c>
      <c r="G72" s="288">
        <f t="shared" si="0"/>
        <v>659765.54</v>
      </c>
      <c r="H72" s="287">
        <f t="shared" si="1"/>
        <v>10.530681930674609</v>
      </c>
      <c r="I72" s="287">
        <f t="shared" si="2"/>
        <v>10.530681930674609</v>
      </c>
      <c r="J72" s="677">
        <f t="shared" si="3"/>
        <v>77655.460000000006</v>
      </c>
    </row>
    <row r="73" spans="1:10" s="276" customFormat="1" ht="24" x14ac:dyDescent="0.55000000000000004">
      <c r="A73" s="273">
        <v>66</v>
      </c>
      <c r="B73" s="74" t="s">
        <v>113</v>
      </c>
      <c r="C73" s="274" t="s">
        <v>43</v>
      </c>
      <c r="D73" s="427">
        <v>402006</v>
      </c>
      <c r="E73" s="427">
        <v>2400</v>
      </c>
      <c r="F73" s="427">
        <v>25266.44</v>
      </c>
      <c r="G73" s="288">
        <f t="shared" ref="G73:G103" si="4">+D73-E73-F73</f>
        <v>374339.56</v>
      </c>
      <c r="H73" s="287">
        <f t="shared" ref="H73:H103" si="5">F73*100/D73</f>
        <v>6.285090272284493</v>
      </c>
      <c r="I73" s="287">
        <f t="shared" ref="I73:I103" si="6">+J73*100/D73</f>
        <v>6.8820962871200928</v>
      </c>
      <c r="J73" s="677">
        <f t="shared" ref="J73:J104" si="7">+E73+F73</f>
        <v>27666.44</v>
      </c>
    </row>
    <row r="74" spans="1:10" s="276" customFormat="1" ht="24" x14ac:dyDescent="0.55000000000000004">
      <c r="A74" s="273">
        <v>67</v>
      </c>
      <c r="B74" s="74" t="s">
        <v>113</v>
      </c>
      <c r="C74" s="274" t="s">
        <v>44</v>
      </c>
      <c r="D74" s="427">
        <v>1646659</v>
      </c>
      <c r="E74" s="427">
        <v>694365</v>
      </c>
      <c r="F74" s="427">
        <v>87705.26</v>
      </c>
      <c r="G74" s="288">
        <f t="shared" si="4"/>
        <v>864588.74</v>
      </c>
      <c r="H74" s="287">
        <f t="shared" si="5"/>
        <v>5.3262551627264658</v>
      </c>
      <c r="I74" s="287">
        <f t="shared" si="6"/>
        <v>47.49436647174673</v>
      </c>
      <c r="J74" s="677">
        <f t="shared" si="7"/>
        <v>782070.26</v>
      </c>
    </row>
    <row r="75" spans="1:10" s="276" customFormat="1" ht="24" x14ac:dyDescent="0.55000000000000004">
      <c r="A75" s="273">
        <v>68</v>
      </c>
      <c r="B75" s="74" t="s">
        <v>113</v>
      </c>
      <c r="C75" s="274" t="s">
        <v>45</v>
      </c>
      <c r="D75" s="427">
        <v>960065</v>
      </c>
      <c r="E75" s="427">
        <v>201000</v>
      </c>
      <c r="F75" s="427">
        <v>40683.339999999997</v>
      </c>
      <c r="G75" s="288">
        <f t="shared" si="4"/>
        <v>718381.66</v>
      </c>
      <c r="H75" s="287">
        <f t="shared" si="5"/>
        <v>4.237560998474061</v>
      </c>
      <c r="I75" s="287">
        <f t="shared" si="6"/>
        <v>25.173643451224656</v>
      </c>
      <c r="J75" s="677">
        <f t="shared" si="7"/>
        <v>241683.34</v>
      </c>
    </row>
    <row r="76" spans="1:10" s="276" customFormat="1" ht="24" x14ac:dyDescent="0.55000000000000004">
      <c r="A76" s="273">
        <v>69</v>
      </c>
      <c r="B76" s="74" t="s">
        <v>113</v>
      </c>
      <c r="C76" s="274" t="s">
        <v>63</v>
      </c>
      <c r="D76" s="427">
        <v>931178</v>
      </c>
      <c r="E76" s="427">
        <v>51955</v>
      </c>
      <c r="F76" s="427">
        <v>88165.66</v>
      </c>
      <c r="G76" s="288">
        <f t="shared" si="4"/>
        <v>791057.34</v>
      </c>
      <c r="H76" s="287">
        <f t="shared" si="5"/>
        <v>9.4681854597080264</v>
      </c>
      <c r="I76" s="287">
        <f t="shared" si="6"/>
        <v>15.047677243233839</v>
      </c>
      <c r="J76" s="677">
        <f t="shared" si="7"/>
        <v>140120.66</v>
      </c>
    </row>
    <row r="77" spans="1:10" s="276" customFormat="1" ht="24" x14ac:dyDescent="0.55000000000000004">
      <c r="A77" s="273">
        <v>70</v>
      </c>
      <c r="B77" s="74" t="s">
        <v>113</v>
      </c>
      <c r="C77" s="274" t="s">
        <v>150</v>
      </c>
      <c r="D77" s="427">
        <v>1189913</v>
      </c>
      <c r="E77" s="997"/>
      <c r="F77" s="427">
        <v>48663.22</v>
      </c>
      <c r="G77" s="288">
        <f t="shared" si="4"/>
        <v>1141249.78</v>
      </c>
      <c r="H77" s="287">
        <f t="shared" si="5"/>
        <v>4.0896452093556421</v>
      </c>
      <c r="I77" s="287">
        <f t="shared" si="6"/>
        <v>4.0896452093556421</v>
      </c>
      <c r="J77" s="677">
        <f t="shared" si="7"/>
        <v>48663.22</v>
      </c>
    </row>
    <row r="78" spans="1:10" s="276" customFormat="1" ht="24" x14ac:dyDescent="0.55000000000000004">
      <c r="A78" s="273">
        <v>71</v>
      </c>
      <c r="B78" s="74" t="s">
        <v>113</v>
      </c>
      <c r="C78" s="274" t="s">
        <v>46</v>
      </c>
      <c r="D78" s="427">
        <v>1444498</v>
      </c>
      <c r="E78" s="997"/>
      <c r="F78" s="427">
        <v>66294.62</v>
      </c>
      <c r="G78" s="288">
        <f t="shared" si="4"/>
        <v>1378203.38</v>
      </c>
      <c r="H78" s="287">
        <f t="shared" si="5"/>
        <v>4.5894573755034624</v>
      </c>
      <c r="I78" s="287">
        <f t="shared" si="6"/>
        <v>4.5894573755034624</v>
      </c>
      <c r="J78" s="677">
        <f t="shared" si="7"/>
        <v>66294.62</v>
      </c>
    </row>
    <row r="79" spans="1:10" s="276" customFormat="1" ht="24" x14ac:dyDescent="0.55000000000000004">
      <c r="A79" s="273">
        <v>72</v>
      </c>
      <c r="B79" s="74" t="s">
        <v>113</v>
      </c>
      <c r="C79" s="274" t="s">
        <v>151</v>
      </c>
      <c r="D79" s="427">
        <v>1026646</v>
      </c>
      <c r="E79" s="427">
        <v>149730</v>
      </c>
      <c r="F79" s="427">
        <v>75566.66</v>
      </c>
      <c r="G79" s="288">
        <f t="shared" si="4"/>
        <v>801349.34</v>
      </c>
      <c r="H79" s="287">
        <f t="shared" si="5"/>
        <v>7.3605371276954275</v>
      </c>
      <c r="I79" s="287">
        <f t="shared" si="6"/>
        <v>21.944921618552062</v>
      </c>
      <c r="J79" s="677">
        <f t="shared" si="7"/>
        <v>225296.66</v>
      </c>
    </row>
    <row r="80" spans="1:10" s="276" customFormat="1" ht="24" x14ac:dyDescent="0.55000000000000004">
      <c r="A80" s="273">
        <v>73</v>
      </c>
      <c r="B80" s="74" t="s">
        <v>113</v>
      </c>
      <c r="C80" s="274" t="s">
        <v>152</v>
      </c>
      <c r="D80" s="427">
        <v>387236</v>
      </c>
      <c r="E80" s="997"/>
      <c r="F80" s="427">
        <v>57029.14</v>
      </c>
      <c r="G80" s="288">
        <f t="shared" si="4"/>
        <v>330206.86</v>
      </c>
      <c r="H80" s="287">
        <f t="shared" si="5"/>
        <v>14.727230939272175</v>
      </c>
      <c r="I80" s="287">
        <f t="shared" si="6"/>
        <v>14.727230939272175</v>
      </c>
      <c r="J80" s="677">
        <f t="shared" si="7"/>
        <v>57029.14</v>
      </c>
    </row>
    <row r="81" spans="1:10" s="276" customFormat="1" ht="24" x14ac:dyDescent="0.55000000000000004">
      <c r="A81" s="273">
        <v>74</v>
      </c>
      <c r="B81" s="74" t="s">
        <v>113</v>
      </c>
      <c r="C81" s="274" t="s">
        <v>47</v>
      </c>
      <c r="D81" s="427">
        <v>408198</v>
      </c>
      <c r="E81" s="427">
        <v>12990</v>
      </c>
      <c r="F81" s="427">
        <v>19764.22</v>
      </c>
      <c r="G81" s="288">
        <f t="shared" si="4"/>
        <v>375443.78</v>
      </c>
      <c r="H81" s="287">
        <f t="shared" si="5"/>
        <v>4.841821860959632</v>
      </c>
      <c r="I81" s="287">
        <f t="shared" si="6"/>
        <v>8.0241010490007305</v>
      </c>
      <c r="J81" s="677">
        <f t="shared" si="7"/>
        <v>32754.22</v>
      </c>
    </row>
    <row r="82" spans="1:10" s="276" customFormat="1" ht="24" x14ac:dyDescent="0.55000000000000004">
      <c r="A82" s="273">
        <v>75</v>
      </c>
      <c r="B82" s="74" t="s">
        <v>113</v>
      </c>
      <c r="C82" s="274" t="s">
        <v>153</v>
      </c>
      <c r="D82" s="427">
        <v>430830</v>
      </c>
      <c r="E82" s="997"/>
      <c r="F82" s="427">
        <v>32382.400000000001</v>
      </c>
      <c r="G82" s="288">
        <f t="shared" si="4"/>
        <v>398447.6</v>
      </c>
      <c r="H82" s="287">
        <f t="shared" si="5"/>
        <v>7.516282524429589</v>
      </c>
      <c r="I82" s="287">
        <f t="shared" si="6"/>
        <v>7.516282524429589</v>
      </c>
      <c r="J82" s="677">
        <f t="shared" si="7"/>
        <v>32382.400000000001</v>
      </c>
    </row>
    <row r="83" spans="1:10" s="276" customFormat="1" ht="24" x14ac:dyDescent="0.55000000000000004">
      <c r="A83" s="273">
        <v>76</v>
      </c>
      <c r="B83" s="74" t="s">
        <v>113</v>
      </c>
      <c r="C83" s="274" t="s">
        <v>48</v>
      </c>
      <c r="D83" s="427">
        <v>424618</v>
      </c>
      <c r="E83" s="997"/>
      <c r="F83" s="427">
        <v>17234.32</v>
      </c>
      <c r="G83" s="288">
        <f t="shared" si="4"/>
        <v>407383.68</v>
      </c>
      <c r="H83" s="287">
        <f t="shared" si="5"/>
        <v>4.0587822466310897</v>
      </c>
      <c r="I83" s="287">
        <f t="shared" si="6"/>
        <v>4.0587822466310897</v>
      </c>
      <c r="J83" s="677">
        <f t="shared" si="7"/>
        <v>17234.32</v>
      </c>
    </row>
    <row r="84" spans="1:10" s="276" customFormat="1" ht="24" x14ac:dyDescent="0.55000000000000004">
      <c r="A84" s="273">
        <v>77</v>
      </c>
      <c r="B84" s="74" t="s">
        <v>113</v>
      </c>
      <c r="C84" s="274" t="s">
        <v>154</v>
      </c>
      <c r="D84" s="427">
        <v>647471</v>
      </c>
      <c r="E84" s="997"/>
      <c r="F84" s="427">
        <v>16164.83</v>
      </c>
      <c r="G84" s="288">
        <f t="shared" si="4"/>
        <v>631306.17000000004</v>
      </c>
      <c r="H84" s="287">
        <f t="shared" si="5"/>
        <v>2.4966106590102104</v>
      </c>
      <c r="I84" s="287">
        <f t="shared" si="6"/>
        <v>2.4966106590102104</v>
      </c>
      <c r="J84" s="677">
        <f t="shared" si="7"/>
        <v>16164.83</v>
      </c>
    </row>
    <row r="85" spans="1:10" s="276" customFormat="1" ht="24" x14ac:dyDescent="0.55000000000000004">
      <c r="A85" s="273">
        <v>78</v>
      </c>
      <c r="B85" s="74" t="s">
        <v>113</v>
      </c>
      <c r="C85" s="274" t="s">
        <v>49</v>
      </c>
      <c r="D85" s="427">
        <v>924838</v>
      </c>
      <c r="E85" s="997"/>
      <c r="F85" s="427">
        <v>6357.57</v>
      </c>
      <c r="G85" s="288">
        <f t="shared" si="4"/>
        <v>918480.43</v>
      </c>
      <c r="H85" s="287">
        <f t="shared" si="5"/>
        <v>0.68742525718017644</v>
      </c>
      <c r="I85" s="287">
        <f t="shared" si="6"/>
        <v>0.68742525718017644</v>
      </c>
      <c r="J85" s="677">
        <f t="shared" si="7"/>
        <v>6357.57</v>
      </c>
    </row>
    <row r="86" spans="1:10" s="276" customFormat="1" ht="24" x14ac:dyDescent="0.55000000000000004">
      <c r="A86" s="273">
        <v>79</v>
      </c>
      <c r="B86" s="74" t="s">
        <v>113</v>
      </c>
      <c r="C86" s="274" t="s">
        <v>50</v>
      </c>
      <c r="D86" s="427">
        <v>988326</v>
      </c>
      <c r="E86" s="997"/>
      <c r="F86" s="427">
        <v>42408.89</v>
      </c>
      <c r="G86" s="288">
        <f t="shared" si="4"/>
        <v>945917.11</v>
      </c>
      <c r="H86" s="287">
        <f t="shared" si="5"/>
        <v>4.2909819229687374</v>
      </c>
      <c r="I86" s="287">
        <f t="shared" si="6"/>
        <v>4.2909819229687374</v>
      </c>
      <c r="J86" s="677">
        <f t="shared" si="7"/>
        <v>42408.89</v>
      </c>
    </row>
    <row r="87" spans="1:10" s="276" customFormat="1" ht="24" x14ac:dyDescent="0.55000000000000004">
      <c r="A87" s="273">
        <v>80</v>
      </c>
      <c r="B87" s="74" t="s">
        <v>113</v>
      </c>
      <c r="C87" s="274" t="s">
        <v>155</v>
      </c>
      <c r="D87" s="427">
        <v>408445</v>
      </c>
      <c r="E87" s="997"/>
      <c r="F87" s="427">
        <v>26735.38</v>
      </c>
      <c r="G87" s="288">
        <f t="shared" si="4"/>
        <v>381709.62</v>
      </c>
      <c r="H87" s="287">
        <f t="shared" si="5"/>
        <v>6.5456499651115818</v>
      </c>
      <c r="I87" s="287">
        <f t="shared" si="6"/>
        <v>6.5456499651115818</v>
      </c>
      <c r="J87" s="677">
        <f t="shared" si="7"/>
        <v>26735.38</v>
      </c>
    </row>
    <row r="88" spans="1:10" s="276" customFormat="1" ht="24" x14ac:dyDescent="0.55000000000000004">
      <c r="A88" s="273">
        <v>81</v>
      </c>
      <c r="B88" s="74" t="s">
        <v>113</v>
      </c>
      <c r="C88" s="274" t="s">
        <v>51</v>
      </c>
      <c r="D88" s="427">
        <v>574852</v>
      </c>
      <c r="E88" s="997"/>
      <c r="F88" s="427">
        <v>80812.800000000003</v>
      </c>
      <c r="G88" s="288">
        <f t="shared" si="4"/>
        <v>494039.2</v>
      </c>
      <c r="H88" s="287">
        <f t="shared" si="5"/>
        <v>14.058018411695532</v>
      </c>
      <c r="I88" s="287">
        <f t="shared" si="6"/>
        <v>14.058018411695532</v>
      </c>
      <c r="J88" s="677">
        <f t="shared" si="7"/>
        <v>80812.800000000003</v>
      </c>
    </row>
    <row r="89" spans="1:10" s="276" customFormat="1" ht="24" x14ac:dyDescent="0.55000000000000004">
      <c r="A89" s="273">
        <v>82</v>
      </c>
      <c r="B89" s="74" t="s">
        <v>113</v>
      </c>
      <c r="C89" s="274" t="s">
        <v>156</v>
      </c>
      <c r="D89" s="427">
        <v>608825</v>
      </c>
      <c r="E89" s="997"/>
      <c r="F89" s="427">
        <v>44569.69</v>
      </c>
      <c r="G89" s="288">
        <f t="shared" si="4"/>
        <v>564255.31000000006</v>
      </c>
      <c r="H89" s="287">
        <f t="shared" si="5"/>
        <v>7.320607728000657</v>
      </c>
      <c r="I89" s="287">
        <f t="shared" si="6"/>
        <v>7.320607728000657</v>
      </c>
      <c r="J89" s="677">
        <f t="shared" si="7"/>
        <v>44569.69</v>
      </c>
    </row>
    <row r="90" spans="1:10" s="276" customFormat="1" ht="24" x14ac:dyDescent="0.55000000000000004">
      <c r="A90" s="273">
        <v>83</v>
      </c>
      <c r="B90" s="74" t="s">
        <v>113</v>
      </c>
      <c r="C90" s="274" t="s">
        <v>157</v>
      </c>
      <c r="D90" s="427">
        <v>669014</v>
      </c>
      <c r="E90" s="997"/>
      <c r="F90" s="427">
        <v>21729.99</v>
      </c>
      <c r="G90" s="288">
        <f t="shared" si="4"/>
        <v>647284.01</v>
      </c>
      <c r="H90" s="287">
        <f t="shared" si="5"/>
        <v>3.2480620734394199</v>
      </c>
      <c r="I90" s="287">
        <f t="shared" si="6"/>
        <v>3.2480620734394199</v>
      </c>
      <c r="J90" s="677">
        <f t="shared" si="7"/>
        <v>21729.99</v>
      </c>
    </row>
    <row r="91" spans="1:10" s="276" customFormat="1" ht="24" x14ac:dyDescent="0.55000000000000004">
      <c r="A91" s="273">
        <v>84</v>
      </c>
      <c r="B91" s="74" t="s">
        <v>113</v>
      </c>
      <c r="C91" s="274" t="s">
        <v>158</v>
      </c>
      <c r="D91" s="427">
        <v>590362</v>
      </c>
      <c r="E91" s="997"/>
      <c r="F91" s="427">
        <v>40675</v>
      </c>
      <c r="G91" s="288">
        <f t="shared" si="4"/>
        <v>549687</v>
      </c>
      <c r="H91" s="287">
        <f t="shared" si="5"/>
        <v>6.8898404707620067</v>
      </c>
      <c r="I91" s="287">
        <f t="shared" si="6"/>
        <v>6.8898404707620067</v>
      </c>
      <c r="J91" s="677">
        <f t="shared" si="7"/>
        <v>40675</v>
      </c>
    </row>
    <row r="92" spans="1:10" s="276" customFormat="1" ht="24" x14ac:dyDescent="0.55000000000000004">
      <c r="A92" s="273">
        <v>85</v>
      </c>
      <c r="B92" s="74" t="s">
        <v>113</v>
      </c>
      <c r="C92" s="274" t="s">
        <v>52</v>
      </c>
      <c r="D92" s="427">
        <v>705520</v>
      </c>
      <c r="E92" s="997"/>
      <c r="F92" s="427">
        <v>96448.15</v>
      </c>
      <c r="G92" s="288">
        <f t="shared" si="4"/>
        <v>609071.85</v>
      </c>
      <c r="H92" s="287">
        <f t="shared" si="5"/>
        <v>13.670505442793967</v>
      </c>
      <c r="I92" s="287">
        <f t="shared" si="6"/>
        <v>13.670505442793967</v>
      </c>
      <c r="J92" s="677">
        <f t="shared" si="7"/>
        <v>96448.15</v>
      </c>
    </row>
    <row r="93" spans="1:10" s="276" customFormat="1" ht="24" x14ac:dyDescent="0.55000000000000004">
      <c r="A93" s="273">
        <v>86</v>
      </c>
      <c r="B93" s="74" t="s">
        <v>113</v>
      </c>
      <c r="C93" s="274" t="s">
        <v>53</v>
      </c>
      <c r="D93" s="427">
        <v>909261</v>
      </c>
      <c r="E93" s="997"/>
      <c r="F93" s="427">
        <v>86495.78</v>
      </c>
      <c r="G93" s="288">
        <f t="shared" si="4"/>
        <v>822765.22</v>
      </c>
      <c r="H93" s="287">
        <f t="shared" si="5"/>
        <v>9.5127559633592558</v>
      </c>
      <c r="I93" s="287">
        <f t="shared" si="6"/>
        <v>9.5127559633592558</v>
      </c>
      <c r="J93" s="677">
        <f t="shared" si="7"/>
        <v>86495.78</v>
      </c>
    </row>
    <row r="94" spans="1:10" s="276" customFormat="1" ht="24" x14ac:dyDescent="0.55000000000000004">
      <c r="A94" s="273">
        <v>87</v>
      </c>
      <c r="B94" s="74" t="s">
        <v>113</v>
      </c>
      <c r="C94" s="274" t="s">
        <v>159</v>
      </c>
      <c r="D94" s="427">
        <v>1184129</v>
      </c>
      <c r="E94" s="997"/>
      <c r="F94" s="427">
        <v>18044.3</v>
      </c>
      <c r="G94" s="288">
        <f t="shared" si="4"/>
        <v>1166084.7</v>
      </c>
      <c r="H94" s="287">
        <f t="shared" si="5"/>
        <v>1.5238457972062165</v>
      </c>
      <c r="I94" s="287">
        <f t="shared" si="6"/>
        <v>1.5238457972062165</v>
      </c>
      <c r="J94" s="677">
        <f t="shared" si="7"/>
        <v>18044.3</v>
      </c>
    </row>
    <row r="95" spans="1:10" s="276" customFormat="1" ht="24" x14ac:dyDescent="0.55000000000000004">
      <c r="A95" s="273">
        <v>88</v>
      </c>
      <c r="B95" s="74" t="s">
        <v>113</v>
      </c>
      <c r="C95" s="274" t="s">
        <v>160</v>
      </c>
      <c r="D95" s="427">
        <v>826365</v>
      </c>
      <c r="E95" s="997"/>
      <c r="F95" s="427">
        <v>33956.28</v>
      </c>
      <c r="G95" s="288">
        <f t="shared" si="4"/>
        <v>792408.72</v>
      </c>
      <c r="H95" s="287">
        <f t="shared" si="5"/>
        <v>4.1091140113630171</v>
      </c>
      <c r="I95" s="287">
        <f t="shared" si="6"/>
        <v>4.1091140113630171</v>
      </c>
      <c r="J95" s="677">
        <f t="shared" si="7"/>
        <v>33956.28</v>
      </c>
    </row>
    <row r="96" spans="1:10" s="276" customFormat="1" ht="24" x14ac:dyDescent="0.55000000000000004">
      <c r="A96" s="273">
        <v>89</v>
      </c>
      <c r="B96" s="74" t="s">
        <v>113</v>
      </c>
      <c r="C96" s="274" t="s">
        <v>161</v>
      </c>
      <c r="D96" s="427">
        <v>3416565</v>
      </c>
      <c r="E96" s="997"/>
      <c r="F96" s="427">
        <v>46197.74</v>
      </c>
      <c r="G96" s="288">
        <f t="shared" si="4"/>
        <v>3370367.26</v>
      </c>
      <c r="H96" s="287">
        <f t="shared" si="5"/>
        <v>1.3521692108887142</v>
      </c>
      <c r="I96" s="287">
        <f t="shared" si="6"/>
        <v>1.3521692108887142</v>
      </c>
      <c r="J96" s="677">
        <f t="shared" si="7"/>
        <v>46197.74</v>
      </c>
    </row>
    <row r="97" spans="1:10" s="276" customFormat="1" ht="24" x14ac:dyDescent="0.55000000000000004">
      <c r="A97" s="273">
        <v>90</v>
      </c>
      <c r="B97" s="74" t="s">
        <v>113</v>
      </c>
      <c r="C97" s="274" t="s">
        <v>54</v>
      </c>
      <c r="D97" s="427">
        <v>924162</v>
      </c>
      <c r="E97" s="997"/>
      <c r="F97" s="427">
        <v>55536.12</v>
      </c>
      <c r="G97" s="288">
        <f t="shared" si="4"/>
        <v>868625.88</v>
      </c>
      <c r="H97" s="287">
        <f t="shared" si="5"/>
        <v>6.0093490102384646</v>
      </c>
      <c r="I97" s="287">
        <f t="shared" si="6"/>
        <v>6.0093490102384646</v>
      </c>
      <c r="J97" s="677">
        <f t="shared" si="7"/>
        <v>55536.12</v>
      </c>
    </row>
    <row r="98" spans="1:10" s="276" customFormat="1" ht="24" x14ac:dyDescent="0.55000000000000004">
      <c r="A98" s="273">
        <v>91</v>
      </c>
      <c r="B98" s="74" t="s">
        <v>113</v>
      </c>
      <c r="C98" s="274" t="s">
        <v>55</v>
      </c>
      <c r="D98" s="427">
        <v>829795</v>
      </c>
      <c r="E98" s="427">
        <v>288000</v>
      </c>
      <c r="F98" s="427">
        <v>34499.269999999997</v>
      </c>
      <c r="G98" s="288">
        <f t="shared" si="4"/>
        <v>507295.73</v>
      </c>
      <c r="H98" s="287">
        <f t="shared" si="5"/>
        <v>4.1575654227851455</v>
      </c>
      <c r="I98" s="287">
        <f t="shared" si="6"/>
        <v>38.864932905115118</v>
      </c>
      <c r="J98" s="677">
        <f t="shared" si="7"/>
        <v>322499.27</v>
      </c>
    </row>
    <row r="99" spans="1:10" s="276" customFormat="1" ht="24" x14ac:dyDescent="0.55000000000000004">
      <c r="A99" s="273">
        <v>92</v>
      </c>
      <c r="B99" s="74" t="s">
        <v>115</v>
      </c>
      <c r="C99" s="274" t="s">
        <v>20</v>
      </c>
      <c r="D99" s="427">
        <v>2033706</v>
      </c>
      <c r="E99" s="997"/>
      <c r="F99" s="427">
        <v>58271.71</v>
      </c>
      <c r="G99" s="288">
        <f t="shared" si="4"/>
        <v>1975434.29</v>
      </c>
      <c r="H99" s="287">
        <f t="shared" si="5"/>
        <v>2.8652966554654409</v>
      </c>
      <c r="I99" s="287">
        <f t="shared" si="6"/>
        <v>2.8652966554654409</v>
      </c>
      <c r="J99" s="677">
        <f t="shared" si="7"/>
        <v>58271.71</v>
      </c>
    </row>
    <row r="100" spans="1:10" s="276" customFormat="1" ht="24" x14ac:dyDescent="0.55000000000000004">
      <c r="A100" s="273">
        <v>93</v>
      </c>
      <c r="B100" s="74" t="s">
        <v>115</v>
      </c>
      <c r="C100" s="274" t="s">
        <v>162</v>
      </c>
      <c r="D100" s="427">
        <v>2874454</v>
      </c>
      <c r="E100" s="997"/>
      <c r="F100" s="427">
        <v>23091.46</v>
      </c>
      <c r="G100" s="288">
        <f t="shared" si="4"/>
        <v>2851362.54</v>
      </c>
      <c r="H100" s="287">
        <f t="shared" si="5"/>
        <v>0.80333378095457431</v>
      </c>
      <c r="I100" s="287">
        <f t="shared" si="6"/>
        <v>0.80333378095457431</v>
      </c>
      <c r="J100" s="677">
        <f t="shared" si="7"/>
        <v>23091.46</v>
      </c>
    </row>
    <row r="101" spans="1:10" s="276" customFormat="1" ht="24" x14ac:dyDescent="0.55000000000000004">
      <c r="A101" s="273">
        <v>94</v>
      </c>
      <c r="B101" s="74" t="s">
        <v>113</v>
      </c>
      <c r="C101" s="274" t="s">
        <v>89</v>
      </c>
      <c r="D101" s="427">
        <v>893034</v>
      </c>
      <c r="E101" s="997"/>
      <c r="F101" s="427">
        <v>102839.03</v>
      </c>
      <c r="G101" s="288">
        <f t="shared" si="4"/>
        <v>790194.97</v>
      </c>
      <c r="H101" s="287">
        <f t="shared" si="5"/>
        <v>11.515690332059025</v>
      </c>
      <c r="I101" s="287">
        <f t="shared" si="6"/>
        <v>11.515690332059025</v>
      </c>
      <c r="J101" s="677">
        <f t="shared" si="7"/>
        <v>102839.03</v>
      </c>
    </row>
    <row r="102" spans="1:10" s="276" customFormat="1" ht="24" x14ac:dyDescent="0.55000000000000004">
      <c r="A102" s="273">
        <v>95</v>
      </c>
      <c r="B102" s="74" t="s">
        <v>115</v>
      </c>
      <c r="C102" s="274" t="s">
        <v>43</v>
      </c>
      <c r="D102" s="427">
        <v>3252496</v>
      </c>
      <c r="E102" s="997"/>
      <c r="F102" s="427">
        <v>88047.6</v>
      </c>
      <c r="G102" s="288">
        <f t="shared" si="4"/>
        <v>3164448.4</v>
      </c>
      <c r="H102" s="287">
        <f t="shared" si="5"/>
        <v>2.7070778872595076</v>
      </c>
      <c r="I102" s="287">
        <f t="shared" si="6"/>
        <v>2.7070778872595076</v>
      </c>
      <c r="J102" s="677">
        <f t="shared" si="7"/>
        <v>88047.6</v>
      </c>
    </row>
    <row r="103" spans="1:10" s="276" customFormat="1" ht="24.75" thickBot="1" x14ac:dyDescent="0.6">
      <c r="A103" s="837">
        <v>96</v>
      </c>
      <c r="B103" s="851" t="s">
        <v>115</v>
      </c>
      <c r="C103" s="852" t="s">
        <v>222</v>
      </c>
      <c r="D103" s="998">
        <v>2419853</v>
      </c>
      <c r="E103" s="998">
        <v>532209.55000000005</v>
      </c>
      <c r="F103" s="998">
        <v>75698.960000000006</v>
      </c>
      <c r="G103" s="999">
        <f t="shared" si="4"/>
        <v>1811944.49</v>
      </c>
      <c r="H103" s="287">
        <f t="shared" si="5"/>
        <v>3.1282462199150118</v>
      </c>
      <c r="I103" s="287">
        <f t="shared" si="6"/>
        <v>25.121712351948652</v>
      </c>
      <c r="J103" s="677">
        <f t="shared" si="7"/>
        <v>607908.51</v>
      </c>
    </row>
    <row r="104" spans="1:10" s="272" customFormat="1" ht="24.75" thickBot="1" x14ac:dyDescent="0.6">
      <c r="A104" s="1160" t="s">
        <v>164</v>
      </c>
      <c r="B104" s="1161"/>
      <c r="C104" s="1161"/>
      <c r="D104" s="680">
        <f>SUM(D8:D103)</f>
        <v>216270500</v>
      </c>
      <c r="E104" s="1000">
        <f>SUM(E8:E103)</f>
        <v>11020747.960000001</v>
      </c>
      <c r="F104" s="681">
        <f>SUM(F8:F103)</f>
        <v>8016568.5899999999</v>
      </c>
      <c r="G104" s="680">
        <f>SUM(G8:G103)</f>
        <v>197233183.45000002</v>
      </c>
      <c r="H104" s="682">
        <f>F104*100/D104</f>
        <v>3.7067323513840305</v>
      </c>
      <c r="I104" s="682">
        <f t="shared" ref="I104" si="8">+J104*100/D104</f>
        <v>8.8025489144381694</v>
      </c>
      <c r="J104" s="677">
        <f t="shared" si="7"/>
        <v>19037316.550000001</v>
      </c>
    </row>
    <row r="105" spans="1:10" s="276" customFormat="1" ht="24.75" thickTop="1" x14ac:dyDescent="0.55000000000000004">
      <c r="A105" s="282" t="s">
        <v>165</v>
      </c>
      <c r="B105" s="850"/>
      <c r="C105" s="282" t="s">
        <v>849</v>
      </c>
      <c r="D105" s="277"/>
      <c r="E105" s="281"/>
      <c r="G105" s="282"/>
      <c r="H105" s="272"/>
      <c r="I105" s="272"/>
    </row>
    <row r="106" spans="1:10" s="276" customFormat="1" ht="24" hidden="1" x14ac:dyDescent="0.55000000000000004">
      <c r="A106" s="282"/>
      <c r="B106" s="278"/>
      <c r="C106" s="1159" t="s">
        <v>893</v>
      </c>
      <c r="D106" s="1159"/>
      <c r="E106" s="1159"/>
      <c r="F106" s="1159"/>
      <c r="G106" s="1159"/>
      <c r="H106" s="1159"/>
      <c r="I106" s="1159"/>
    </row>
    <row r="107" spans="1:10" s="276" customFormat="1" ht="24" hidden="1" x14ac:dyDescent="0.55000000000000004">
      <c r="B107" s="278"/>
      <c r="C107" s="279"/>
      <c r="D107" s="277"/>
      <c r="E107" s="281"/>
      <c r="G107" s="282"/>
      <c r="H107" s="272"/>
      <c r="I107" s="272"/>
    </row>
    <row r="108" spans="1:10" s="276" customFormat="1" ht="24" hidden="1" x14ac:dyDescent="0.55000000000000004">
      <c r="B108" s="278"/>
      <c r="C108" s="685" t="s">
        <v>807</v>
      </c>
      <c r="D108" s="677"/>
      <c r="E108" s="281"/>
      <c r="F108" s="677"/>
      <c r="G108" s="282"/>
      <c r="H108" s="272"/>
      <c r="I108" s="272"/>
    </row>
    <row r="109" spans="1:10" s="276" customFormat="1" ht="24" x14ac:dyDescent="0.55000000000000004">
      <c r="B109" s="278"/>
      <c r="C109" s="279"/>
      <c r="E109" s="281"/>
      <c r="F109" s="277"/>
      <c r="G109" s="282"/>
      <c r="H109" s="272"/>
      <c r="I109" s="272"/>
    </row>
    <row r="110" spans="1:10" s="276" customFormat="1" ht="24" x14ac:dyDescent="0.55000000000000004">
      <c r="B110" s="278"/>
      <c r="C110" s="279"/>
      <c r="E110" s="281"/>
      <c r="G110" s="282"/>
      <c r="H110" s="272"/>
      <c r="I110" s="272"/>
    </row>
    <row r="111" spans="1:10" s="276" customFormat="1" ht="24" x14ac:dyDescent="0.55000000000000004">
      <c r="B111" s="278"/>
      <c r="C111" s="279"/>
      <c r="E111" s="281"/>
      <c r="F111" s="277"/>
      <c r="G111" s="282"/>
      <c r="H111" s="272"/>
      <c r="I111" s="272"/>
    </row>
    <row r="112" spans="1:10" s="276" customFormat="1" ht="24" x14ac:dyDescent="0.55000000000000004">
      <c r="B112" s="278"/>
      <c r="C112" s="279"/>
      <c r="E112" s="281"/>
      <c r="G112" s="282"/>
      <c r="H112" s="272"/>
      <c r="I112" s="272"/>
    </row>
    <row r="113" spans="2:9" s="276" customFormat="1" ht="24" x14ac:dyDescent="0.55000000000000004">
      <c r="B113" s="278"/>
      <c r="C113" s="279"/>
      <c r="E113" s="281"/>
      <c r="G113" s="282"/>
      <c r="H113" s="272"/>
      <c r="I113" s="272"/>
    </row>
    <row r="114" spans="2:9" s="276" customFormat="1" ht="24" x14ac:dyDescent="0.55000000000000004">
      <c r="B114" s="278"/>
      <c r="C114" s="279"/>
      <c r="E114" s="281"/>
      <c r="G114" s="282"/>
      <c r="H114" s="272"/>
      <c r="I114" s="272"/>
    </row>
    <row r="127" spans="2:9" x14ac:dyDescent="0.65">
      <c r="D127" s="649"/>
      <c r="F127" s="649"/>
    </row>
    <row r="129" spans="1:6" hidden="1" x14ac:dyDescent="0.65">
      <c r="A129" s="646" t="s">
        <v>213</v>
      </c>
      <c r="D129" s="645"/>
      <c r="F129" s="645"/>
    </row>
    <row r="130" spans="1:6" x14ac:dyDescent="0.65">
      <c r="D130" s="645"/>
      <c r="F130" s="649"/>
    </row>
  </sheetData>
  <mergeCells count="9">
    <mergeCell ref="A1:I1"/>
    <mergeCell ref="A2:I2"/>
    <mergeCell ref="A4:I4"/>
    <mergeCell ref="A5:I5"/>
    <mergeCell ref="C106:I106"/>
    <mergeCell ref="A104:C104"/>
    <mergeCell ref="A3:H3"/>
    <mergeCell ref="A6:A7"/>
    <mergeCell ref="B6:C7"/>
  </mergeCells>
  <pageMargins left="0.39370078740157499" right="0.35433070866141703" top="0.66929133858267698" bottom="0.511811023622047" header="0.31496062992126" footer="0.23622047244094499"/>
  <pageSetup paperSize="9" scale="80" orientation="portrait" r:id="rId1"/>
  <headerFooter>
    <oddFooter>&amp;Lกลุ่มงานบัญชีและงบประมาณ&amp;Rหน้าที่ &amp;P จาก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13"/>
  <sheetViews>
    <sheetView zoomScaleNormal="100" workbookViewId="0">
      <selection activeCell="K90" sqref="K90"/>
    </sheetView>
  </sheetViews>
  <sheetFormatPr defaultRowHeight="27.75" x14ac:dyDescent="0.65"/>
  <cols>
    <col min="1" max="1" width="6.85546875" style="655" customWidth="1"/>
    <col min="2" max="2" width="4.7109375" style="659" customWidth="1"/>
    <col min="3" max="3" width="12.5703125" style="660" customWidth="1"/>
    <col min="4" max="4" width="17" style="658" customWidth="1"/>
    <col min="5" max="5" width="21" style="658" bestFit="1" customWidth="1"/>
    <col min="6" max="6" width="18.85546875" style="661" bestFit="1" customWidth="1"/>
    <col min="7" max="8" width="17" style="661" customWidth="1"/>
    <col min="9" max="9" width="18.85546875" style="662" bestFit="1" customWidth="1"/>
    <col min="10" max="10" width="16" style="650" bestFit="1" customWidth="1"/>
    <col min="11" max="11" width="11.7109375" style="650" customWidth="1"/>
    <col min="12" max="12" width="12.140625" style="655" hidden="1" customWidth="1"/>
    <col min="13" max="13" width="16.140625" style="655" hidden="1" customWidth="1"/>
    <col min="14" max="15" width="14.140625" style="655" hidden="1" customWidth="1"/>
    <col min="16" max="16384" width="9.140625" style="655"/>
  </cols>
  <sheetData>
    <row r="1" spans="1:15" s="650" customFormat="1" x14ac:dyDescent="0.65">
      <c r="A1" s="1153" t="s">
        <v>57</v>
      </c>
      <c r="B1" s="1153"/>
      <c r="C1" s="1153"/>
      <c r="D1" s="1153"/>
      <c r="E1" s="1153"/>
      <c r="F1" s="1153"/>
      <c r="G1" s="1153"/>
      <c r="H1" s="1153"/>
      <c r="I1" s="1153"/>
      <c r="J1" s="1153"/>
      <c r="K1" s="1153"/>
    </row>
    <row r="2" spans="1:15" s="650" customFormat="1" x14ac:dyDescent="0.65">
      <c r="A2" s="1154" t="str">
        <f>+'4. งบดำเนินงาน (GF)'!A2:H2</f>
        <v xml:space="preserve">สรุปสถานะการใช้จ่ายเงินงบประมาณประจำปีงบประมาณ พ.ศ. 2565 ในระบบ GFMIS     </v>
      </c>
      <c r="B2" s="1154"/>
      <c r="C2" s="1154"/>
      <c r="D2" s="1154"/>
      <c r="E2" s="1154"/>
      <c r="F2" s="1154"/>
      <c r="G2" s="1154"/>
      <c r="H2" s="1154"/>
      <c r="I2" s="1154"/>
      <c r="J2" s="1154"/>
      <c r="K2" s="1154"/>
    </row>
    <row r="3" spans="1:15" s="650" customFormat="1" hidden="1" x14ac:dyDescent="0.65">
      <c r="A3" s="1155"/>
      <c r="B3" s="1155"/>
      <c r="C3" s="1155"/>
      <c r="D3" s="1155"/>
      <c r="E3" s="1155"/>
      <c r="F3" s="1155"/>
      <c r="G3" s="1155"/>
      <c r="H3" s="1155"/>
      <c r="I3" s="1155"/>
      <c r="J3" s="1155"/>
    </row>
    <row r="4" spans="1:15" s="650" customFormat="1" x14ac:dyDescent="0.65">
      <c r="A4" s="1155" t="s">
        <v>299</v>
      </c>
      <c r="B4" s="1155"/>
      <c r="C4" s="1155"/>
      <c r="D4" s="1155"/>
      <c r="E4" s="1155"/>
      <c r="F4" s="1155"/>
      <c r="G4" s="1155"/>
      <c r="H4" s="1155"/>
      <c r="I4" s="1155"/>
      <c r="J4" s="1155"/>
      <c r="K4" s="1155"/>
    </row>
    <row r="5" spans="1:15" s="650" customFormat="1" x14ac:dyDescent="0.65">
      <c r="A5" s="1158" t="str">
        <f>+รายจ่ายจริง!A3:P3</f>
        <v>ตั้งแต่วันที่ 1  ตุลาคม 2564 ถึงวันที่ 31 ตุลาคม 2564</v>
      </c>
      <c r="B5" s="1158"/>
      <c r="C5" s="1158"/>
      <c r="D5" s="1158"/>
      <c r="E5" s="1158"/>
      <c r="F5" s="1158"/>
      <c r="G5" s="1158"/>
      <c r="H5" s="1158"/>
      <c r="I5" s="1158"/>
      <c r="J5" s="1158"/>
      <c r="K5" s="1158"/>
    </row>
    <row r="6" spans="1:15" s="650" customFormat="1" x14ac:dyDescent="0.65">
      <c r="A6" s="1157" t="s">
        <v>0</v>
      </c>
      <c r="B6" s="1157" t="s">
        <v>1</v>
      </c>
      <c r="C6" s="1157"/>
      <c r="D6" s="1173" t="s">
        <v>67</v>
      </c>
      <c r="E6" s="1173"/>
      <c r="F6" s="1173"/>
      <c r="G6" s="651" t="s">
        <v>109</v>
      </c>
      <c r="H6" s="642" t="s">
        <v>110</v>
      </c>
      <c r="I6" s="642" t="s">
        <v>60</v>
      </c>
      <c r="J6" s="652" t="s">
        <v>66</v>
      </c>
      <c r="K6" s="652" t="s">
        <v>66</v>
      </c>
    </row>
    <row r="7" spans="1:15" s="650" customFormat="1" x14ac:dyDescent="0.65">
      <c r="A7" s="1157"/>
      <c r="B7" s="1157"/>
      <c r="C7" s="1157"/>
      <c r="D7" s="157" t="s">
        <v>11</v>
      </c>
      <c r="E7" s="653" t="s">
        <v>167</v>
      </c>
      <c r="F7" s="653" t="s">
        <v>220</v>
      </c>
      <c r="G7" s="644" t="s">
        <v>2</v>
      </c>
      <c r="H7" s="644" t="s">
        <v>2</v>
      </c>
      <c r="I7" s="644" t="s">
        <v>2</v>
      </c>
      <c r="J7" s="654" t="s">
        <v>111</v>
      </c>
      <c r="K7" s="654" t="s">
        <v>787</v>
      </c>
    </row>
    <row r="8" spans="1:15" s="280" customFormat="1" ht="24" x14ac:dyDescent="0.55000000000000004">
      <c r="A8" s="273">
        <v>1</v>
      </c>
      <c r="B8" s="74" t="s">
        <v>112</v>
      </c>
      <c r="C8" s="274"/>
      <c r="D8" s="428">
        <v>2628500</v>
      </c>
      <c r="E8" s="428">
        <v>23865400</v>
      </c>
      <c r="F8" s="416">
        <f>SUM(D8:E8)</f>
        <v>26493900</v>
      </c>
      <c r="G8" s="285">
        <v>6235800</v>
      </c>
      <c r="H8" s="285">
        <v>0</v>
      </c>
      <c r="I8" s="288">
        <f>+F8-G8-H8</f>
        <v>20258100</v>
      </c>
      <c r="J8" s="691">
        <f>H8*100/F8</f>
        <v>0</v>
      </c>
      <c r="K8" s="691">
        <f>+L8*100/F8</f>
        <v>23.536738645499529</v>
      </c>
      <c r="L8" s="347">
        <f>+G8+H8</f>
        <v>6235800</v>
      </c>
      <c r="M8" s="347">
        <f>174236400-E104</f>
        <v>125141600</v>
      </c>
    </row>
    <row r="9" spans="1:15" s="280" customFormat="1" ht="24" x14ac:dyDescent="0.55000000000000004">
      <c r="A9" s="273">
        <v>2</v>
      </c>
      <c r="B9" s="74" t="s">
        <v>113</v>
      </c>
      <c r="C9" s="274" t="s">
        <v>114</v>
      </c>
      <c r="D9" s="428">
        <v>35400</v>
      </c>
      <c r="E9" s="428">
        <v>517000</v>
      </c>
      <c r="F9" s="416">
        <f t="shared" ref="F9:F72" si="0">SUM(D9:E9)</f>
        <v>552400</v>
      </c>
      <c r="G9" s="285">
        <v>8400</v>
      </c>
      <c r="H9" s="285"/>
      <c r="I9" s="288">
        <f t="shared" ref="I9:I72" si="1">+F9-G9-H9</f>
        <v>544000</v>
      </c>
      <c r="J9" s="691">
        <f t="shared" ref="J9:J72" si="2">H9*100/F9</f>
        <v>0</v>
      </c>
      <c r="K9" s="691">
        <f t="shared" ref="K9:K72" si="3">+L9*100/F9</f>
        <v>1.5206372194062274</v>
      </c>
      <c r="L9" s="280">
        <f t="shared" ref="L9:L72" si="4">+G9+H9</f>
        <v>8400</v>
      </c>
    </row>
    <row r="10" spans="1:15" s="280" customFormat="1" ht="24" x14ac:dyDescent="0.55000000000000004">
      <c r="A10" s="273">
        <v>3</v>
      </c>
      <c r="B10" s="74" t="s">
        <v>115</v>
      </c>
      <c r="C10" s="274" t="s">
        <v>18</v>
      </c>
      <c r="D10" s="428">
        <v>473600</v>
      </c>
      <c r="E10" s="428">
        <v>0</v>
      </c>
      <c r="F10" s="416">
        <f t="shared" si="0"/>
        <v>473600</v>
      </c>
      <c r="G10" s="285"/>
      <c r="H10" s="285">
        <v>51698.5</v>
      </c>
      <c r="I10" s="288">
        <f t="shared" si="1"/>
        <v>421901.5</v>
      </c>
      <c r="J10" s="691">
        <f t="shared" si="2"/>
        <v>10.916068412162161</v>
      </c>
      <c r="K10" s="691">
        <f t="shared" si="3"/>
        <v>10.916068412162161</v>
      </c>
      <c r="L10" s="280">
        <f t="shared" si="4"/>
        <v>51698.5</v>
      </c>
    </row>
    <row r="11" spans="1:15" s="280" customFormat="1" ht="24" x14ac:dyDescent="0.55000000000000004">
      <c r="A11" s="273">
        <v>4</v>
      </c>
      <c r="B11" s="74" t="s">
        <v>115</v>
      </c>
      <c r="C11" s="274" t="s">
        <v>76</v>
      </c>
      <c r="D11" s="428">
        <v>246100</v>
      </c>
      <c r="E11" s="428">
        <v>0</v>
      </c>
      <c r="F11" s="416">
        <f t="shared" si="0"/>
        <v>246100</v>
      </c>
      <c r="G11" s="285"/>
      <c r="H11" s="285"/>
      <c r="I11" s="288">
        <f t="shared" si="1"/>
        <v>246100</v>
      </c>
      <c r="J11" s="691">
        <f t="shared" si="2"/>
        <v>0</v>
      </c>
      <c r="K11" s="691">
        <f t="shared" si="3"/>
        <v>0</v>
      </c>
      <c r="L11" s="280">
        <f t="shared" si="4"/>
        <v>0</v>
      </c>
    </row>
    <row r="12" spans="1:15" s="280" customFormat="1" ht="24" x14ac:dyDescent="0.55000000000000004">
      <c r="A12" s="273">
        <v>5</v>
      </c>
      <c r="B12" s="74" t="s">
        <v>115</v>
      </c>
      <c r="C12" s="274" t="s">
        <v>116</v>
      </c>
      <c r="D12" s="428">
        <v>147600</v>
      </c>
      <c r="E12" s="428">
        <v>0</v>
      </c>
      <c r="F12" s="416">
        <f t="shared" si="0"/>
        <v>147600</v>
      </c>
      <c r="G12" s="285"/>
      <c r="H12" s="285"/>
      <c r="I12" s="288">
        <f t="shared" si="1"/>
        <v>147600</v>
      </c>
      <c r="J12" s="691">
        <f t="shared" si="2"/>
        <v>0</v>
      </c>
      <c r="K12" s="691">
        <f t="shared" si="3"/>
        <v>0</v>
      </c>
      <c r="L12" s="280">
        <f t="shared" si="4"/>
        <v>0</v>
      </c>
    </row>
    <row r="13" spans="1:15" s="280" customFormat="1" ht="24" x14ac:dyDescent="0.55000000000000004">
      <c r="A13" s="273">
        <v>6</v>
      </c>
      <c r="B13" s="74" t="s">
        <v>115</v>
      </c>
      <c r="C13" s="274" t="s">
        <v>73</v>
      </c>
      <c r="D13" s="428">
        <v>278700</v>
      </c>
      <c r="E13" s="428">
        <v>0</v>
      </c>
      <c r="F13" s="416">
        <f t="shared" si="0"/>
        <v>278700</v>
      </c>
      <c r="G13" s="285"/>
      <c r="H13" s="285"/>
      <c r="I13" s="288">
        <f t="shared" si="1"/>
        <v>278700</v>
      </c>
      <c r="J13" s="691">
        <f t="shared" si="2"/>
        <v>0</v>
      </c>
      <c r="K13" s="691">
        <f t="shared" si="3"/>
        <v>0</v>
      </c>
      <c r="L13" s="280">
        <f t="shared" si="4"/>
        <v>0</v>
      </c>
    </row>
    <row r="14" spans="1:15" s="280" customFormat="1" ht="24" x14ac:dyDescent="0.55000000000000004">
      <c r="A14" s="273">
        <v>7</v>
      </c>
      <c r="B14" s="74" t="s">
        <v>115</v>
      </c>
      <c r="C14" s="274" t="s">
        <v>106</v>
      </c>
      <c r="D14" s="428">
        <v>1237100</v>
      </c>
      <c r="E14" s="428">
        <v>1241100</v>
      </c>
      <c r="F14" s="416">
        <f t="shared" si="0"/>
        <v>2478200</v>
      </c>
      <c r="G14" s="285"/>
      <c r="H14" s="285"/>
      <c r="I14" s="288">
        <f t="shared" si="1"/>
        <v>2478200</v>
      </c>
      <c r="J14" s="691">
        <f t="shared" si="2"/>
        <v>0</v>
      </c>
      <c r="K14" s="691">
        <f t="shared" si="3"/>
        <v>0</v>
      </c>
      <c r="L14" s="280">
        <f t="shared" si="4"/>
        <v>0</v>
      </c>
      <c r="N14" s="666">
        <f>+D14+D103</f>
        <v>1422400</v>
      </c>
      <c r="O14" s="666">
        <f>+D14+D103</f>
        <v>1422400</v>
      </c>
    </row>
    <row r="15" spans="1:15" s="280" customFormat="1" ht="24" x14ac:dyDescent="0.55000000000000004">
      <c r="A15" s="273">
        <v>8</v>
      </c>
      <c r="B15" s="74" t="s">
        <v>115</v>
      </c>
      <c r="C15" s="274" t="s">
        <v>117</v>
      </c>
      <c r="D15" s="428">
        <v>535600</v>
      </c>
      <c r="E15" s="428">
        <v>0</v>
      </c>
      <c r="F15" s="416">
        <f t="shared" si="0"/>
        <v>535600</v>
      </c>
      <c r="G15" s="285">
        <v>47700</v>
      </c>
      <c r="H15" s="285"/>
      <c r="I15" s="288">
        <f t="shared" si="1"/>
        <v>487900</v>
      </c>
      <c r="J15" s="691">
        <f t="shared" si="2"/>
        <v>0</v>
      </c>
      <c r="K15" s="691">
        <f t="shared" si="3"/>
        <v>8.9058999253174012</v>
      </c>
      <c r="L15" s="280">
        <f t="shared" si="4"/>
        <v>47700</v>
      </c>
      <c r="N15" s="666">
        <f>216050-I14</f>
        <v>-2262150</v>
      </c>
    </row>
    <row r="16" spans="1:15" s="280" customFormat="1" ht="24" x14ac:dyDescent="0.55000000000000004">
      <c r="A16" s="273">
        <v>9</v>
      </c>
      <c r="B16" s="74" t="s">
        <v>115</v>
      </c>
      <c r="C16" s="274" t="s">
        <v>118</v>
      </c>
      <c r="D16" s="428">
        <v>145700</v>
      </c>
      <c r="E16" s="428">
        <v>0</v>
      </c>
      <c r="F16" s="416">
        <f t="shared" si="0"/>
        <v>145700</v>
      </c>
      <c r="G16" s="285">
        <v>5500</v>
      </c>
      <c r="H16" s="285"/>
      <c r="I16" s="288">
        <f t="shared" si="1"/>
        <v>140200</v>
      </c>
      <c r="J16" s="691">
        <f t="shared" si="2"/>
        <v>0</v>
      </c>
      <c r="K16" s="691">
        <f t="shared" si="3"/>
        <v>3.7748798901853124</v>
      </c>
      <c r="L16" s="280">
        <f t="shared" si="4"/>
        <v>5500</v>
      </c>
    </row>
    <row r="17" spans="1:12" s="280" customFormat="1" ht="24" x14ac:dyDescent="0.55000000000000004">
      <c r="A17" s="273">
        <v>10</v>
      </c>
      <c r="B17" s="74" t="s">
        <v>115</v>
      </c>
      <c r="C17" s="274" t="s">
        <v>119</v>
      </c>
      <c r="D17" s="428">
        <v>1507300</v>
      </c>
      <c r="E17" s="428">
        <v>0</v>
      </c>
      <c r="F17" s="416">
        <f t="shared" si="0"/>
        <v>1507300</v>
      </c>
      <c r="G17" s="285"/>
      <c r="H17" s="285">
        <v>160000</v>
      </c>
      <c r="I17" s="288">
        <f t="shared" si="1"/>
        <v>1347300</v>
      </c>
      <c r="J17" s="691">
        <f t="shared" si="2"/>
        <v>10.615006966098321</v>
      </c>
      <c r="K17" s="691">
        <f t="shared" si="3"/>
        <v>10.615006966098321</v>
      </c>
      <c r="L17" s="280">
        <f t="shared" si="4"/>
        <v>160000</v>
      </c>
    </row>
    <row r="18" spans="1:12" s="280" customFormat="1" ht="24" x14ac:dyDescent="0.55000000000000004">
      <c r="A18" s="273">
        <v>11</v>
      </c>
      <c r="B18" s="74" t="s">
        <v>115</v>
      </c>
      <c r="C18" s="274" t="s">
        <v>120</v>
      </c>
      <c r="D18" s="428">
        <v>972100</v>
      </c>
      <c r="E18" s="428">
        <v>0</v>
      </c>
      <c r="F18" s="416">
        <f t="shared" si="0"/>
        <v>972100</v>
      </c>
      <c r="G18" s="285"/>
      <c r="H18" s="285"/>
      <c r="I18" s="288">
        <f t="shared" si="1"/>
        <v>972100</v>
      </c>
      <c r="J18" s="691">
        <f t="shared" si="2"/>
        <v>0</v>
      </c>
      <c r="K18" s="691">
        <f t="shared" si="3"/>
        <v>0</v>
      </c>
      <c r="L18" s="280">
        <f t="shared" si="4"/>
        <v>0</v>
      </c>
    </row>
    <row r="19" spans="1:12" s="280" customFormat="1" ht="24" x14ac:dyDescent="0.55000000000000004">
      <c r="A19" s="273">
        <v>12</v>
      </c>
      <c r="B19" s="74" t="s">
        <v>115</v>
      </c>
      <c r="C19" s="274" t="s">
        <v>121</v>
      </c>
      <c r="D19" s="428">
        <v>894000</v>
      </c>
      <c r="E19" s="428">
        <v>0</v>
      </c>
      <c r="F19" s="416">
        <f t="shared" si="0"/>
        <v>894000</v>
      </c>
      <c r="G19" s="285">
        <v>23000</v>
      </c>
      <c r="H19" s="285">
        <v>170000</v>
      </c>
      <c r="I19" s="288">
        <f t="shared" si="1"/>
        <v>701000</v>
      </c>
      <c r="J19" s="691">
        <f t="shared" si="2"/>
        <v>19.01565995525727</v>
      </c>
      <c r="K19" s="691">
        <f t="shared" si="3"/>
        <v>21.588366890380314</v>
      </c>
      <c r="L19" s="280">
        <f t="shared" si="4"/>
        <v>193000</v>
      </c>
    </row>
    <row r="20" spans="1:12" s="280" customFormat="1" ht="24" x14ac:dyDescent="0.55000000000000004">
      <c r="A20" s="273">
        <v>13</v>
      </c>
      <c r="B20" s="74" t="s">
        <v>115</v>
      </c>
      <c r="C20" s="274" t="s">
        <v>122</v>
      </c>
      <c r="D20" s="428">
        <v>244400</v>
      </c>
      <c r="E20" s="428">
        <v>0</v>
      </c>
      <c r="F20" s="416">
        <f t="shared" si="0"/>
        <v>244400</v>
      </c>
      <c r="G20" s="285"/>
      <c r="H20" s="285"/>
      <c r="I20" s="288">
        <f t="shared" si="1"/>
        <v>244400</v>
      </c>
      <c r="J20" s="691">
        <f t="shared" si="2"/>
        <v>0</v>
      </c>
      <c r="K20" s="691">
        <f t="shared" si="3"/>
        <v>0</v>
      </c>
      <c r="L20" s="280">
        <f t="shared" si="4"/>
        <v>0</v>
      </c>
    </row>
    <row r="21" spans="1:12" s="280" customFormat="1" ht="24" x14ac:dyDescent="0.55000000000000004">
      <c r="A21" s="273">
        <v>14</v>
      </c>
      <c r="B21" s="74" t="s">
        <v>115</v>
      </c>
      <c r="C21" s="274" t="s">
        <v>123</v>
      </c>
      <c r="D21" s="428">
        <v>643700</v>
      </c>
      <c r="E21" s="428">
        <v>0</v>
      </c>
      <c r="F21" s="416">
        <f t="shared" si="0"/>
        <v>643700</v>
      </c>
      <c r="G21" s="285">
        <v>109500</v>
      </c>
      <c r="H21" s="285">
        <v>218500</v>
      </c>
      <c r="I21" s="288">
        <f t="shared" si="1"/>
        <v>315700</v>
      </c>
      <c r="J21" s="691">
        <f t="shared" si="2"/>
        <v>33.94438402982756</v>
      </c>
      <c r="K21" s="691">
        <f t="shared" si="3"/>
        <v>50.955414012738856</v>
      </c>
      <c r="L21" s="280">
        <f t="shared" si="4"/>
        <v>328000</v>
      </c>
    </row>
    <row r="22" spans="1:12" s="280" customFormat="1" ht="24" x14ac:dyDescent="0.55000000000000004">
      <c r="A22" s="273">
        <v>15</v>
      </c>
      <c r="B22" s="74" t="s">
        <v>115</v>
      </c>
      <c r="C22" s="274" t="s">
        <v>124</v>
      </c>
      <c r="D22" s="428">
        <v>572800</v>
      </c>
      <c r="E22" s="428">
        <v>0</v>
      </c>
      <c r="F22" s="416">
        <f t="shared" si="0"/>
        <v>572800</v>
      </c>
      <c r="G22" s="285">
        <v>85350</v>
      </c>
      <c r="H22" s="285">
        <v>74300</v>
      </c>
      <c r="I22" s="288">
        <f t="shared" si="1"/>
        <v>413150</v>
      </c>
      <c r="J22" s="691">
        <f t="shared" si="2"/>
        <v>12.971368715083798</v>
      </c>
      <c r="K22" s="691">
        <f t="shared" si="3"/>
        <v>27.871857541899441</v>
      </c>
      <c r="L22" s="280">
        <f t="shared" si="4"/>
        <v>159650</v>
      </c>
    </row>
    <row r="23" spans="1:12" s="280" customFormat="1" ht="24" x14ac:dyDescent="0.55000000000000004">
      <c r="A23" s="273">
        <v>16</v>
      </c>
      <c r="B23" s="74" t="s">
        <v>115</v>
      </c>
      <c r="C23" s="274" t="s">
        <v>125</v>
      </c>
      <c r="D23" s="428">
        <v>95400</v>
      </c>
      <c r="E23" s="428">
        <v>0</v>
      </c>
      <c r="F23" s="416">
        <f t="shared" si="0"/>
        <v>95400</v>
      </c>
      <c r="G23" s="285">
        <v>95400</v>
      </c>
      <c r="H23" s="285"/>
      <c r="I23" s="288">
        <f t="shared" si="1"/>
        <v>0</v>
      </c>
      <c r="J23" s="691">
        <f t="shared" si="2"/>
        <v>0</v>
      </c>
      <c r="K23" s="691">
        <f t="shared" si="3"/>
        <v>100</v>
      </c>
      <c r="L23" s="280">
        <f t="shared" si="4"/>
        <v>95400</v>
      </c>
    </row>
    <row r="24" spans="1:12" s="280" customFormat="1" ht="24" x14ac:dyDescent="0.55000000000000004">
      <c r="A24" s="273">
        <v>17</v>
      </c>
      <c r="B24" s="74" t="s">
        <v>113</v>
      </c>
      <c r="C24" s="274" t="s">
        <v>126</v>
      </c>
      <c r="D24" s="428">
        <v>188400</v>
      </c>
      <c r="E24" s="428">
        <v>0</v>
      </c>
      <c r="F24" s="416">
        <f t="shared" si="0"/>
        <v>188400</v>
      </c>
      <c r="G24" s="285"/>
      <c r="H24" s="285"/>
      <c r="I24" s="288">
        <f t="shared" si="1"/>
        <v>188400</v>
      </c>
      <c r="J24" s="691">
        <f t="shared" si="2"/>
        <v>0</v>
      </c>
      <c r="K24" s="691">
        <f t="shared" si="3"/>
        <v>0</v>
      </c>
      <c r="L24" s="280">
        <f t="shared" si="4"/>
        <v>0</v>
      </c>
    </row>
    <row r="25" spans="1:12" s="280" customFormat="1" ht="24" x14ac:dyDescent="0.55000000000000004">
      <c r="A25" s="273">
        <v>18</v>
      </c>
      <c r="B25" s="74" t="s">
        <v>113</v>
      </c>
      <c r="C25" s="274" t="s">
        <v>127</v>
      </c>
      <c r="D25" s="428">
        <v>0</v>
      </c>
      <c r="E25" s="428">
        <v>275100</v>
      </c>
      <c r="F25" s="416">
        <f t="shared" si="0"/>
        <v>275100</v>
      </c>
      <c r="G25" s="285">
        <v>0</v>
      </c>
      <c r="H25" s="285">
        <v>0</v>
      </c>
      <c r="I25" s="288">
        <f t="shared" si="1"/>
        <v>275100</v>
      </c>
      <c r="J25" s="691">
        <f t="shared" si="2"/>
        <v>0</v>
      </c>
      <c r="K25" s="691">
        <f t="shared" si="3"/>
        <v>0</v>
      </c>
      <c r="L25" s="280">
        <f t="shared" si="4"/>
        <v>0</v>
      </c>
    </row>
    <row r="26" spans="1:12" s="280" customFormat="1" ht="24" x14ac:dyDescent="0.55000000000000004">
      <c r="A26" s="273">
        <v>19</v>
      </c>
      <c r="B26" s="74" t="s">
        <v>113</v>
      </c>
      <c r="C26" s="274" t="s">
        <v>19</v>
      </c>
      <c r="D26" s="428">
        <v>51200</v>
      </c>
      <c r="E26" s="428">
        <v>0</v>
      </c>
      <c r="F26" s="416">
        <f t="shared" si="0"/>
        <v>51200</v>
      </c>
      <c r="G26" s="285"/>
      <c r="H26" s="285">
        <v>34950</v>
      </c>
      <c r="I26" s="288">
        <f t="shared" si="1"/>
        <v>16250</v>
      </c>
      <c r="J26" s="691">
        <f t="shared" si="2"/>
        <v>68.26171875</v>
      </c>
      <c r="K26" s="691">
        <f t="shared" si="3"/>
        <v>68.26171875</v>
      </c>
      <c r="L26" s="280">
        <f t="shared" si="4"/>
        <v>34950</v>
      </c>
    </row>
    <row r="27" spans="1:12" s="280" customFormat="1" ht="24" x14ac:dyDescent="0.55000000000000004">
      <c r="A27" s="273">
        <v>20</v>
      </c>
      <c r="B27" s="74" t="s">
        <v>113</v>
      </c>
      <c r="C27" s="274" t="s">
        <v>20</v>
      </c>
      <c r="D27" s="428">
        <v>138100</v>
      </c>
      <c r="E27" s="428">
        <v>0</v>
      </c>
      <c r="F27" s="416">
        <f t="shared" si="0"/>
        <v>138100</v>
      </c>
      <c r="G27" s="285">
        <v>35600</v>
      </c>
      <c r="H27" s="285"/>
      <c r="I27" s="288">
        <f t="shared" si="1"/>
        <v>102500</v>
      </c>
      <c r="J27" s="691">
        <f t="shared" si="2"/>
        <v>0</v>
      </c>
      <c r="K27" s="691">
        <f t="shared" si="3"/>
        <v>25.778421433743663</v>
      </c>
      <c r="L27" s="280">
        <f t="shared" si="4"/>
        <v>35600</v>
      </c>
    </row>
    <row r="28" spans="1:12" s="280" customFormat="1" ht="24" x14ac:dyDescent="0.55000000000000004">
      <c r="A28" s="273">
        <v>21</v>
      </c>
      <c r="B28" s="74" t="s">
        <v>113</v>
      </c>
      <c r="C28" s="274" t="s">
        <v>128</v>
      </c>
      <c r="D28" s="428">
        <v>12900</v>
      </c>
      <c r="E28" s="428">
        <v>0</v>
      </c>
      <c r="F28" s="416">
        <f t="shared" si="0"/>
        <v>12900</v>
      </c>
      <c r="G28" s="285"/>
      <c r="H28" s="285"/>
      <c r="I28" s="288">
        <f t="shared" si="1"/>
        <v>12900</v>
      </c>
      <c r="J28" s="691">
        <f t="shared" si="2"/>
        <v>0</v>
      </c>
      <c r="K28" s="691">
        <f t="shared" si="3"/>
        <v>0</v>
      </c>
      <c r="L28" s="280">
        <f t="shared" si="4"/>
        <v>0</v>
      </c>
    </row>
    <row r="29" spans="1:12" s="280" customFormat="1" ht="24" x14ac:dyDescent="0.55000000000000004">
      <c r="A29" s="273">
        <v>22</v>
      </c>
      <c r="B29" s="74" t="s">
        <v>113</v>
      </c>
      <c r="C29" s="274" t="s">
        <v>129</v>
      </c>
      <c r="D29" s="428">
        <v>82500</v>
      </c>
      <c r="E29" s="428">
        <v>0</v>
      </c>
      <c r="F29" s="416">
        <f t="shared" si="0"/>
        <v>82500</v>
      </c>
      <c r="G29" s="285"/>
      <c r="H29" s="285"/>
      <c r="I29" s="288">
        <f t="shared" si="1"/>
        <v>82500</v>
      </c>
      <c r="J29" s="691">
        <f t="shared" si="2"/>
        <v>0</v>
      </c>
      <c r="K29" s="691">
        <f t="shared" si="3"/>
        <v>0</v>
      </c>
      <c r="L29" s="280">
        <f t="shared" si="4"/>
        <v>0</v>
      </c>
    </row>
    <row r="30" spans="1:12" s="280" customFormat="1" ht="24" x14ac:dyDescent="0.55000000000000004">
      <c r="A30" s="273">
        <v>23</v>
      </c>
      <c r="B30" s="74" t="s">
        <v>113</v>
      </c>
      <c r="C30" s="274" t="s">
        <v>130</v>
      </c>
      <c r="D30" s="428">
        <v>189900</v>
      </c>
      <c r="E30" s="428">
        <v>252900</v>
      </c>
      <c r="F30" s="416">
        <f t="shared" si="0"/>
        <v>442800</v>
      </c>
      <c r="G30" s="285">
        <v>177900</v>
      </c>
      <c r="H30" s="285"/>
      <c r="I30" s="288">
        <f t="shared" si="1"/>
        <v>264900</v>
      </c>
      <c r="J30" s="691">
        <f t="shared" si="2"/>
        <v>0</v>
      </c>
      <c r="K30" s="691">
        <f t="shared" si="3"/>
        <v>40.176151761517616</v>
      </c>
      <c r="L30" s="280">
        <f t="shared" si="4"/>
        <v>177900</v>
      </c>
    </row>
    <row r="31" spans="1:12" s="280" customFormat="1" ht="24" x14ac:dyDescent="0.55000000000000004">
      <c r="A31" s="273">
        <v>24</v>
      </c>
      <c r="B31" s="74" t="s">
        <v>113</v>
      </c>
      <c r="C31" s="274" t="s">
        <v>21</v>
      </c>
      <c r="D31" s="428">
        <v>369500</v>
      </c>
      <c r="E31" s="428">
        <v>0</v>
      </c>
      <c r="F31" s="416">
        <f t="shared" si="0"/>
        <v>369500</v>
      </c>
      <c r="G31" s="285">
        <v>82600</v>
      </c>
      <c r="H31" s="285"/>
      <c r="I31" s="288">
        <f t="shared" si="1"/>
        <v>286900</v>
      </c>
      <c r="J31" s="691">
        <f t="shared" si="2"/>
        <v>0</v>
      </c>
      <c r="K31" s="691">
        <f t="shared" si="3"/>
        <v>22.354533152909337</v>
      </c>
      <c r="L31" s="280">
        <f t="shared" si="4"/>
        <v>82600</v>
      </c>
    </row>
    <row r="32" spans="1:12" s="280" customFormat="1" ht="24" x14ac:dyDescent="0.55000000000000004">
      <c r="A32" s="273">
        <v>25</v>
      </c>
      <c r="B32" s="74" t="s">
        <v>113</v>
      </c>
      <c r="C32" s="274" t="s">
        <v>22</v>
      </c>
      <c r="D32" s="428">
        <v>29800</v>
      </c>
      <c r="E32" s="428">
        <v>0</v>
      </c>
      <c r="F32" s="416">
        <f t="shared" si="0"/>
        <v>29800</v>
      </c>
      <c r="G32" s="285"/>
      <c r="H32" s="285">
        <v>13990</v>
      </c>
      <c r="I32" s="288">
        <f t="shared" si="1"/>
        <v>15810</v>
      </c>
      <c r="J32" s="691">
        <f t="shared" si="2"/>
        <v>46.946308724832214</v>
      </c>
      <c r="K32" s="691">
        <f t="shared" si="3"/>
        <v>46.946308724832214</v>
      </c>
      <c r="L32" s="280">
        <f t="shared" si="4"/>
        <v>13990</v>
      </c>
    </row>
    <row r="33" spans="1:12" s="280" customFormat="1" ht="24" x14ac:dyDescent="0.55000000000000004">
      <c r="A33" s="273">
        <v>26</v>
      </c>
      <c r="B33" s="74" t="s">
        <v>113</v>
      </c>
      <c r="C33" s="274" t="s">
        <v>131</v>
      </c>
      <c r="D33" s="428">
        <v>174800</v>
      </c>
      <c r="E33" s="428">
        <v>0</v>
      </c>
      <c r="F33" s="416">
        <f t="shared" si="0"/>
        <v>174800</v>
      </c>
      <c r="G33" s="285"/>
      <c r="H33" s="285"/>
      <c r="I33" s="288">
        <f t="shared" si="1"/>
        <v>174800</v>
      </c>
      <c r="J33" s="691">
        <f t="shared" si="2"/>
        <v>0</v>
      </c>
      <c r="K33" s="691">
        <f t="shared" si="3"/>
        <v>0</v>
      </c>
      <c r="L33" s="280">
        <f t="shared" si="4"/>
        <v>0</v>
      </c>
    </row>
    <row r="34" spans="1:12" s="280" customFormat="1" ht="24" x14ac:dyDescent="0.55000000000000004">
      <c r="A34" s="273">
        <v>27</v>
      </c>
      <c r="B34" s="74" t="s">
        <v>113</v>
      </c>
      <c r="C34" s="274" t="s">
        <v>132</v>
      </c>
      <c r="D34" s="428">
        <v>0</v>
      </c>
      <c r="E34" s="428">
        <v>0</v>
      </c>
      <c r="F34" s="416">
        <f t="shared" si="0"/>
        <v>0</v>
      </c>
      <c r="G34" s="285">
        <v>0</v>
      </c>
      <c r="H34" s="285">
        <v>0</v>
      </c>
      <c r="I34" s="288">
        <f t="shared" si="1"/>
        <v>0</v>
      </c>
      <c r="J34" s="691">
        <v>0</v>
      </c>
      <c r="K34" s="691">
        <v>0</v>
      </c>
      <c r="L34" s="280">
        <f t="shared" si="4"/>
        <v>0</v>
      </c>
    </row>
    <row r="35" spans="1:12" s="280" customFormat="1" ht="24" x14ac:dyDescent="0.55000000000000004">
      <c r="A35" s="273">
        <v>28</v>
      </c>
      <c r="B35" s="74" t="s">
        <v>113</v>
      </c>
      <c r="C35" s="274" t="s">
        <v>23</v>
      </c>
      <c r="D35" s="428">
        <v>319500</v>
      </c>
      <c r="E35" s="428">
        <v>0</v>
      </c>
      <c r="F35" s="416">
        <f t="shared" si="0"/>
        <v>319500</v>
      </c>
      <c r="G35" s="285">
        <v>0</v>
      </c>
      <c r="H35" s="285">
        <v>0</v>
      </c>
      <c r="I35" s="288">
        <f t="shared" si="1"/>
        <v>319500</v>
      </c>
      <c r="J35" s="691">
        <f t="shared" si="2"/>
        <v>0</v>
      </c>
      <c r="K35" s="691">
        <f t="shared" si="3"/>
        <v>0</v>
      </c>
      <c r="L35" s="280">
        <f t="shared" si="4"/>
        <v>0</v>
      </c>
    </row>
    <row r="36" spans="1:12" s="280" customFormat="1" ht="24" x14ac:dyDescent="0.55000000000000004">
      <c r="A36" s="273">
        <v>29</v>
      </c>
      <c r="B36" s="74" t="s">
        <v>113</v>
      </c>
      <c r="C36" s="274" t="s">
        <v>24</v>
      </c>
      <c r="D36" s="428">
        <v>102600</v>
      </c>
      <c r="E36" s="428">
        <v>5173300</v>
      </c>
      <c r="F36" s="416">
        <f t="shared" si="0"/>
        <v>5275900</v>
      </c>
      <c r="G36" s="285">
        <v>0</v>
      </c>
      <c r="H36" s="285">
        <v>0</v>
      </c>
      <c r="I36" s="288">
        <f t="shared" si="1"/>
        <v>5275900</v>
      </c>
      <c r="J36" s="691">
        <f t="shared" si="2"/>
        <v>0</v>
      </c>
      <c r="K36" s="691">
        <f t="shared" si="3"/>
        <v>0</v>
      </c>
      <c r="L36" s="280">
        <f t="shared" si="4"/>
        <v>0</v>
      </c>
    </row>
    <row r="37" spans="1:12" s="280" customFormat="1" ht="24" x14ac:dyDescent="0.55000000000000004">
      <c r="A37" s="273">
        <v>30</v>
      </c>
      <c r="B37" s="74" t="s">
        <v>113</v>
      </c>
      <c r="C37" s="274" t="s">
        <v>25</v>
      </c>
      <c r="D37" s="428">
        <v>0</v>
      </c>
      <c r="E37" s="428">
        <v>0</v>
      </c>
      <c r="F37" s="416">
        <f t="shared" si="0"/>
        <v>0</v>
      </c>
      <c r="G37" s="285">
        <v>0</v>
      </c>
      <c r="H37" s="285">
        <v>0</v>
      </c>
      <c r="I37" s="288">
        <f t="shared" si="1"/>
        <v>0</v>
      </c>
      <c r="J37" s="691">
        <v>0</v>
      </c>
      <c r="K37" s="691">
        <v>0</v>
      </c>
      <c r="L37" s="280">
        <f t="shared" si="4"/>
        <v>0</v>
      </c>
    </row>
    <row r="38" spans="1:12" s="280" customFormat="1" ht="24" x14ac:dyDescent="0.55000000000000004">
      <c r="A38" s="273">
        <v>31</v>
      </c>
      <c r="B38" s="74" t="s">
        <v>113</v>
      </c>
      <c r="C38" s="274" t="s">
        <v>181</v>
      </c>
      <c r="D38" s="428">
        <v>0</v>
      </c>
      <c r="E38" s="428">
        <v>0</v>
      </c>
      <c r="F38" s="416">
        <f t="shared" si="0"/>
        <v>0</v>
      </c>
      <c r="G38" s="285">
        <v>0</v>
      </c>
      <c r="H38" s="285">
        <v>0</v>
      </c>
      <c r="I38" s="288">
        <f t="shared" si="1"/>
        <v>0</v>
      </c>
      <c r="J38" s="691">
        <v>0</v>
      </c>
      <c r="K38" s="691">
        <v>0</v>
      </c>
      <c r="L38" s="280">
        <f t="shared" si="4"/>
        <v>0</v>
      </c>
    </row>
    <row r="39" spans="1:12" s="280" customFormat="1" ht="24" x14ac:dyDescent="0.55000000000000004">
      <c r="A39" s="273">
        <v>32</v>
      </c>
      <c r="B39" s="74" t="s">
        <v>113</v>
      </c>
      <c r="C39" s="274" t="s">
        <v>26</v>
      </c>
      <c r="D39" s="428">
        <v>215900</v>
      </c>
      <c r="E39" s="428">
        <v>4032000</v>
      </c>
      <c r="F39" s="416">
        <f t="shared" si="0"/>
        <v>4247900</v>
      </c>
      <c r="G39" s="285">
        <v>163400</v>
      </c>
      <c r="H39" s="285">
        <v>0</v>
      </c>
      <c r="I39" s="288">
        <f t="shared" si="1"/>
        <v>4084500</v>
      </c>
      <c r="J39" s="691">
        <f t="shared" si="2"/>
        <v>0</v>
      </c>
      <c r="K39" s="691">
        <f t="shared" si="3"/>
        <v>3.8466065585348055</v>
      </c>
      <c r="L39" s="280">
        <f t="shared" si="4"/>
        <v>163400</v>
      </c>
    </row>
    <row r="40" spans="1:12" s="280" customFormat="1" ht="24" x14ac:dyDescent="0.55000000000000004">
      <c r="A40" s="273">
        <v>33</v>
      </c>
      <c r="B40" s="74" t="s">
        <v>113</v>
      </c>
      <c r="C40" s="274" t="s">
        <v>27</v>
      </c>
      <c r="D40" s="428">
        <v>0</v>
      </c>
      <c r="E40" s="428">
        <v>0</v>
      </c>
      <c r="F40" s="416">
        <f t="shared" si="0"/>
        <v>0</v>
      </c>
      <c r="G40" s="285">
        <v>0</v>
      </c>
      <c r="H40" s="285">
        <v>0</v>
      </c>
      <c r="I40" s="288">
        <f t="shared" si="1"/>
        <v>0</v>
      </c>
      <c r="J40" s="691">
        <v>0</v>
      </c>
      <c r="K40" s="691">
        <v>0</v>
      </c>
      <c r="L40" s="280">
        <f t="shared" si="4"/>
        <v>0</v>
      </c>
    </row>
    <row r="41" spans="1:12" s="280" customFormat="1" ht="24" x14ac:dyDescent="0.55000000000000004">
      <c r="A41" s="273">
        <v>34</v>
      </c>
      <c r="B41" s="74" t="s">
        <v>113</v>
      </c>
      <c r="C41" s="274" t="s">
        <v>28</v>
      </c>
      <c r="D41" s="428">
        <v>69900</v>
      </c>
      <c r="E41" s="428">
        <v>0</v>
      </c>
      <c r="F41" s="416">
        <f t="shared" si="0"/>
        <v>69900</v>
      </c>
      <c r="G41" s="285">
        <v>69900</v>
      </c>
      <c r="H41" s="285">
        <v>0</v>
      </c>
      <c r="I41" s="288">
        <f t="shared" si="1"/>
        <v>0</v>
      </c>
      <c r="J41" s="691">
        <f t="shared" si="2"/>
        <v>0</v>
      </c>
      <c r="K41" s="691">
        <f t="shared" si="3"/>
        <v>100</v>
      </c>
      <c r="L41" s="280">
        <f t="shared" si="4"/>
        <v>69900</v>
      </c>
    </row>
    <row r="42" spans="1:12" s="280" customFormat="1" ht="24" x14ac:dyDescent="0.55000000000000004">
      <c r="A42" s="273">
        <v>35</v>
      </c>
      <c r="B42" s="74" t="s">
        <v>113</v>
      </c>
      <c r="C42" s="274" t="s">
        <v>133</v>
      </c>
      <c r="D42" s="428">
        <v>158400</v>
      </c>
      <c r="E42" s="428">
        <v>0</v>
      </c>
      <c r="F42" s="416">
        <f t="shared" si="0"/>
        <v>158400</v>
      </c>
      <c r="G42" s="285">
        <v>0</v>
      </c>
      <c r="H42" s="285">
        <v>0</v>
      </c>
      <c r="I42" s="288">
        <f t="shared" si="1"/>
        <v>158400</v>
      </c>
      <c r="J42" s="691">
        <f t="shared" si="2"/>
        <v>0</v>
      </c>
      <c r="K42" s="691">
        <f t="shared" si="3"/>
        <v>0</v>
      </c>
      <c r="L42" s="280">
        <f t="shared" si="4"/>
        <v>0</v>
      </c>
    </row>
    <row r="43" spans="1:12" s="280" customFormat="1" ht="24" x14ac:dyDescent="0.55000000000000004">
      <c r="A43" s="273">
        <v>36</v>
      </c>
      <c r="B43" s="74" t="s">
        <v>113</v>
      </c>
      <c r="C43" s="274" t="s">
        <v>29</v>
      </c>
      <c r="D43" s="428">
        <v>149600</v>
      </c>
      <c r="E43" s="428">
        <v>6047000</v>
      </c>
      <c r="F43" s="416">
        <f t="shared" si="0"/>
        <v>6196600</v>
      </c>
      <c r="G43" s="285">
        <v>0</v>
      </c>
      <c r="H43" s="285">
        <v>0</v>
      </c>
      <c r="I43" s="288">
        <f t="shared" si="1"/>
        <v>6196600</v>
      </c>
      <c r="J43" s="691">
        <f t="shared" si="2"/>
        <v>0</v>
      </c>
      <c r="K43" s="691">
        <f t="shared" si="3"/>
        <v>0</v>
      </c>
      <c r="L43" s="280">
        <f t="shared" si="4"/>
        <v>0</v>
      </c>
    </row>
    <row r="44" spans="1:12" s="280" customFormat="1" ht="24" x14ac:dyDescent="0.55000000000000004">
      <c r="A44" s="273">
        <v>37</v>
      </c>
      <c r="B44" s="74" t="s">
        <v>113</v>
      </c>
      <c r="C44" s="274" t="s">
        <v>30</v>
      </c>
      <c r="D44" s="428">
        <v>152600</v>
      </c>
      <c r="E44" s="428">
        <v>0</v>
      </c>
      <c r="F44" s="416">
        <f t="shared" si="0"/>
        <v>152600</v>
      </c>
      <c r="G44" s="285">
        <v>0</v>
      </c>
      <c r="H44" s="285">
        <v>0</v>
      </c>
      <c r="I44" s="288">
        <f t="shared" si="1"/>
        <v>152600</v>
      </c>
      <c r="J44" s="691">
        <f t="shared" si="2"/>
        <v>0</v>
      </c>
      <c r="K44" s="691">
        <f t="shared" si="3"/>
        <v>0</v>
      </c>
      <c r="L44" s="280">
        <f t="shared" si="4"/>
        <v>0</v>
      </c>
    </row>
    <row r="45" spans="1:12" s="280" customFormat="1" ht="24" x14ac:dyDescent="0.55000000000000004">
      <c r="A45" s="273">
        <v>38</v>
      </c>
      <c r="B45" s="74" t="s">
        <v>113</v>
      </c>
      <c r="C45" s="274" t="s">
        <v>31</v>
      </c>
      <c r="D45" s="428">
        <v>113700</v>
      </c>
      <c r="E45" s="428">
        <v>0</v>
      </c>
      <c r="F45" s="416">
        <f t="shared" si="0"/>
        <v>113700</v>
      </c>
      <c r="G45" s="285">
        <v>0</v>
      </c>
      <c r="H45" s="285">
        <v>0</v>
      </c>
      <c r="I45" s="288">
        <f t="shared" si="1"/>
        <v>113700</v>
      </c>
      <c r="J45" s="691">
        <f t="shared" si="2"/>
        <v>0</v>
      </c>
      <c r="K45" s="691">
        <f t="shared" si="3"/>
        <v>0</v>
      </c>
      <c r="L45" s="280">
        <f t="shared" si="4"/>
        <v>0</v>
      </c>
    </row>
    <row r="46" spans="1:12" s="280" customFormat="1" ht="24" x14ac:dyDescent="0.55000000000000004">
      <c r="A46" s="273">
        <v>39</v>
      </c>
      <c r="B46" s="74" t="s">
        <v>113</v>
      </c>
      <c r="C46" s="274" t="s">
        <v>134</v>
      </c>
      <c r="D46" s="428">
        <v>57100</v>
      </c>
      <c r="E46" s="428">
        <v>0</v>
      </c>
      <c r="F46" s="416">
        <f t="shared" si="0"/>
        <v>57100</v>
      </c>
      <c r="G46" s="285">
        <v>0</v>
      </c>
      <c r="H46" s="285">
        <v>0</v>
      </c>
      <c r="I46" s="288">
        <f t="shared" si="1"/>
        <v>57100</v>
      </c>
      <c r="J46" s="691">
        <f t="shared" si="2"/>
        <v>0</v>
      </c>
      <c r="K46" s="691">
        <f t="shared" si="3"/>
        <v>0</v>
      </c>
      <c r="L46" s="280">
        <f t="shared" si="4"/>
        <v>0</v>
      </c>
    </row>
    <row r="47" spans="1:12" s="280" customFormat="1" ht="24" x14ac:dyDescent="0.55000000000000004">
      <c r="A47" s="273">
        <v>40</v>
      </c>
      <c r="B47" s="74" t="s">
        <v>113</v>
      </c>
      <c r="C47" s="274" t="s">
        <v>32</v>
      </c>
      <c r="D47" s="428">
        <v>0</v>
      </c>
      <c r="E47" s="428">
        <v>0</v>
      </c>
      <c r="F47" s="416">
        <f t="shared" si="0"/>
        <v>0</v>
      </c>
      <c r="G47" s="285">
        <v>0</v>
      </c>
      <c r="H47" s="285">
        <v>0</v>
      </c>
      <c r="I47" s="288">
        <f t="shared" si="1"/>
        <v>0</v>
      </c>
      <c r="J47" s="691">
        <v>0</v>
      </c>
      <c r="K47" s="691">
        <v>0</v>
      </c>
      <c r="L47" s="280">
        <f t="shared" si="4"/>
        <v>0</v>
      </c>
    </row>
    <row r="48" spans="1:12" s="280" customFormat="1" ht="24" x14ac:dyDescent="0.55000000000000004">
      <c r="A48" s="273">
        <v>41</v>
      </c>
      <c r="B48" s="74" t="s">
        <v>113</v>
      </c>
      <c r="C48" s="274" t="s">
        <v>33</v>
      </c>
      <c r="D48" s="428">
        <v>0</v>
      </c>
      <c r="E48" s="428">
        <v>0</v>
      </c>
      <c r="F48" s="416">
        <f t="shared" si="0"/>
        <v>0</v>
      </c>
      <c r="G48" s="285">
        <v>0</v>
      </c>
      <c r="H48" s="285">
        <v>0</v>
      </c>
      <c r="I48" s="288">
        <f t="shared" si="1"/>
        <v>0</v>
      </c>
      <c r="J48" s="691">
        <v>0</v>
      </c>
      <c r="K48" s="691">
        <v>0</v>
      </c>
      <c r="L48" s="280">
        <f t="shared" si="4"/>
        <v>0</v>
      </c>
    </row>
    <row r="49" spans="1:12" s="280" customFormat="1" ht="24" x14ac:dyDescent="0.55000000000000004">
      <c r="A49" s="273">
        <v>42</v>
      </c>
      <c r="B49" s="74" t="s">
        <v>113</v>
      </c>
      <c r="C49" s="274" t="s">
        <v>34</v>
      </c>
      <c r="D49" s="428">
        <v>148100</v>
      </c>
      <c r="E49" s="428">
        <v>0</v>
      </c>
      <c r="F49" s="416">
        <f t="shared" si="0"/>
        <v>148100</v>
      </c>
      <c r="G49" s="285">
        <v>0</v>
      </c>
      <c r="H49" s="285">
        <v>0</v>
      </c>
      <c r="I49" s="288">
        <f t="shared" si="1"/>
        <v>148100</v>
      </c>
      <c r="J49" s="691">
        <f t="shared" si="2"/>
        <v>0</v>
      </c>
      <c r="K49" s="691">
        <f t="shared" si="3"/>
        <v>0</v>
      </c>
      <c r="L49" s="280">
        <f t="shared" si="4"/>
        <v>0</v>
      </c>
    </row>
    <row r="50" spans="1:12" s="280" customFormat="1" ht="24" x14ac:dyDescent="0.55000000000000004">
      <c r="A50" s="273">
        <v>43</v>
      </c>
      <c r="B50" s="74" t="s">
        <v>113</v>
      </c>
      <c r="C50" s="274" t="s">
        <v>35</v>
      </c>
      <c r="D50" s="428">
        <v>105400</v>
      </c>
      <c r="E50" s="428">
        <v>1948000</v>
      </c>
      <c r="F50" s="416">
        <f t="shared" si="0"/>
        <v>2053400</v>
      </c>
      <c r="G50" s="285">
        <v>45900</v>
      </c>
      <c r="H50" s="285">
        <v>0</v>
      </c>
      <c r="I50" s="288">
        <f t="shared" si="1"/>
        <v>2007500</v>
      </c>
      <c r="J50" s="691">
        <f t="shared" si="2"/>
        <v>0</v>
      </c>
      <c r="K50" s="691">
        <f t="shared" si="3"/>
        <v>2.235317035161196</v>
      </c>
      <c r="L50" s="280">
        <f t="shared" si="4"/>
        <v>45900</v>
      </c>
    </row>
    <row r="51" spans="1:12" s="280" customFormat="1" ht="24" x14ac:dyDescent="0.55000000000000004">
      <c r="A51" s="273">
        <v>44</v>
      </c>
      <c r="B51" s="74" t="s">
        <v>113</v>
      </c>
      <c r="C51" s="274" t="s">
        <v>135</v>
      </c>
      <c r="D51" s="428">
        <v>32300</v>
      </c>
      <c r="E51" s="428">
        <v>0</v>
      </c>
      <c r="F51" s="416">
        <f t="shared" si="0"/>
        <v>32300</v>
      </c>
      <c r="G51" s="285">
        <v>32300</v>
      </c>
      <c r="H51" s="285">
        <v>0</v>
      </c>
      <c r="I51" s="288">
        <f t="shared" si="1"/>
        <v>0</v>
      </c>
      <c r="J51" s="691">
        <f t="shared" si="2"/>
        <v>0</v>
      </c>
      <c r="K51" s="691">
        <f t="shared" si="3"/>
        <v>100</v>
      </c>
      <c r="L51" s="280">
        <f t="shared" si="4"/>
        <v>32300</v>
      </c>
    </row>
    <row r="52" spans="1:12" s="280" customFormat="1" ht="24" x14ac:dyDescent="0.55000000000000004">
      <c r="A52" s="273">
        <v>45</v>
      </c>
      <c r="B52" s="74" t="s">
        <v>113</v>
      </c>
      <c r="C52" s="274" t="s">
        <v>36</v>
      </c>
      <c r="D52" s="428">
        <v>99300</v>
      </c>
      <c r="E52" s="428">
        <v>0</v>
      </c>
      <c r="F52" s="416">
        <f t="shared" si="0"/>
        <v>99300</v>
      </c>
      <c r="G52" s="285">
        <v>31000</v>
      </c>
      <c r="H52" s="285">
        <v>19600</v>
      </c>
      <c r="I52" s="288">
        <f t="shared" si="1"/>
        <v>48700</v>
      </c>
      <c r="J52" s="691">
        <f t="shared" si="2"/>
        <v>19.738167170191339</v>
      </c>
      <c r="K52" s="691">
        <f t="shared" si="3"/>
        <v>50.956696878147028</v>
      </c>
      <c r="L52" s="280">
        <f t="shared" si="4"/>
        <v>50600</v>
      </c>
    </row>
    <row r="53" spans="1:12" s="280" customFormat="1" ht="24" x14ac:dyDescent="0.55000000000000004">
      <c r="A53" s="273">
        <v>46</v>
      </c>
      <c r="B53" s="74" t="s">
        <v>113</v>
      </c>
      <c r="C53" s="274" t="s">
        <v>37</v>
      </c>
      <c r="D53" s="428">
        <v>0</v>
      </c>
      <c r="E53" s="428">
        <v>0</v>
      </c>
      <c r="F53" s="416">
        <f t="shared" si="0"/>
        <v>0</v>
      </c>
      <c r="G53" s="285">
        <v>0</v>
      </c>
      <c r="H53" s="285">
        <v>0</v>
      </c>
      <c r="I53" s="288">
        <f t="shared" si="1"/>
        <v>0</v>
      </c>
      <c r="J53" s="691">
        <v>0</v>
      </c>
      <c r="K53" s="691">
        <v>0</v>
      </c>
      <c r="L53" s="280">
        <f t="shared" si="4"/>
        <v>0</v>
      </c>
    </row>
    <row r="54" spans="1:12" s="280" customFormat="1" ht="24" x14ac:dyDescent="0.55000000000000004">
      <c r="A54" s="273">
        <v>47</v>
      </c>
      <c r="B54" s="74" t="s">
        <v>113</v>
      </c>
      <c r="C54" s="274" t="s">
        <v>38</v>
      </c>
      <c r="D54" s="428">
        <v>8400</v>
      </c>
      <c r="E54" s="428">
        <v>0</v>
      </c>
      <c r="F54" s="416">
        <f t="shared" si="0"/>
        <v>8400</v>
      </c>
      <c r="G54" s="285">
        <v>0</v>
      </c>
      <c r="H54" s="285">
        <v>0</v>
      </c>
      <c r="I54" s="288">
        <f t="shared" si="1"/>
        <v>8400</v>
      </c>
      <c r="J54" s="691">
        <f t="shared" si="2"/>
        <v>0</v>
      </c>
      <c r="K54" s="691">
        <f t="shared" si="3"/>
        <v>0</v>
      </c>
      <c r="L54" s="280">
        <f t="shared" si="4"/>
        <v>0</v>
      </c>
    </row>
    <row r="55" spans="1:12" s="280" customFormat="1" ht="24" x14ac:dyDescent="0.55000000000000004">
      <c r="A55" s="273">
        <v>48</v>
      </c>
      <c r="B55" s="74" t="s">
        <v>113</v>
      </c>
      <c r="C55" s="274" t="s">
        <v>136</v>
      </c>
      <c r="D55" s="428">
        <v>120400</v>
      </c>
      <c r="E55" s="428">
        <v>0</v>
      </c>
      <c r="F55" s="416">
        <f t="shared" si="0"/>
        <v>120400</v>
      </c>
      <c r="G55" s="285">
        <v>0</v>
      </c>
      <c r="H55" s="285">
        <v>0</v>
      </c>
      <c r="I55" s="288">
        <f t="shared" si="1"/>
        <v>120400</v>
      </c>
      <c r="J55" s="691">
        <f t="shared" si="2"/>
        <v>0</v>
      </c>
      <c r="K55" s="691">
        <f t="shared" si="3"/>
        <v>0</v>
      </c>
      <c r="L55" s="280">
        <f t="shared" si="4"/>
        <v>0</v>
      </c>
    </row>
    <row r="56" spans="1:12" s="280" customFormat="1" ht="24" x14ac:dyDescent="0.55000000000000004">
      <c r="A56" s="273">
        <v>49</v>
      </c>
      <c r="B56" s="74" t="s">
        <v>113</v>
      </c>
      <c r="C56" s="274" t="s">
        <v>137</v>
      </c>
      <c r="D56" s="428">
        <v>0</v>
      </c>
      <c r="E56" s="428">
        <v>0</v>
      </c>
      <c r="F56" s="416">
        <f t="shared" si="0"/>
        <v>0</v>
      </c>
      <c r="G56" s="285">
        <v>0</v>
      </c>
      <c r="H56" s="285">
        <v>0</v>
      </c>
      <c r="I56" s="288">
        <f t="shared" si="1"/>
        <v>0</v>
      </c>
      <c r="J56" s="691">
        <v>0</v>
      </c>
      <c r="K56" s="691">
        <v>0</v>
      </c>
      <c r="L56" s="280">
        <f t="shared" si="4"/>
        <v>0</v>
      </c>
    </row>
    <row r="57" spans="1:12" s="280" customFormat="1" ht="24" x14ac:dyDescent="0.55000000000000004">
      <c r="A57" s="273">
        <v>50</v>
      </c>
      <c r="B57" s="74" t="s">
        <v>113</v>
      </c>
      <c r="C57" s="274" t="s">
        <v>138</v>
      </c>
      <c r="D57" s="428">
        <v>0</v>
      </c>
      <c r="E57" s="428">
        <v>0</v>
      </c>
      <c r="F57" s="416">
        <f t="shared" si="0"/>
        <v>0</v>
      </c>
      <c r="G57" s="285">
        <v>0</v>
      </c>
      <c r="H57" s="285">
        <v>0</v>
      </c>
      <c r="I57" s="288">
        <f t="shared" si="1"/>
        <v>0</v>
      </c>
      <c r="J57" s="691">
        <v>0</v>
      </c>
      <c r="K57" s="691">
        <v>0</v>
      </c>
      <c r="L57" s="280">
        <f t="shared" si="4"/>
        <v>0</v>
      </c>
    </row>
    <row r="58" spans="1:12" s="280" customFormat="1" ht="24" x14ac:dyDescent="0.55000000000000004">
      <c r="A58" s="273">
        <v>51</v>
      </c>
      <c r="B58" s="74" t="s">
        <v>113</v>
      </c>
      <c r="C58" s="274" t="s">
        <v>139</v>
      </c>
      <c r="D58" s="428">
        <v>86000</v>
      </c>
      <c r="E58" s="428">
        <v>3210000</v>
      </c>
      <c r="F58" s="416">
        <f t="shared" si="0"/>
        <v>3296000</v>
      </c>
      <c r="G58" s="285">
        <v>34000</v>
      </c>
      <c r="H58" s="285">
        <v>50930</v>
      </c>
      <c r="I58" s="288">
        <f t="shared" si="1"/>
        <v>3211070</v>
      </c>
      <c r="J58" s="691">
        <f t="shared" si="2"/>
        <v>1.5452063106796117</v>
      </c>
      <c r="K58" s="691">
        <f t="shared" si="3"/>
        <v>2.576759708737864</v>
      </c>
      <c r="L58" s="280">
        <f t="shared" si="4"/>
        <v>84930</v>
      </c>
    </row>
    <row r="59" spans="1:12" s="280" customFormat="1" ht="24" x14ac:dyDescent="0.55000000000000004">
      <c r="A59" s="273">
        <v>52</v>
      </c>
      <c r="B59" s="74" t="s">
        <v>113</v>
      </c>
      <c r="C59" s="274" t="s">
        <v>140</v>
      </c>
      <c r="D59" s="428">
        <v>45800</v>
      </c>
      <c r="E59" s="428">
        <v>1397000</v>
      </c>
      <c r="F59" s="416">
        <f t="shared" si="0"/>
        <v>1442800</v>
      </c>
      <c r="G59" s="285">
        <v>0</v>
      </c>
      <c r="H59" s="285">
        <v>0</v>
      </c>
      <c r="I59" s="288">
        <f t="shared" si="1"/>
        <v>1442800</v>
      </c>
      <c r="J59" s="691">
        <f t="shared" si="2"/>
        <v>0</v>
      </c>
      <c r="K59" s="691">
        <f t="shared" si="3"/>
        <v>0</v>
      </c>
      <c r="L59" s="280">
        <f t="shared" si="4"/>
        <v>0</v>
      </c>
    </row>
    <row r="60" spans="1:12" s="280" customFormat="1" ht="24" x14ac:dyDescent="0.55000000000000004">
      <c r="A60" s="273">
        <v>53</v>
      </c>
      <c r="B60" s="74" t="s">
        <v>113</v>
      </c>
      <c r="C60" s="274" t="s">
        <v>141</v>
      </c>
      <c r="D60" s="428">
        <v>35500</v>
      </c>
      <c r="E60" s="428">
        <v>0</v>
      </c>
      <c r="F60" s="416">
        <f t="shared" si="0"/>
        <v>35500</v>
      </c>
      <c r="G60" s="285">
        <v>0</v>
      </c>
      <c r="H60" s="285">
        <v>0</v>
      </c>
      <c r="I60" s="288">
        <f t="shared" si="1"/>
        <v>35500</v>
      </c>
      <c r="J60" s="691">
        <f t="shared" si="2"/>
        <v>0</v>
      </c>
      <c r="K60" s="691">
        <f t="shared" si="3"/>
        <v>0</v>
      </c>
      <c r="L60" s="280">
        <f t="shared" si="4"/>
        <v>0</v>
      </c>
    </row>
    <row r="61" spans="1:12" s="280" customFormat="1" ht="24" x14ac:dyDescent="0.55000000000000004">
      <c r="A61" s="273">
        <v>54</v>
      </c>
      <c r="B61" s="74" t="s">
        <v>113</v>
      </c>
      <c r="C61" s="274" t="s">
        <v>142</v>
      </c>
      <c r="D61" s="428">
        <v>41300</v>
      </c>
      <c r="E61" s="428">
        <v>210000</v>
      </c>
      <c r="F61" s="416">
        <f t="shared" si="0"/>
        <v>251300</v>
      </c>
      <c r="G61" s="285">
        <v>0</v>
      </c>
      <c r="H61" s="285">
        <v>0</v>
      </c>
      <c r="I61" s="288">
        <f t="shared" si="1"/>
        <v>251300</v>
      </c>
      <c r="J61" s="691">
        <f t="shared" si="2"/>
        <v>0</v>
      </c>
      <c r="K61" s="691">
        <f t="shared" si="3"/>
        <v>0</v>
      </c>
      <c r="L61" s="280">
        <f t="shared" si="4"/>
        <v>0</v>
      </c>
    </row>
    <row r="62" spans="1:12" s="280" customFormat="1" ht="24" x14ac:dyDescent="0.55000000000000004">
      <c r="A62" s="273">
        <v>55</v>
      </c>
      <c r="B62" s="74" t="s">
        <v>113</v>
      </c>
      <c r="C62" s="274" t="s">
        <v>39</v>
      </c>
      <c r="D62" s="428">
        <v>187900</v>
      </c>
      <c r="E62" s="428">
        <v>0</v>
      </c>
      <c r="F62" s="416">
        <f t="shared" si="0"/>
        <v>187900</v>
      </c>
      <c r="G62" s="285">
        <v>0</v>
      </c>
      <c r="H62" s="285">
        <v>0</v>
      </c>
      <c r="I62" s="288">
        <f t="shared" si="1"/>
        <v>187900</v>
      </c>
      <c r="J62" s="691">
        <f t="shared" si="2"/>
        <v>0</v>
      </c>
      <c r="K62" s="691">
        <f t="shared" si="3"/>
        <v>0</v>
      </c>
      <c r="L62" s="280">
        <f t="shared" si="4"/>
        <v>0</v>
      </c>
    </row>
    <row r="63" spans="1:12" s="280" customFormat="1" ht="24" x14ac:dyDescent="0.55000000000000004">
      <c r="A63" s="273">
        <v>56</v>
      </c>
      <c r="B63" s="74" t="s">
        <v>113</v>
      </c>
      <c r="C63" s="274" t="s">
        <v>143</v>
      </c>
      <c r="D63" s="428">
        <v>181700</v>
      </c>
      <c r="E63" s="428">
        <v>0</v>
      </c>
      <c r="F63" s="416">
        <f t="shared" si="0"/>
        <v>181700</v>
      </c>
      <c r="G63" s="285">
        <v>32180</v>
      </c>
      <c r="H63" s="285">
        <v>0</v>
      </c>
      <c r="I63" s="288">
        <f t="shared" si="1"/>
        <v>149520</v>
      </c>
      <c r="J63" s="691">
        <f t="shared" si="2"/>
        <v>0</v>
      </c>
      <c r="K63" s="691">
        <f t="shared" si="3"/>
        <v>17.71051183269125</v>
      </c>
      <c r="L63" s="280">
        <f t="shared" si="4"/>
        <v>32180</v>
      </c>
    </row>
    <row r="64" spans="1:12" s="280" customFormat="1" ht="24" x14ac:dyDescent="0.55000000000000004">
      <c r="A64" s="273">
        <v>57</v>
      </c>
      <c r="B64" s="74" t="s">
        <v>113</v>
      </c>
      <c r="C64" s="274" t="s">
        <v>144</v>
      </c>
      <c r="D64" s="428">
        <v>169600</v>
      </c>
      <c r="E64" s="428">
        <v>0</v>
      </c>
      <c r="F64" s="416">
        <f t="shared" si="0"/>
        <v>169600</v>
      </c>
      <c r="G64" s="285">
        <v>0</v>
      </c>
      <c r="H64" s="285">
        <v>0</v>
      </c>
      <c r="I64" s="288">
        <f t="shared" si="1"/>
        <v>169600</v>
      </c>
      <c r="J64" s="691">
        <f t="shared" si="2"/>
        <v>0</v>
      </c>
      <c r="K64" s="691">
        <f t="shared" si="3"/>
        <v>0</v>
      </c>
      <c r="L64" s="280">
        <f t="shared" si="4"/>
        <v>0</v>
      </c>
    </row>
    <row r="65" spans="1:12" s="280" customFormat="1" ht="24" x14ac:dyDescent="0.55000000000000004">
      <c r="A65" s="273">
        <v>58</v>
      </c>
      <c r="B65" s="74" t="s">
        <v>113</v>
      </c>
      <c r="C65" s="274" t="s">
        <v>40</v>
      </c>
      <c r="D65" s="428">
        <v>14500</v>
      </c>
      <c r="E65" s="428">
        <v>0</v>
      </c>
      <c r="F65" s="416">
        <f t="shared" si="0"/>
        <v>14500</v>
      </c>
      <c r="G65" s="285">
        <v>14490</v>
      </c>
      <c r="H65" s="285">
        <v>0</v>
      </c>
      <c r="I65" s="288">
        <f t="shared" si="1"/>
        <v>10</v>
      </c>
      <c r="J65" s="691">
        <f t="shared" si="2"/>
        <v>0</v>
      </c>
      <c r="K65" s="691">
        <f t="shared" si="3"/>
        <v>99.931034482758619</v>
      </c>
      <c r="L65" s="280">
        <f t="shared" si="4"/>
        <v>14490</v>
      </c>
    </row>
    <row r="66" spans="1:12" s="280" customFormat="1" ht="24" x14ac:dyDescent="0.55000000000000004">
      <c r="A66" s="273">
        <v>59</v>
      </c>
      <c r="B66" s="74" t="s">
        <v>113</v>
      </c>
      <c r="C66" s="274" t="s">
        <v>145</v>
      </c>
      <c r="D66" s="428">
        <v>245100</v>
      </c>
      <c r="E66" s="428">
        <v>0</v>
      </c>
      <c r="F66" s="416">
        <f t="shared" si="0"/>
        <v>245100</v>
      </c>
      <c r="G66" s="285">
        <v>0</v>
      </c>
      <c r="H66" s="285">
        <v>0</v>
      </c>
      <c r="I66" s="288">
        <f t="shared" si="1"/>
        <v>245100</v>
      </c>
      <c r="J66" s="691">
        <f t="shared" si="2"/>
        <v>0</v>
      </c>
      <c r="K66" s="691">
        <f t="shared" si="3"/>
        <v>0</v>
      </c>
      <c r="L66" s="280">
        <f t="shared" si="4"/>
        <v>0</v>
      </c>
    </row>
    <row r="67" spans="1:12" s="280" customFormat="1" ht="24" x14ac:dyDescent="0.55000000000000004">
      <c r="A67" s="273">
        <v>60</v>
      </c>
      <c r="B67" s="74" t="s">
        <v>113</v>
      </c>
      <c r="C67" s="274" t="s">
        <v>146</v>
      </c>
      <c r="D67" s="428">
        <v>0</v>
      </c>
      <c r="E67" s="428">
        <v>0</v>
      </c>
      <c r="F67" s="416">
        <f t="shared" si="0"/>
        <v>0</v>
      </c>
      <c r="G67" s="285">
        <v>0</v>
      </c>
      <c r="H67" s="285">
        <v>0</v>
      </c>
      <c r="I67" s="288">
        <f t="shared" si="1"/>
        <v>0</v>
      </c>
      <c r="J67" s="691">
        <v>0</v>
      </c>
      <c r="K67" s="691">
        <v>0</v>
      </c>
      <c r="L67" s="280">
        <f t="shared" si="4"/>
        <v>0</v>
      </c>
    </row>
    <row r="68" spans="1:12" s="280" customFormat="1" ht="24" x14ac:dyDescent="0.55000000000000004">
      <c r="A68" s="273">
        <v>61</v>
      </c>
      <c r="B68" s="74" t="s">
        <v>113</v>
      </c>
      <c r="C68" s="274" t="s">
        <v>147</v>
      </c>
      <c r="D68" s="428">
        <v>0</v>
      </c>
      <c r="E68" s="428">
        <v>0</v>
      </c>
      <c r="F68" s="416">
        <f t="shared" si="0"/>
        <v>0</v>
      </c>
      <c r="G68" s="285">
        <v>0</v>
      </c>
      <c r="H68" s="285">
        <v>0</v>
      </c>
      <c r="I68" s="288">
        <f t="shared" si="1"/>
        <v>0</v>
      </c>
      <c r="J68" s="691">
        <v>0</v>
      </c>
      <c r="K68" s="691">
        <v>0</v>
      </c>
      <c r="L68" s="280">
        <f t="shared" si="4"/>
        <v>0</v>
      </c>
    </row>
    <row r="69" spans="1:12" s="280" customFormat="1" ht="24" x14ac:dyDescent="0.55000000000000004">
      <c r="A69" s="273">
        <v>62</v>
      </c>
      <c r="B69" s="74" t="s">
        <v>113</v>
      </c>
      <c r="C69" s="274" t="s">
        <v>148</v>
      </c>
      <c r="D69" s="428">
        <v>73300</v>
      </c>
      <c r="E69" s="428">
        <v>0</v>
      </c>
      <c r="F69" s="416">
        <f t="shared" si="0"/>
        <v>73300</v>
      </c>
      <c r="G69" s="285">
        <v>0</v>
      </c>
      <c r="H69" s="285">
        <v>0</v>
      </c>
      <c r="I69" s="288">
        <f t="shared" si="1"/>
        <v>73300</v>
      </c>
      <c r="J69" s="691">
        <f t="shared" si="2"/>
        <v>0</v>
      </c>
      <c r="K69" s="691">
        <f t="shared" si="3"/>
        <v>0</v>
      </c>
      <c r="L69" s="280">
        <f t="shared" si="4"/>
        <v>0</v>
      </c>
    </row>
    <row r="70" spans="1:12" s="280" customFormat="1" ht="24" x14ac:dyDescent="0.55000000000000004">
      <c r="A70" s="273">
        <v>63</v>
      </c>
      <c r="B70" s="74" t="s">
        <v>113</v>
      </c>
      <c r="C70" s="274" t="s">
        <v>149</v>
      </c>
      <c r="D70" s="428">
        <v>8000</v>
      </c>
      <c r="E70" s="428">
        <v>0</v>
      </c>
      <c r="F70" s="416">
        <f t="shared" si="0"/>
        <v>8000</v>
      </c>
      <c r="G70" s="285">
        <v>0</v>
      </c>
      <c r="H70" s="285">
        <v>0</v>
      </c>
      <c r="I70" s="288">
        <f t="shared" si="1"/>
        <v>8000</v>
      </c>
      <c r="J70" s="691">
        <f t="shared" si="2"/>
        <v>0</v>
      </c>
      <c r="K70" s="691">
        <f t="shared" si="3"/>
        <v>0</v>
      </c>
      <c r="L70" s="280">
        <f t="shared" si="4"/>
        <v>0</v>
      </c>
    </row>
    <row r="71" spans="1:12" s="280" customFormat="1" ht="24" x14ac:dyDescent="0.55000000000000004">
      <c r="A71" s="273">
        <v>64</v>
      </c>
      <c r="B71" s="74" t="s">
        <v>113</v>
      </c>
      <c r="C71" s="274" t="s">
        <v>41</v>
      </c>
      <c r="D71" s="428">
        <v>25700</v>
      </c>
      <c r="E71" s="428">
        <v>0</v>
      </c>
      <c r="F71" s="416">
        <f t="shared" si="0"/>
        <v>25700</v>
      </c>
      <c r="G71" s="285">
        <v>0</v>
      </c>
      <c r="H71" s="285">
        <v>25700</v>
      </c>
      <c r="I71" s="288">
        <f t="shared" si="1"/>
        <v>0</v>
      </c>
      <c r="J71" s="691">
        <f t="shared" si="2"/>
        <v>100</v>
      </c>
      <c r="K71" s="691">
        <f t="shared" si="3"/>
        <v>100</v>
      </c>
      <c r="L71" s="280">
        <f t="shared" si="4"/>
        <v>25700</v>
      </c>
    </row>
    <row r="72" spans="1:12" s="280" customFormat="1" ht="24" x14ac:dyDescent="0.55000000000000004">
      <c r="A72" s="273">
        <v>65</v>
      </c>
      <c r="B72" s="74" t="s">
        <v>113</v>
      </c>
      <c r="C72" s="274" t="s">
        <v>42</v>
      </c>
      <c r="D72" s="428">
        <v>15700</v>
      </c>
      <c r="E72" s="428">
        <v>0</v>
      </c>
      <c r="F72" s="416">
        <f t="shared" si="0"/>
        <v>15700</v>
      </c>
      <c r="G72" s="285">
        <v>0</v>
      </c>
      <c r="H72" s="285">
        <v>0</v>
      </c>
      <c r="I72" s="288">
        <f t="shared" si="1"/>
        <v>15700</v>
      </c>
      <c r="J72" s="691">
        <f t="shared" si="2"/>
        <v>0</v>
      </c>
      <c r="K72" s="691">
        <f t="shared" si="3"/>
        <v>0</v>
      </c>
      <c r="L72" s="280">
        <f t="shared" si="4"/>
        <v>0</v>
      </c>
    </row>
    <row r="73" spans="1:12" s="280" customFormat="1" ht="24" x14ac:dyDescent="0.55000000000000004">
      <c r="A73" s="273">
        <v>66</v>
      </c>
      <c r="B73" s="74" t="s">
        <v>113</v>
      </c>
      <c r="C73" s="274" t="s">
        <v>43</v>
      </c>
      <c r="D73" s="428">
        <v>71000</v>
      </c>
      <c r="E73" s="428">
        <v>0</v>
      </c>
      <c r="F73" s="416">
        <f t="shared" ref="F73:F103" si="5">SUM(D73:E73)</f>
        <v>71000</v>
      </c>
      <c r="G73" s="285">
        <v>71000</v>
      </c>
      <c r="H73" s="285">
        <v>0</v>
      </c>
      <c r="I73" s="288">
        <f t="shared" ref="I73:I103" si="6">+F73-G73-H73</f>
        <v>0</v>
      </c>
      <c r="J73" s="691">
        <f t="shared" ref="J73:J103" si="7">H73*100/F73</f>
        <v>0</v>
      </c>
      <c r="K73" s="691">
        <f t="shared" ref="K73:K103" si="8">+L73*100/F73</f>
        <v>100</v>
      </c>
      <c r="L73" s="280">
        <f t="shared" ref="L73:L104" si="9">+G73+H73</f>
        <v>71000</v>
      </c>
    </row>
    <row r="74" spans="1:12" s="280" customFormat="1" ht="24" x14ac:dyDescent="0.55000000000000004">
      <c r="A74" s="273">
        <v>67</v>
      </c>
      <c r="B74" s="74" t="s">
        <v>113</v>
      </c>
      <c r="C74" s="274" t="s">
        <v>44</v>
      </c>
      <c r="D74" s="428">
        <v>166000</v>
      </c>
      <c r="E74" s="428">
        <v>466000</v>
      </c>
      <c r="F74" s="416">
        <f t="shared" si="5"/>
        <v>632000</v>
      </c>
      <c r="G74" s="285">
        <v>0</v>
      </c>
      <c r="H74" s="285">
        <v>0</v>
      </c>
      <c r="I74" s="288">
        <f t="shared" si="6"/>
        <v>632000</v>
      </c>
      <c r="J74" s="691">
        <f t="shared" si="7"/>
        <v>0</v>
      </c>
      <c r="K74" s="691">
        <f t="shared" si="8"/>
        <v>0</v>
      </c>
      <c r="L74" s="280">
        <f t="shared" si="9"/>
        <v>0</v>
      </c>
    </row>
    <row r="75" spans="1:12" s="280" customFormat="1" ht="24" x14ac:dyDescent="0.55000000000000004">
      <c r="A75" s="273">
        <v>68</v>
      </c>
      <c r="B75" s="74" t="s">
        <v>113</v>
      </c>
      <c r="C75" s="274" t="s">
        <v>45</v>
      </c>
      <c r="D75" s="428">
        <v>20000</v>
      </c>
      <c r="E75" s="428">
        <v>0</v>
      </c>
      <c r="F75" s="416">
        <f t="shared" si="5"/>
        <v>20000</v>
      </c>
      <c r="G75" s="285">
        <v>0</v>
      </c>
      <c r="H75" s="285">
        <v>0</v>
      </c>
      <c r="I75" s="288">
        <f t="shared" si="6"/>
        <v>20000</v>
      </c>
      <c r="J75" s="691">
        <f t="shared" si="7"/>
        <v>0</v>
      </c>
      <c r="K75" s="691">
        <f t="shared" si="8"/>
        <v>0</v>
      </c>
      <c r="L75" s="280">
        <f t="shared" si="9"/>
        <v>0</v>
      </c>
    </row>
    <row r="76" spans="1:12" s="280" customFormat="1" ht="24" x14ac:dyDescent="0.55000000000000004">
      <c r="A76" s="273">
        <v>69</v>
      </c>
      <c r="B76" s="74" t="s">
        <v>113</v>
      </c>
      <c r="C76" s="274" t="s">
        <v>63</v>
      </c>
      <c r="D76" s="428">
        <v>91700</v>
      </c>
      <c r="E76" s="428">
        <v>0</v>
      </c>
      <c r="F76" s="416">
        <f t="shared" si="5"/>
        <v>91700</v>
      </c>
      <c r="G76" s="285">
        <v>0</v>
      </c>
      <c r="H76" s="285">
        <v>0</v>
      </c>
      <c r="I76" s="288">
        <f t="shared" si="6"/>
        <v>91700</v>
      </c>
      <c r="J76" s="691">
        <f t="shared" si="7"/>
        <v>0</v>
      </c>
      <c r="K76" s="691">
        <f t="shared" si="8"/>
        <v>0</v>
      </c>
      <c r="L76" s="280">
        <f t="shared" si="9"/>
        <v>0</v>
      </c>
    </row>
    <row r="77" spans="1:12" s="280" customFormat="1" ht="24" x14ac:dyDescent="0.55000000000000004">
      <c r="A77" s="273">
        <v>70</v>
      </c>
      <c r="B77" s="74" t="s">
        <v>113</v>
      </c>
      <c r="C77" s="274" t="s">
        <v>150</v>
      </c>
      <c r="D77" s="428">
        <v>116800</v>
      </c>
      <c r="E77" s="428">
        <v>0</v>
      </c>
      <c r="F77" s="416">
        <f t="shared" si="5"/>
        <v>116800</v>
      </c>
      <c r="G77" s="285">
        <v>0</v>
      </c>
      <c r="H77" s="285">
        <v>0</v>
      </c>
      <c r="I77" s="288">
        <f t="shared" si="6"/>
        <v>116800</v>
      </c>
      <c r="J77" s="691">
        <f t="shared" si="7"/>
        <v>0</v>
      </c>
      <c r="K77" s="691">
        <f t="shared" si="8"/>
        <v>0</v>
      </c>
      <c r="L77" s="280">
        <f t="shared" si="9"/>
        <v>0</v>
      </c>
    </row>
    <row r="78" spans="1:12" s="280" customFormat="1" ht="24" x14ac:dyDescent="0.55000000000000004">
      <c r="A78" s="273">
        <v>71</v>
      </c>
      <c r="B78" s="74" t="s">
        <v>113</v>
      </c>
      <c r="C78" s="274" t="s">
        <v>46</v>
      </c>
      <c r="D78" s="428">
        <v>32200</v>
      </c>
      <c r="E78" s="428">
        <v>0</v>
      </c>
      <c r="F78" s="416">
        <f t="shared" si="5"/>
        <v>32200</v>
      </c>
      <c r="G78" s="285">
        <v>0</v>
      </c>
      <c r="H78" s="285">
        <v>0</v>
      </c>
      <c r="I78" s="288">
        <f t="shared" si="6"/>
        <v>32200</v>
      </c>
      <c r="J78" s="691">
        <f t="shared" si="7"/>
        <v>0</v>
      </c>
      <c r="K78" s="691">
        <f t="shared" si="8"/>
        <v>0</v>
      </c>
      <c r="L78" s="280">
        <f t="shared" si="9"/>
        <v>0</v>
      </c>
    </row>
    <row r="79" spans="1:12" s="280" customFormat="1" ht="24" x14ac:dyDescent="0.55000000000000004">
      <c r="A79" s="273">
        <v>72</v>
      </c>
      <c r="B79" s="74" t="s">
        <v>113</v>
      </c>
      <c r="C79" s="274" t="s">
        <v>151</v>
      </c>
      <c r="D79" s="428">
        <v>8600</v>
      </c>
      <c r="E79" s="428">
        <v>0</v>
      </c>
      <c r="F79" s="416">
        <f t="shared" si="5"/>
        <v>8600</v>
      </c>
      <c r="G79" s="285">
        <v>0</v>
      </c>
      <c r="H79" s="285">
        <v>0</v>
      </c>
      <c r="I79" s="288">
        <f t="shared" si="6"/>
        <v>8600</v>
      </c>
      <c r="J79" s="691">
        <f t="shared" si="7"/>
        <v>0</v>
      </c>
      <c r="K79" s="691">
        <f t="shared" si="8"/>
        <v>0</v>
      </c>
      <c r="L79" s="280">
        <f t="shared" si="9"/>
        <v>0</v>
      </c>
    </row>
    <row r="80" spans="1:12" s="280" customFormat="1" ht="24" x14ac:dyDescent="0.55000000000000004">
      <c r="A80" s="273">
        <v>73</v>
      </c>
      <c r="B80" s="74" t="s">
        <v>113</v>
      </c>
      <c r="C80" s="274" t="s">
        <v>152</v>
      </c>
      <c r="D80" s="428">
        <v>0</v>
      </c>
      <c r="E80" s="428">
        <v>0</v>
      </c>
      <c r="F80" s="416">
        <f t="shared" si="5"/>
        <v>0</v>
      </c>
      <c r="G80" s="285">
        <v>0</v>
      </c>
      <c r="H80" s="285">
        <v>0</v>
      </c>
      <c r="I80" s="288">
        <f t="shared" si="6"/>
        <v>0</v>
      </c>
      <c r="J80" s="691">
        <v>0</v>
      </c>
      <c r="K80" s="691">
        <v>0</v>
      </c>
      <c r="L80" s="280">
        <f t="shared" si="9"/>
        <v>0</v>
      </c>
    </row>
    <row r="81" spans="1:12" s="280" customFormat="1" ht="24" x14ac:dyDescent="0.55000000000000004">
      <c r="A81" s="273">
        <v>74</v>
      </c>
      <c r="B81" s="74" t="s">
        <v>113</v>
      </c>
      <c r="C81" s="274" t="s">
        <v>47</v>
      </c>
      <c r="D81" s="428">
        <v>11300</v>
      </c>
      <c r="E81" s="428">
        <v>0</v>
      </c>
      <c r="F81" s="416">
        <f t="shared" si="5"/>
        <v>11300</v>
      </c>
      <c r="G81" s="285">
        <v>0</v>
      </c>
      <c r="H81" s="285">
        <v>0</v>
      </c>
      <c r="I81" s="288">
        <f t="shared" si="6"/>
        <v>11300</v>
      </c>
      <c r="J81" s="691">
        <f t="shared" si="7"/>
        <v>0</v>
      </c>
      <c r="K81" s="691">
        <f t="shared" si="8"/>
        <v>0</v>
      </c>
      <c r="L81" s="280">
        <f t="shared" si="9"/>
        <v>0</v>
      </c>
    </row>
    <row r="82" spans="1:12" s="280" customFormat="1" ht="24" x14ac:dyDescent="0.55000000000000004">
      <c r="A82" s="273">
        <v>75</v>
      </c>
      <c r="B82" s="74" t="s">
        <v>113</v>
      </c>
      <c r="C82" s="274" t="s">
        <v>153</v>
      </c>
      <c r="D82" s="428">
        <v>23000</v>
      </c>
      <c r="E82" s="428">
        <v>0</v>
      </c>
      <c r="F82" s="416">
        <f t="shared" si="5"/>
        <v>23000</v>
      </c>
      <c r="G82" s="285">
        <v>0</v>
      </c>
      <c r="H82" s="285">
        <v>0</v>
      </c>
      <c r="I82" s="288">
        <f t="shared" si="6"/>
        <v>23000</v>
      </c>
      <c r="J82" s="691">
        <f t="shared" si="7"/>
        <v>0</v>
      </c>
      <c r="K82" s="691">
        <f t="shared" si="8"/>
        <v>0</v>
      </c>
      <c r="L82" s="280">
        <f t="shared" si="9"/>
        <v>0</v>
      </c>
    </row>
    <row r="83" spans="1:12" s="280" customFormat="1" ht="24" x14ac:dyDescent="0.55000000000000004">
      <c r="A83" s="273">
        <v>76</v>
      </c>
      <c r="B83" s="74" t="s">
        <v>113</v>
      </c>
      <c r="C83" s="274" t="s">
        <v>48</v>
      </c>
      <c r="D83" s="428">
        <v>0</v>
      </c>
      <c r="E83" s="428">
        <v>0</v>
      </c>
      <c r="F83" s="416">
        <f t="shared" si="5"/>
        <v>0</v>
      </c>
      <c r="G83" s="285">
        <v>0</v>
      </c>
      <c r="H83" s="285">
        <v>0</v>
      </c>
      <c r="I83" s="288">
        <f t="shared" si="6"/>
        <v>0</v>
      </c>
      <c r="J83" s="691">
        <v>0</v>
      </c>
      <c r="K83" s="691">
        <v>0</v>
      </c>
      <c r="L83" s="280">
        <f t="shared" si="9"/>
        <v>0</v>
      </c>
    </row>
    <row r="84" spans="1:12" s="280" customFormat="1" ht="24" x14ac:dyDescent="0.55000000000000004">
      <c r="A84" s="273">
        <v>77</v>
      </c>
      <c r="B84" s="74" t="s">
        <v>113</v>
      </c>
      <c r="C84" s="274" t="s">
        <v>154</v>
      </c>
      <c r="D84" s="428">
        <v>44000</v>
      </c>
      <c r="E84" s="428">
        <v>0</v>
      </c>
      <c r="F84" s="416">
        <f t="shared" si="5"/>
        <v>44000</v>
      </c>
      <c r="G84" s="285">
        <v>0</v>
      </c>
      <c r="H84" s="285">
        <v>0</v>
      </c>
      <c r="I84" s="288">
        <f t="shared" si="6"/>
        <v>44000</v>
      </c>
      <c r="J84" s="691">
        <f t="shared" si="7"/>
        <v>0</v>
      </c>
      <c r="K84" s="691">
        <f t="shared" si="8"/>
        <v>0</v>
      </c>
      <c r="L84" s="280">
        <f t="shared" si="9"/>
        <v>0</v>
      </c>
    </row>
    <row r="85" spans="1:12" s="280" customFormat="1" ht="24" x14ac:dyDescent="0.55000000000000004">
      <c r="A85" s="273">
        <v>78</v>
      </c>
      <c r="B85" s="74" t="s">
        <v>113</v>
      </c>
      <c r="C85" s="274" t="s">
        <v>49</v>
      </c>
      <c r="D85" s="428">
        <v>0</v>
      </c>
      <c r="E85" s="428">
        <v>0</v>
      </c>
      <c r="F85" s="416">
        <f t="shared" si="5"/>
        <v>0</v>
      </c>
      <c r="G85" s="285">
        <v>0</v>
      </c>
      <c r="H85" s="285">
        <v>0</v>
      </c>
      <c r="I85" s="288">
        <f t="shared" si="6"/>
        <v>0</v>
      </c>
      <c r="J85" s="691">
        <v>0</v>
      </c>
      <c r="K85" s="691">
        <v>0</v>
      </c>
      <c r="L85" s="280">
        <f t="shared" si="9"/>
        <v>0</v>
      </c>
    </row>
    <row r="86" spans="1:12" s="280" customFormat="1" ht="24" x14ac:dyDescent="0.55000000000000004">
      <c r="A86" s="273">
        <v>79</v>
      </c>
      <c r="B86" s="74" t="s">
        <v>113</v>
      </c>
      <c r="C86" s="274" t="s">
        <v>50</v>
      </c>
      <c r="D86" s="428">
        <v>1300</v>
      </c>
      <c r="E86" s="428">
        <v>0</v>
      </c>
      <c r="F86" s="416">
        <f t="shared" si="5"/>
        <v>1300</v>
      </c>
      <c r="G86" s="285">
        <v>0</v>
      </c>
      <c r="H86" s="285">
        <v>1090</v>
      </c>
      <c r="I86" s="288">
        <f t="shared" si="6"/>
        <v>210</v>
      </c>
      <c r="J86" s="691">
        <f t="shared" si="7"/>
        <v>83.84615384615384</v>
      </c>
      <c r="K86" s="691">
        <f t="shared" si="8"/>
        <v>83.84615384615384</v>
      </c>
      <c r="L86" s="280">
        <f t="shared" si="9"/>
        <v>1090</v>
      </c>
    </row>
    <row r="87" spans="1:12" s="280" customFormat="1" ht="24" x14ac:dyDescent="0.55000000000000004">
      <c r="A87" s="273">
        <v>80</v>
      </c>
      <c r="B87" s="74" t="s">
        <v>113</v>
      </c>
      <c r="C87" s="274" t="s">
        <v>155</v>
      </c>
      <c r="D87" s="428">
        <v>71000</v>
      </c>
      <c r="E87" s="428">
        <v>0</v>
      </c>
      <c r="F87" s="416">
        <f t="shared" si="5"/>
        <v>71000</v>
      </c>
      <c r="G87" s="285">
        <v>0</v>
      </c>
      <c r="H87" s="285">
        <v>0</v>
      </c>
      <c r="I87" s="288">
        <f t="shared" si="6"/>
        <v>71000</v>
      </c>
      <c r="J87" s="691">
        <f t="shared" si="7"/>
        <v>0</v>
      </c>
      <c r="K87" s="691">
        <f t="shared" si="8"/>
        <v>0</v>
      </c>
      <c r="L87" s="280">
        <f t="shared" si="9"/>
        <v>0</v>
      </c>
    </row>
    <row r="88" spans="1:12" s="280" customFormat="1" ht="24" x14ac:dyDescent="0.55000000000000004">
      <c r="A88" s="273">
        <v>81</v>
      </c>
      <c r="B88" s="74" t="s">
        <v>113</v>
      </c>
      <c r="C88" s="274" t="s">
        <v>51</v>
      </c>
      <c r="D88" s="428">
        <v>14500</v>
      </c>
      <c r="E88" s="428">
        <v>0</v>
      </c>
      <c r="F88" s="416">
        <f t="shared" si="5"/>
        <v>14500</v>
      </c>
      <c r="G88" s="285">
        <v>0</v>
      </c>
      <c r="H88" s="285">
        <v>0</v>
      </c>
      <c r="I88" s="288">
        <f t="shared" si="6"/>
        <v>14500</v>
      </c>
      <c r="J88" s="691">
        <f t="shared" si="7"/>
        <v>0</v>
      </c>
      <c r="K88" s="691">
        <f t="shared" si="8"/>
        <v>0</v>
      </c>
      <c r="L88" s="280">
        <f t="shared" si="9"/>
        <v>0</v>
      </c>
    </row>
    <row r="89" spans="1:12" s="280" customFormat="1" ht="24" x14ac:dyDescent="0.55000000000000004">
      <c r="A89" s="273">
        <v>82</v>
      </c>
      <c r="B89" s="74" t="s">
        <v>113</v>
      </c>
      <c r="C89" s="274" t="s">
        <v>156</v>
      </c>
      <c r="D89" s="428">
        <v>0</v>
      </c>
      <c r="E89" s="428">
        <v>0</v>
      </c>
      <c r="F89" s="416">
        <f t="shared" si="5"/>
        <v>0</v>
      </c>
      <c r="G89" s="285">
        <v>0</v>
      </c>
      <c r="H89" s="285">
        <v>0</v>
      </c>
      <c r="I89" s="288">
        <f t="shared" si="6"/>
        <v>0</v>
      </c>
      <c r="J89" s="691">
        <v>0</v>
      </c>
      <c r="K89" s="691">
        <v>0</v>
      </c>
      <c r="L89" s="280">
        <f t="shared" si="9"/>
        <v>0</v>
      </c>
    </row>
    <row r="90" spans="1:12" s="280" customFormat="1" ht="24" x14ac:dyDescent="0.55000000000000004">
      <c r="A90" s="273">
        <v>83</v>
      </c>
      <c r="B90" s="74" t="s">
        <v>113</v>
      </c>
      <c r="C90" s="274" t="s">
        <v>157</v>
      </c>
      <c r="D90" s="428">
        <v>56800</v>
      </c>
      <c r="E90" s="428">
        <v>0</v>
      </c>
      <c r="F90" s="416">
        <f t="shared" si="5"/>
        <v>56800</v>
      </c>
      <c r="G90" s="285">
        <v>0</v>
      </c>
      <c r="H90" s="285">
        <v>0</v>
      </c>
      <c r="I90" s="288">
        <f t="shared" si="6"/>
        <v>56800</v>
      </c>
      <c r="J90" s="691">
        <f t="shared" si="7"/>
        <v>0</v>
      </c>
      <c r="K90" s="691">
        <f t="shared" si="8"/>
        <v>0</v>
      </c>
      <c r="L90" s="280">
        <f t="shared" si="9"/>
        <v>0</v>
      </c>
    </row>
    <row r="91" spans="1:12" s="280" customFormat="1" ht="24" x14ac:dyDescent="0.55000000000000004">
      <c r="A91" s="273">
        <v>84</v>
      </c>
      <c r="B91" s="74" t="s">
        <v>113</v>
      </c>
      <c r="C91" s="274" t="s">
        <v>158</v>
      </c>
      <c r="D91" s="428">
        <v>105400</v>
      </c>
      <c r="E91" s="428">
        <v>0</v>
      </c>
      <c r="F91" s="416">
        <f t="shared" si="5"/>
        <v>105400</v>
      </c>
      <c r="G91" s="285">
        <v>0</v>
      </c>
      <c r="H91" s="285">
        <v>0</v>
      </c>
      <c r="I91" s="288">
        <f t="shared" si="6"/>
        <v>105400</v>
      </c>
      <c r="J91" s="691">
        <f t="shared" si="7"/>
        <v>0</v>
      </c>
      <c r="K91" s="691">
        <f t="shared" si="8"/>
        <v>0</v>
      </c>
      <c r="L91" s="280">
        <f t="shared" si="9"/>
        <v>0</v>
      </c>
    </row>
    <row r="92" spans="1:12" s="280" customFormat="1" ht="24" x14ac:dyDescent="0.55000000000000004">
      <c r="A92" s="273">
        <v>85</v>
      </c>
      <c r="B92" s="74" t="s">
        <v>113</v>
      </c>
      <c r="C92" s="274" t="s">
        <v>52</v>
      </c>
      <c r="D92" s="428">
        <v>68200</v>
      </c>
      <c r="E92" s="428">
        <v>0</v>
      </c>
      <c r="F92" s="416">
        <f t="shared" si="5"/>
        <v>68200</v>
      </c>
      <c r="G92" s="285">
        <v>0</v>
      </c>
      <c r="H92" s="285">
        <v>0</v>
      </c>
      <c r="I92" s="288">
        <f t="shared" si="6"/>
        <v>68200</v>
      </c>
      <c r="J92" s="691">
        <f t="shared" si="7"/>
        <v>0</v>
      </c>
      <c r="K92" s="691">
        <f t="shared" si="8"/>
        <v>0</v>
      </c>
      <c r="L92" s="280">
        <f t="shared" si="9"/>
        <v>0</v>
      </c>
    </row>
    <row r="93" spans="1:12" s="280" customFormat="1" ht="24" x14ac:dyDescent="0.55000000000000004">
      <c r="A93" s="273">
        <v>86</v>
      </c>
      <c r="B93" s="74" t="s">
        <v>113</v>
      </c>
      <c r="C93" s="274" t="s">
        <v>53</v>
      </c>
      <c r="D93" s="428">
        <v>0</v>
      </c>
      <c r="E93" s="428">
        <v>0</v>
      </c>
      <c r="F93" s="416">
        <f t="shared" si="5"/>
        <v>0</v>
      </c>
      <c r="G93" s="285">
        <v>0</v>
      </c>
      <c r="H93" s="285">
        <v>0</v>
      </c>
      <c r="I93" s="288">
        <f t="shared" si="6"/>
        <v>0</v>
      </c>
      <c r="J93" s="691">
        <v>0</v>
      </c>
      <c r="K93" s="691">
        <v>0</v>
      </c>
      <c r="L93" s="280">
        <f t="shared" si="9"/>
        <v>0</v>
      </c>
    </row>
    <row r="94" spans="1:12" s="280" customFormat="1" ht="24" x14ac:dyDescent="0.55000000000000004">
      <c r="A94" s="273">
        <v>87</v>
      </c>
      <c r="B94" s="74" t="s">
        <v>113</v>
      </c>
      <c r="C94" s="274" t="s">
        <v>159</v>
      </c>
      <c r="D94" s="428">
        <v>209700</v>
      </c>
      <c r="E94" s="428">
        <v>0</v>
      </c>
      <c r="F94" s="416">
        <f t="shared" si="5"/>
        <v>209700</v>
      </c>
      <c r="G94" s="285">
        <v>0</v>
      </c>
      <c r="H94" s="285">
        <v>0</v>
      </c>
      <c r="I94" s="288">
        <f t="shared" si="6"/>
        <v>209700</v>
      </c>
      <c r="J94" s="691">
        <f t="shared" si="7"/>
        <v>0</v>
      </c>
      <c r="K94" s="691">
        <f t="shared" si="8"/>
        <v>0</v>
      </c>
      <c r="L94" s="280">
        <f t="shared" si="9"/>
        <v>0</v>
      </c>
    </row>
    <row r="95" spans="1:12" s="280" customFormat="1" ht="24" x14ac:dyDescent="0.55000000000000004">
      <c r="A95" s="273">
        <v>88</v>
      </c>
      <c r="B95" s="74" t="s">
        <v>113</v>
      </c>
      <c r="C95" s="274" t="s">
        <v>160</v>
      </c>
      <c r="D95" s="428">
        <v>17600</v>
      </c>
      <c r="E95" s="428">
        <v>0</v>
      </c>
      <c r="F95" s="416">
        <f t="shared" si="5"/>
        <v>17600</v>
      </c>
      <c r="G95" s="285">
        <v>0</v>
      </c>
      <c r="H95" s="285">
        <v>0</v>
      </c>
      <c r="I95" s="288">
        <f t="shared" si="6"/>
        <v>17600</v>
      </c>
      <c r="J95" s="691">
        <f t="shared" si="7"/>
        <v>0</v>
      </c>
      <c r="K95" s="691">
        <f t="shared" si="8"/>
        <v>0</v>
      </c>
      <c r="L95" s="280">
        <f t="shared" si="9"/>
        <v>0</v>
      </c>
    </row>
    <row r="96" spans="1:12" s="280" customFormat="1" ht="24" x14ac:dyDescent="0.55000000000000004">
      <c r="A96" s="273">
        <v>89</v>
      </c>
      <c r="B96" s="74" t="s">
        <v>113</v>
      </c>
      <c r="C96" s="274" t="s">
        <v>161</v>
      </c>
      <c r="D96" s="428">
        <v>288500</v>
      </c>
      <c r="E96" s="428">
        <v>460000</v>
      </c>
      <c r="F96" s="416">
        <f t="shared" si="5"/>
        <v>748500</v>
      </c>
      <c r="G96" s="285">
        <v>0</v>
      </c>
      <c r="H96" s="285">
        <v>0</v>
      </c>
      <c r="I96" s="288">
        <f t="shared" si="6"/>
        <v>748500</v>
      </c>
      <c r="J96" s="691">
        <f t="shared" si="7"/>
        <v>0</v>
      </c>
      <c r="K96" s="691">
        <f t="shared" si="8"/>
        <v>0</v>
      </c>
      <c r="L96" s="280">
        <f t="shared" si="9"/>
        <v>0</v>
      </c>
    </row>
    <row r="97" spans="1:12" s="280" customFormat="1" ht="24" x14ac:dyDescent="0.55000000000000004">
      <c r="A97" s="273">
        <v>90</v>
      </c>
      <c r="B97" s="74" t="s">
        <v>113</v>
      </c>
      <c r="C97" s="274" t="s">
        <v>54</v>
      </c>
      <c r="D97" s="428">
        <v>44000</v>
      </c>
      <c r="E97" s="428">
        <v>0</v>
      </c>
      <c r="F97" s="416">
        <f t="shared" si="5"/>
        <v>44000</v>
      </c>
      <c r="G97" s="285">
        <v>0</v>
      </c>
      <c r="H97" s="285">
        <v>0</v>
      </c>
      <c r="I97" s="288">
        <f t="shared" si="6"/>
        <v>44000</v>
      </c>
      <c r="J97" s="691">
        <f t="shared" si="7"/>
        <v>0</v>
      </c>
      <c r="K97" s="691">
        <f t="shared" si="8"/>
        <v>0</v>
      </c>
      <c r="L97" s="280">
        <f t="shared" si="9"/>
        <v>0</v>
      </c>
    </row>
    <row r="98" spans="1:12" s="280" customFormat="1" ht="24" x14ac:dyDescent="0.55000000000000004">
      <c r="A98" s="273">
        <v>91</v>
      </c>
      <c r="B98" s="74" t="s">
        <v>113</v>
      </c>
      <c r="C98" s="274" t="s">
        <v>55</v>
      </c>
      <c r="D98" s="428">
        <v>94700</v>
      </c>
      <c r="E98" s="428">
        <v>0</v>
      </c>
      <c r="F98" s="416">
        <f t="shared" si="5"/>
        <v>94700</v>
      </c>
      <c r="G98" s="285">
        <v>0</v>
      </c>
      <c r="H98" s="285">
        <v>0</v>
      </c>
      <c r="I98" s="288">
        <f t="shared" si="6"/>
        <v>94700</v>
      </c>
      <c r="J98" s="691">
        <f t="shared" si="7"/>
        <v>0</v>
      </c>
      <c r="K98" s="691">
        <f t="shared" si="8"/>
        <v>0</v>
      </c>
      <c r="L98" s="280">
        <f t="shared" si="9"/>
        <v>0</v>
      </c>
    </row>
    <row r="99" spans="1:12" s="280" customFormat="1" ht="24" x14ac:dyDescent="0.55000000000000004">
      <c r="A99" s="273">
        <v>92</v>
      </c>
      <c r="B99" s="74" t="s">
        <v>115</v>
      </c>
      <c r="C99" s="274" t="s">
        <v>20</v>
      </c>
      <c r="D99" s="428">
        <v>805200</v>
      </c>
      <c r="E99" s="428">
        <v>0</v>
      </c>
      <c r="F99" s="416">
        <f t="shared" si="5"/>
        <v>805200</v>
      </c>
      <c r="G99" s="285">
        <v>0</v>
      </c>
      <c r="H99" s="285">
        <v>0</v>
      </c>
      <c r="I99" s="288">
        <f t="shared" si="6"/>
        <v>805200</v>
      </c>
      <c r="J99" s="691">
        <f t="shared" si="7"/>
        <v>0</v>
      </c>
      <c r="K99" s="691">
        <f t="shared" si="8"/>
        <v>0</v>
      </c>
      <c r="L99" s="280">
        <f t="shared" si="9"/>
        <v>0</v>
      </c>
    </row>
    <row r="100" spans="1:12" s="280" customFormat="1" ht="24" x14ac:dyDescent="0.55000000000000004">
      <c r="A100" s="273">
        <v>93</v>
      </c>
      <c r="B100" s="74" t="s">
        <v>115</v>
      </c>
      <c r="C100" s="274" t="s">
        <v>162</v>
      </c>
      <c r="D100" s="428">
        <v>1139700</v>
      </c>
      <c r="E100" s="428">
        <v>0</v>
      </c>
      <c r="F100" s="416">
        <f t="shared" si="5"/>
        <v>1139700</v>
      </c>
      <c r="G100" s="285">
        <v>0</v>
      </c>
      <c r="H100" s="285">
        <v>0</v>
      </c>
      <c r="I100" s="288">
        <f t="shared" si="6"/>
        <v>1139700</v>
      </c>
      <c r="J100" s="691">
        <f t="shared" si="7"/>
        <v>0</v>
      </c>
      <c r="K100" s="691">
        <f t="shared" si="8"/>
        <v>0</v>
      </c>
      <c r="L100" s="280">
        <f t="shared" si="9"/>
        <v>0</v>
      </c>
    </row>
    <row r="101" spans="1:12" s="280" customFormat="1" ht="24" x14ac:dyDescent="0.55000000000000004">
      <c r="A101" s="273">
        <v>94</v>
      </c>
      <c r="B101" s="74" t="s">
        <v>113</v>
      </c>
      <c r="C101" s="274" t="s">
        <v>89</v>
      </c>
      <c r="D101" s="428">
        <v>72300</v>
      </c>
      <c r="E101" s="428">
        <v>0</v>
      </c>
      <c r="F101" s="416">
        <f t="shared" si="5"/>
        <v>72300</v>
      </c>
      <c r="G101" s="285">
        <v>0</v>
      </c>
      <c r="H101" s="285">
        <v>72300</v>
      </c>
      <c r="I101" s="288">
        <f t="shared" si="6"/>
        <v>0</v>
      </c>
      <c r="J101" s="691">
        <f t="shared" si="7"/>
        <v>100</v>
      </c>
      <c r="K101" s="691">
        <f t="shared" si="8"/>
        <v>100</v>
      </c>
      <c r="L101" s="280">
        <f t="shared" si="9"/>
        <v>72300</v>
      </c>
    </row>
    <row r="102" spans="1:12" s="280" customFormat="1" ht="24" x14ac:dyDescent="0.55000000000000004">
      <c r="A102" s="273">
        <v>95</v>
      </c>
      <c r="B102" s="74" t="s">
        <v>115</v>
      </c>
      <c r="C102" s="274" t="s">
        <v>43</v>
      </c>
      <c r="D102" s="428">
        <v>491500</v>
      </c>
      <c r="E102" s="428">
        <v>0</v>
      </c>
      <c r="F102" s="416">
        <f t="shared" si="5"/>
        <v>491500</v>
      </c>
      <c r="G102" s="285">
        <v>17900</v>
      </c>
      <c r="H102" s="285">
        <v>429448</v>
      </c>
      <c r="I102" s="288">
        <f t="shared" si="6"/>
        <v>44152</v>
      </c>
      <c r="J102" s="691">
        <f t="shared" si="7"/>
        <v>87.374974567650057</v>
      </c>
      <c r="K102" s="691">
        <f t="shared" si="8"/>
        <v>91.016887080366232</v>
      </c>
      <c r="L102" s="280">
        <f t="shared" si="9"/>
        <v>447348</v>
      </c>
    </row>
    <row r="103" spans="1:12" s="280" customFormat="1" ht="24.75" thickBot="1" x14ac:dyDescent="0.6">
      <c r="A103" s="289">
        <v>96</v>
      </c>
      <c r="B103" s="290" t="s">
        <v>115</v>
      </c>
      <c r="C103" s="291" t="s">
        <v>222</v>
      </c>
      <c r="D103" s="428">
        <v>185300</v>
      </c>
      <c r="E103" s="428">
        <v>0</v>
      </c>
      <c r="F103" s="416">
        <f t="shared" si="5"/>
        <v>185300</v>
      </c>
      <c r="G103" s="285">
        <v>168590</v>
      </c>
      <c r="H103" s="285">
        <v>0</v>
      </c>
      <c r="I103" s="288">
        <f t="shared" si="6"/>
        <v>16710</v>
      </c>
      <c r="J103" s="691">
        <f t="shared" si="7"/>
        <v>0</v>
      </c>
      <c r="K103" s="691">
        <f t="shared" si="8"/>
        <v>90.982191041554231</v>
      </c>
      <c r="L103" s="280">
        <f t="shared" si="9"/>
        <v>168590</v>
      </c>
    </row>
    <row r="104" spans="1:12" s="284" customFormat="1" ht="25.5" thickTop="1" thickBot="1" x14ac:dyDescent="0.6">
      <c r="A104" s="1170" t="s">
        <v>164</v>
      </c>
      <c r="B104" s="1171"/>
      <c r="C104" s="1172"/>
      <c r="D104" s="481">
        <f t="shared" ref="D104:I104" si="10">SUM(D8:D103)</f>
        <v>19128700</v>
      </c>
      <c r="E104" s="481">
        <f t="shared" si="10"/>
        <v>49094800</v>
      </c>
      <c r="F104" s="481">
        <f t="shared" si="10"/>
        <v>68223500</v>
      </c>
      <c r="G104" s="481">
        <f>SUM(G8:G103)</f>
        <v>7587410</v>
      </c>
      <c r="H104" s="481">
        <f>SUM(H8:H103)</f>
        <v>1322506.5</v>
      </c>
      <c r="I104" s="481">
        <f t="shared" si="10"/>
        <v>59313583.5</v>
      </c>
      <c r="J104" s="1001">
        <f>H104*100/F104</f>
        <v>1.9384911357523433</v>
      </c>
      <c r="K104" s="1001">
        <f t="shared" ref="K104" si="11">+L104*100/F104</f>
        <v>13.059893585055002</v>
      </c>
      <c r="L104" s="284">
        <f t="shared" si="9"/>
        <v>8909916.5</v>
      </c>
    </row>
    <row r="105" spans="1:12" s="656" customFormat="1" ht="28.5" hidden="1" thickTop="1" x14ac:dyDescent="0.65">
      <c r="A105" s="656" t="s">
        <v>207</v>
      </c>
      <c r="B105" s="657"/>
      <c r="C105" s="1169" t="s">
        <v>208</v>
      </c>
      <c r="D105" s="1169"/>
      <c r="E105" s="1169"/>
      <c r="F105" s="1169"/>
      <c r="G105" s="1169"/>
      <c r="H105" s="1169"/>
      <c r="I105" s="1169"/>
      <c r="J105" s="1169"/>
    </row>
    <row r="106" spans="1:12" ht="28.5" thickTop="1" x14ac:dyDescent="0.65">
      <c r="A106" s="650" t="s">
        <v>165</v>
      </c>
      <c r="B106" s="877"/>
      <c r="C106" s="650" t="s">
        <v>849</v>
      </c>
      <c r="G106" s="872"/>
    </row>
    <row r="107" spans="1:12" hidden="1" x14ac:dyDescent="0.65">
      <c r="C107" s="1168" t="s">
        <v>804</v>
      </c>
      <c r="D107" s="1168"/>
      <c r="E107" s="1168"/>
      <c r="F107" s="1168"/>
      <c r="G107" s="1168"/>
      <c r="H107" s="1168"/>
      <c r="I107" s="1168"/>
    </row>
    <row r="108" spans="1:12" hidden="1" x14ac:dyDescent="0.65">
      <c r="C108" s="1168" t="s">
        <v>847</v>
      </c>
      <c r="D108" s="1168"/>
      <c r="E108" s="1168"/>
      <c r="F108" s="1168"/>
      <c r="G108" s="1168"/>
      <c r="H108" s="1168"/>
      <c r="I108" s="1168"/>
    </row>
    <row r="109" spans="1:12" hidden="1" x14ac:dyDescent="0.65">
      <c r="F109" s="661">
        <v>174475731</v>
      </c>
      <c r="J109" s="662"/>
    </row>
    <row r="110" spans="1:12" hidden="1" x14ac:dyDescent="0.65">
      <c r="F110" s="661">
        <f>+E104</f>
        <v>49094800</v>
      </c>
      <c r="J110" s="663"/>
    </row>
    <row r="111" spans="1:12" hidden="1" x14ac:dyDescent="0.65">
      <c r="F111" s="661">
        <f>+F109-F110</f>
        <v>125380931</v>
      </c>
    </row>
    <row r="112" spans="1:12" hidden="1" x14ac:dyDescent="0.65">
      <c r="D112" s="658">
        <f>+รายงานผู้บริหาร!B10</f>
        <v>19128700</v>
      </c>
      <c r="E112" s="658">
        <f>+รายงานผู้บริหาร!B11</f>
        <v>99165600</v>
      </c>
      <c r="F112" s="661">
        <v>198149399</v>
      </c>
    </row>
    <row r="113" spans="5:6" hidden="1" x14ac:dyDescent="0.65">
      <c r="E113" s="658">
        <f>+E112-E104</f>
        <v>50070800</v>
      </c>
      <c r="F113" s="661">
        <f>+F112-F104</f>
        <v>129925899</v>
      </c>
    </row>
  </sheetData>
  <mergeCells count="12">
    <mergeCell ref="C108:I108"/>
    <mergeCell ref="C107:I107"/>
    <mergeCell ref="A1:K1"/>
    <mergeCell ref="A2:K2"/>
    <mergeCell ref="A4:K4"/>
    <mergeCell ref="A5:K5"/>
    <mergeCell ref="C105:J105"/>
    <mergeCell ref="A104:C104"/>
    <mergeCell ref="A3:J3"/>
    <mergeCell ref="A6:A7"/>
    <mergeCell ref="B6:C7"/>
    <mergeCell ref="D6:F6"/>
  </mergeCells>
  <pageMargins left="0.47244094488188998" right="0.32" top="0.74803149606299202" bottom="0.74803149606299202" header="0.31496062992126" footer="0.31496062992126"/>
  <pageSetup paperSize="9" scale="68" orientation="portrait" r:id="rId1"/>
  <headerFooter>
    <oddFooter>&amp;Lกลุ่มงานบัญชีและงบประมาณ&amp;Rหน้าที่ &amp;P จาก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11"/>
  <sheetViews>
    <sheetView zoomScale="110" zoomScaleNormal="110" workbookViewId="0">
      <selection activeCell="E9" sqref="E9"/>
    </sheetView>
  </sheetViews>
  <sheetFormatPr defaultRowHeight="24" x14ac:dyDescent="0.55000000000000004"/>
  <cols>
    <col min="1" max="1" width="6.85546875" style="280" customWidth="1"/>
    <col min="2" max="2" width="4.7109375" style="875" customWidth="1"/>
    <col min="3" max="3" width="12.5703125" style="876" customWidth="1"/>
    <col min="4" max="4" width="17.5703125" style="874" bestFit="1" customWidth="1"/>
    <col min="5" max="6" width="15.7109375" style="874" customWidth="1"/>
    <col min="7" max="7" width="17.5703125" style="873" bestFit="1" customWidth="1"/>
    <col min="8" max="8" width="15" style="873" customWidth="1"/>
    <col min="9" max="9" width="18.42578125" style="873" bestFit="1" customWidth="1"/>
    <col min="10" max="10" width="12.140625" style="280" hidden="1" customWidth="1"/>
    <col min="11" max="11" width="15" style="280" hidden="1" customWidth="1"/>
    <col min="12" max="12" width="12.42578125" style="280" hidden="1" customWidth="1"/>
    <col min="13" max="13" width="11" style="280" hidden="1" customWidth="1"/>
    <col min="14" max="14" width="14.140625" style="874" hidden="1" customWidth="1"/>
    <col min="15" max="15" width="0" style="280" hidden="1" customWidth="1"/>
    <col min="16" max="16384" width="9.140625" style="280"/>
  </cols>
  <sheetData>
    <row r="1" spans="1:15" s="282" customFormat="1" ht="27.75" x14ac:dyDescent="0.65">
      <c r="A1" s="1153" t="s">
        <v>743</v>
      </c>
      <c r="B1" s="1153"/>
      <c r="C1" s="1153"/>
      <c r="D1" s="1153"/>
      <c r="E1" s="1153"/>
      <c r="F1" s="1153"/>
      <c r="G1" s="1153"/>
      <c r="H1" s="1153"/>
      <c r="I1" s="1153"/>
      <c r="N1" s="873"/>
    </row>
    <row r="2" spans="1:15" s="282" customFormat="1" ht="27.75" x14ac:dyDescent="0.55000000000000004">
      <c r="A2" s="1154" t="str">
        <f>+'5.งบลงทุน'!A2:J2</f>
        <v xml:space="preserve">สรุปสถานะการใช้จ่ายเงินงบประมาณประจำปีงบประมาณ พ.ศ. 2565 ในระบบ GFMIS     </v>
      </c>
      <c r="B2" s="1154"/>
      <c r="C2" s="1154"/>
      <c r="D2" s="1154"/>
      <c r="E2" s="1154"/>
      <c r="F2" s="1154"/>
      <c r="G2" s="1154"/>
      <c r="H2" s="1154"/>
      <c r="I2" s="1154"/>
      <c r="N2" s="873"/>
    </row>
    <row r="3" spans="1:15" s="282" customFormat="1" ht="27.75" x14ac:dyDescent="0.55000000000000004">
      <c r="A3" s="1155" t="s">
        <v>284</v>
      </c>
      <c r="B3" s="1155"/>
      <c r="C3" s="1155"/>
      <c r="D3" s="1155"/>
      <c r="E3" s="1155"/>
      <c r="F3" s="1155"/>
      <c r="G3" s="1155"/>
      <c r="H3" s="1155"/>
      <c r="I3" s="1155"/>
      <c r="N3" s="873"/>
    </row>
    <row r="4" spans="1:15" s="282" customFormat="1" ht="27.75" x14ac:dyDescent="0.55000000000000004">
      <c r="A4" s="1158" t="str">
        <f>+รายจ่ายจริง!A3:P3</f>
        <v>ตั้งแต่วันที่ 1  ตุลาคม 2564 ถึงวันที่ 31 ตุลาคม 2564</v>
      </c>
      <c r="B4" s="1158"/>
      <c r="C4" s="1158"/>
      <c r="D4" s="1158"/>
      <c r="E4" s="1158"/>
      <c r="F4" s="1158"/>
      <c r="G4" s="1158"/>
      <c r="H4" s="1158"/>
      <c r="I4" s="1158"/>
      <c r="N4" s="873"/>
    </row>
    <row r="5" spans="1:15" s="282" customFormat="1" x14ac:dyDescent="0.55000000000000004">
      <c r="A5" s="1176" t="s">
        <v>0</v>
      </c>
      <c r="B5" s="1176" t="s">
        <v>1</v>
      </c>
      <c r="C5" s="1176"/>
      <c r="D5" s="345" t="s">
        <v>67</v>
      </c>
      <c r="E5" s="300" t="s">
        <v>109</v>
      </c>
      <c r="F5" s="345" t="s">
        <v>110</v>
      </c>
      <c r="G5" s="345" t="s">
        <v>60</v>
      </c>
      <c r="H5" s="345" t="s">
        <v>66</v>
      </c>
      <c r="I5" s="345" t="s">
        <v>66</v>
      </c>
      <c r="N5" s="873"/>
    </row>
    <row r="6" spans="1:15" s="282" customFormat="1" x14ac:dyDescent="0.55000000000000004">
      <c r="A6" s="1176"/>
      <c r="B6" s="1176"/>
      <c r="C6" s="1176"/>
      <c r="D6" s="283" t="s">
        <v>2</v>
      </c>
      <c r="E6" s="283" t="s">
        <v>2</v>
      </c>
      <c r="F6" s="283" t="s">
        <v>2</v>
      </c>
      <c r="G6" s="283" t="s">
        <v>2</v>
      </c>
      <c r="H6" s="283" t="s">
        <v>111</v>
      </c>
      <c r="I6" s="283" t="s">
        <v>787</v>
      </c>
      <c r="N6" s="873"/>
    </row>
    <row r="7" spans="1:15" x14ac:dyDescent="0.55000000000000004">
      <c r="A7" s="273">
        <v>1</v>
      </c>
      <c r="B7" s="74" t="s">
        <v>112</v>
      </c>
      <c r="C7" s="274"/>
      <c r="D7" s="285">
        <v>10620600</v>
      </c>
      <c r="E7" s="416">
        <v>0</v>
      </c>
      <c r="F7" s="285">
        <v>0</v>
      </c>
      <c r="G7" s="288">
        <f>+D7-E7-F7</f>
        <v>10620600</v>
      </c>
      <c r="H7" s="691">
        <f>F7*100/D7</f>
        <v>0</v>
      </c>
      <c r="I7" s="691">
        <f>+J7*100/D7</f>
        <v>0</v>
      </c>
      <c r="J7" s="347">
        <f>+E7+F7</f>
        <v>0</v>
      </c>
      <c r="K7" s="347">
        <f>31733400-D103</f>
        <v>17336600</v>
      </c>
      <c r="N7" s="874">
        <v>1595044.64</v>
      </c>
      <c r="O7" s="666">
        <f>+G7-N7</f>
        <v>9025555.3599999994</v>
      </c>
    </row>
    <row r="8" spans="1:15" x14ac:dyDescent="0.55000000000000004">
      <c r="A8" s="273">
        <v>2</v>
      </c>
      <c r="B8" s="74" t="s">
        <v>113</v>
      </c>
      <c r="C8" s="274" t="s">
        <v>114</v>
      </c>
      <c r="D8" s="285">
        <v>30000</v>
      </c>
      <c r="E8" s="416">
        <v>0</v>
      </c>
      <c r="F8" s="285">
        <v>0</v>
      </c>
      <c r="G8" s="288">
        <f t="shared" ref="G8:G71" si="0">+D8-E8-F8</f>
        <v>30000</v>
      </c>
      <c r="H8" s="691">
        <f t="shared" ref="H8:H71" si="1">F8*100/D8</f>
        <v>0</v>
      </c>
      <c r="I8" s="691">
        <f t="shared" ref="I8:I71" si="2">+J8*100/D8</f>
        <v>0</v>
      </c>
      <c r="J8" s="280">
        <f t="shared" ref="J8:J71" si="3">+E8+F8</f>
        <v>0</v>
      </c>
    </row>
    <row r="9" spans="1:15" x14ac:dyDescent="0.55000000000000004">
      <c r="A9" s="273">
        <v>3</v>
      </c>
      <c r="B9" s="74" t="s">
        <v>115</v>
      </c>
      <c r="C9" s="274" t="s">
        <v>18</v>
      </c>
      <c r="D9" s="285">
        <v>106000</v>
      </c>
      <c r="E9" s="416">
        <v>0</v>
      </c>
      <c r="F9" s="285">
        <v>0</v>
      </c>
      <c r="G9" s="288">
        <f t="shared" si="0"/>
        <v>106000</v>
      </c>
      <c r="H9" s="691">
        <f t="shared" si="1"/>
        <v>0</v>
      </c>
      <c r="I9" s="691">
        <f t="shared" si="2"/>
        <v>0</v>
      </c>
      <c r="J9" s="280">
        <f t="shared" si="3"/>
        <v>0</v>
      </c>
    </row>
    <row r="10" spans="1:15" x14ac:dyDescent="0.55000000000000004">
      <c r="A10" s="273">
        <v>4</v>
      </c>
      <c r="B10" s="74" t="s">
        <v>115</v>
      </c>
      <c r="C10" s="274" t="s">
        <v>76</v>
      </c>
      <c r="D10" s="285">
        <v>63000</v>
      </c>
      <c r="E10" s="416">
        <v>0</v>
      </c>
      <c r="F10" s="285">
        <v>0</v>
      </c>
      <c r="G10" s="288">
        <f t="shared" si="0"/>
        <v>63000</v>
      </c>
      <c r="H10" s="691">
        <f t="shared" si="1"/>
        <v>0</v>
      </c>
      <c r="I10" s="691">
        <f t="shared" si="2"/>
        <v>0</v>
      </c>
      <c r="J10" s="280">
        <f t="shared" si="3"/>
        <v>0</v>
      </c>
    </row>
    <row r="11" spans="1:15" x14ac:dyDescent="0.55000000000000004">
      <c r="A11" s="273">
        <v>5</v>
      </c>
      <c r="B11" s="74" t="s">
        <v>115</v>
      </c>
      <c r="C11" s="274" t="s">
        <v>116</v>
      </c>
      <c r="D11" s="285">
        <v>73000</v>
      </c>
      <c r="E11" s="416">
        <v>0</v>
      </c>
      <c r="F11" s="285">
        <v>0</v>
      </c>
      <c r="G11" s="288">
        <f t="shared" si="0"/>
        <v>73000</v>
      </c>
      <c r="H11" s="691">
        <f t="shared" si="1"/>
        <v>0</v>
      </c>
      <c r="I11" s="691">
        <f t="shared" si="2"/>
        <v>0</v>
      </c>
      <c r="J11" s="280">
        <f t="shared" si="3"/>
        <v>0</v>
      </c>
    </row>
    <row r="12" spans="1:15" x14ac:dyDescent="0.55000000000000004">
      <c r="A12" s="273">
        <v>6</v>
      </c>
      <c r="B12" s="74" t="s">
        <v>115</v>
      </c>
      <c r="C12" s="274" t="s">
        <v>73</v>
      </c>
      <c r="D12" s="285">
        <v>62000</v>
      </c>
      <c r="E12" s="416">
        <v>0</v>
      </c>
      <c r="F12" s="285">
        <v>0</v>
      </c>
      <c r="G12" s="288">
        <f t="shared" si="0"/>
        <v>62000</v>
      </c>
      <c r="H12" s="691">
        <f t="shared" si="1"/>
        <v>0</v>
      </c>
      <c r="I12" s="691">
        <f t="shared" si="2"/>
        <v>0</v>
      </c>
      <c r="J12" s="280">
        <f t="shared" si="3"/>
        <v>0</v>
      </c>
    </row>
    <row r="13" spans="1:15" x14ac:dyDescent="0.55000000000000004">
      <c r="A13" s="273">
        <v>7</v>
      </c>
      <c r="B13" s="74" t="s">
        <v>115</v>
      </c>
      <c r="C13" s="274" t="s">
        <v>106</v>
      </c>
      <c r="D13" s="285">
        <v>71000</v>
      </c>
      <c r="E13" s="416">
        <v>0</v>
      </c>
      <c r="F13" s="285">
        <v>0</v>
      </c>
      <c r="G13" s="288">
        <f t="shared" si="0"/>
        <v>71000</v>
      </c>
      <c r="H13" s="691">
        <f t="shared" si="1"/>
        <v>0</v>
      </c>
      <c r="I13" s="691">
        <f t="shared" si="2"/>
        <v>0</v>
      </c>
      <c r="J13" s="280">
        <f t="shared" si="3"/>
        <v>0</v>
      </c>
      <c r="L13" s="666">
        <f>+D13+D102</f>
        <v>106000</v>
      </c>
    </row>
    <row r="14" spans="1:15" x14ac:dyDescent="0.55000000000000004">
      <c r="A14" s="273">
        <v>8</v>
      </c>
      <c r="B14" s="74" t="s">
        <v>115</v>
      </c>
      <c r="C14" s="274" t="s">
        <v>117</v>
      </c>
      <c r="D14" s="285">
        <v>90000</v>
      </c>
      <c r="E14" s="416">
        <v>0</v>
      </c>
      <c r="F14" s="285">
        <v>0</v>
      </c>
      <c r="G14" s="288">
        <f t="shared" si="0"/>
        <v>90000</v>
      </c>
      <c r="H14" s="691">
        <f t="shared" si="1"/>
        <v>0</v>
      </c>
      <c r="I14" s="691">
        <f t="shared" si="2"/>
        <v>0</v>
      </c>
      <c r="J14" s="280">
        <f t="shared" si="3"/>
        <v>0</v>
      </c>
    </row>
    <row r="15" spans="1:15" x14ac:dyDescent="0.55000000000000004">
      <c r="A15" s="273">
        <v>9</v>
      </c>
      <c r="B15" s="74" t="s">
        <v>115</v>
      </c>
      <c r="C15" s="274" t="s">
        <v>118</v>
      </c>
      <c r="D15" s="285">
        <v>99000</v>
      </c>
      <c r="E15" s="416">
        <v>0</v>
      </c>
      <c r="F15" s="285">
        <v>0</v>
      </c>
      <c r="G15" s="288">
        <f t="shared" si="0"/>
        <v>99000</v>
      </c>
      <c r="H15" s="691">
        <f t="shared" si="1"/>
        <v>0</v>
      </c>
      <c r="I15" s="691">
        <f t="shared" si="2"/>
        <v>0</v>
      </c>
      <c r="J15" s="280">
        <f t="shared" si="3"/>
        <v>0</v>
      </c>
    </row>
    <row r="16" spans="1:15" x14ac:dyDescent="0.55000000000000004">
      <c r="A16" s="273">
        <v>10</v>
      </c>
      <c r="B16" s="74" t="s">
        <v>115</v>
      </c>
      <c r="C16" s="274" t="s">
        <v>119</v>
      </c>
      <c r="D16" s="285">
        <v>161000</v>
      </c>
      <c r="E16" s="416">
        <v>0</v>
      </c>
      <c r="F16" s="285">
        <v>0</v>
      </c>
      <c r="G16" s="288">
        <f t="shared" si="0"/>
        <v>161000</v>
      </c>
      <c r="H16" s="691">
        <f t="shared" si="1"/>
        <v>0</v>
      </c>
      <c r="I16" s="691">
        <f t="shared" si="2"/>
        <v>0</v>
      </c>
      <c r="J16" s="280">
        <f t="shared" si="3"/>
        <v>0</v>
      </c>
    </row>
    <row r="17" spans="1:10" x14ac:dyDescent="0.55000000000000004">
      <c r="A17" s="273">
        <v>11</v>
      </c>
      <c r="B17" s="74" t="s">
        <v>115</v>
      </c>
      <c r="C17" s="274" t="s">
        <v>120</v>
      </c>
      <c r="D17" s="285">
        <v>177000</v>
      </c>
      <c r="E17" s="416">
        <v>0</v>
      </c>
      <c r="F17" s="285">
        <v>0</v>
      </c>
      <c r="G17" s="288">
        <f t="shared" si="0"/>
        <v>177000</v>
      </c>
      <c r="H17" s="691">
        <f t="shared" si="1"/>
        <v>0</v>
      </c>
      <c r="I17" s="691">
        <f t="shared" si="2"/>
        <v>0</v>
      </c>
      <c r="J17" s="280">
        <f t="shared" si="3"/>
        <v>0</v>
      </c>
    </row>
    <row r="18" spans="1:10" x14ac:dyDescent="0.55000000000000004">
      <c r="A18" s="273">
        <v>12</v>
      </c>
      <c r="B18" s="74" t="s">
        <v>115</v>
      </c>
      <c r="C18" s="274" t="s">
        <v>121</v>
      </c>
      <c r="D18" s="285">
        <v>179000</v>
      </c>
      <c r="E18" s="416">
        <v>0</v>
      </c>
      <c r="F18" s="285">
        <v>0</v>
      </c>
      <c r="G18" s="288">
        <f t="shared" si="0"/>
        <v>179000</v>
      </c>
      <c r="H18" s="691">
        <f t="shared" si="1"/>
        <v>0</v>
      </c>
      <c r="I18" s="691">
        <f t="shared" si="2"/>
        <v>0</v>
      </c>
      <c r="J18" s="280">
        <f t="shared" si="3"/>
        <v>0</v>
      </c>
    </row>
    <row r="19" spans="1:10" x14ac:dyDescent="0.55000000000000004">
      <c r="A19" s="273">
        <v>13</v>
      </c>
      <c r="B19" s="74" t="s">
        <v>115</v>
      </c>
      <c r="C19" s="274" t="s">
        <v>122</v>
      </c>
      <c r="D19" s="285">
        <v>159000</v>
      </c>
      <c r="E19" s="416">
        <v>0</v>
      </c>
      <c r="F19" s="285">
        <v>0</v>
      </c>
      <c r="G19" s="288">
        <f t="shared" si="0"/>
        <v>159000</v>
      </c>
      <c r="H19" s="691">
        <f t="shared" si="1"/>
        <v>0</v>
      </c>
      <c r="I19" s="691">
        <f t="shared" si="2"/>
        <v>0</v>
      </c>
      <c r="J19" s="280">
        <f t="shared" si="3"/>
        <v>0</v>
      </c>
    </row>
    <row r="20" spans="1:10" x14ac:dyDescent="0.55000000000000004">
      <c r="A20" s="273">
        <v>14</v>
      </c>
      <c r="B20" s="74" t="s">
        <v>115</v>
      </c>
      <c r="C20" s="274" t="s">
        <v>123</v>
      </c>
      <c r="D20" s="285">
        <v>161000</v>
      </c>
      <c r="E20" s="416">
        <v>0</v>
      </c>
      <c r="F20" s="285">
        <v>0</v>
      </c>
      <c r="G20" s="288">
        <f t="shared" si="0"/>
        <v>161000</v>
      </c>
      <c r="H20" s="691">
        <f t="shared" si="1"/>
        <v>0</v>
      </c>
      <c r="I20" s="691">
        <f t="shared" si="2"/>
        <v>0</v>
      </c>
      <c r="J20" s="280">
        <f t="shared" si="3"/>
        <v>0</v>
      </c>
    </row>
    <row r="21" spans="1:10" x14ac:dyDescent="0.55000000000000004">
      <c r="A21" s="273">
        <v>15</v>
      </c>
      <c r="B21" s="74" t="s">
        <v>115</v>
      </c>
      <c r="C21" s="274" t="s">
        <v>124</v>
      </c>
      <c r="D21" s="285">
        <v>161000</v>
      </c>
      <c r="E21" s="416">
        <v>0</v>
      </c>
      <c r="F21" s="285">
        <v>0</v>
      </c>
      <c r="G21" s="288">
        <f t="shared" si="0"/>
        <v>161000</v>
      </c>
      <c r="H21" s="691">
        <f t="shared" si="1"/>
        <v>0</v>
      </c>
      <c r="I21" s="691">
        <f t="shared" si="2"/>
        <v>0</v>
      </c>
      <c r="J21" s="280">
        <f t="shared" si="3"/>
        <v>0</v>
      </c>
    </row>
    <row r="22" spans="1:10" x14ac:dyDescent="0.55000000000000004">
      <c r="A22" s="273">
        <v>16</v>
      </c>
      <c r="B22" s="74" t="s">
        <v>115</v>
      </c>
      <c r="C22" s="274" t="s">
        <v>125</v>
      </c>
      <c r="D22" s="285">
        <v>265500</v>
      </c>
      <c r="E22" s="416">
        <v>0</v>
      </c>
      <c r="F22" s="285">
        <v>0</v>
      </c>
      <c r="G22" s="288">
        <f t="shared" si="0"/>
        <v>265500</v>
      </c>
      <c r="H22" s="691">
        <f t="shared" si="1"/>
        <v>0</v>
      </c>
      <c r="I22" s="691">
        <f t="shared" si="2"/>
        <v>0</v>
      </c>
      <c r="J22" s="280">
        <f t="shared" si="3"/>
        <v>0</v>
      </c>
    </row>
    <row r="23" spans="1:10" x14ac:dyDescent="0.55000000000000004">
      <c r="A23" s="273">
        <v>17</v>
      </c>
      <c r="B23" s="74" t="s">
        <v>113</v>
      </c>
      <c r="C23" s="274" t="s">
        <v>126</v>
      </c>
      <c r="D23" s="285">
        <v>20000</v>
      </c>
      <c r="E23" s="416">
        <v>0</v>
      </c>
      <c r="F23" s="285">
        <v>0</v>
      </c>
      <c r="G23" s="288">
        <f t="shared" si="0"/>
        <v>20000</v>
      </c>
      <c r="H23" s="691">
        <f t="shared" si="1"/>
        <v>0</v>
      </c>
      <c r="I23" s="691">
        <f t="shared" si="2"/>
        <v>0</v>
      </c>
      <c r="J23" s="280">
        <f t="shared" si="3"/>
        <v>0</v>
      </c>
    </row>
    <row r="24" spans="1:10" x14ac:dyDescent="0.55000000000000004">
      <c r="A24" s="273">
        <v>18</v>
      </c>
      <c r="B24" s="74" t="s">
        <v>113</v>
      </c>
      <c r="C24" s="274" t="s">
        <v>127</v>
      </c>
      <c r="D24" s="285">
        <v>15000</v>
      </c>
      <c r="E24" s="416">
        <v>0</v>
      </c>
      <c r="F24" s="285">
        <v>0</v>
      </c>
      <c r="G24" s="288">
        <f t="shared" si="0"/>
        <v>15000</v>
      </c>
      <c r="H24" s="691">
        <f t="shared" si="1"/>
        <v>0</v>
      </c>
      <c r="I24" s="691">
        <f t="shared" si="2"/>
        <v>0</v>
      </c>
      <c r="J24" s="280">
        <f t="shared" si="3"/>
        <v>0</v>
      </c>
    </row>
    <row r="25" spans="1:10" x14ac:dyDescent="0.55000000000000004">
      <c r="A25" s="273">
        <v>19</v>
      </c>
      <c r="B25" s="74" t="s">
        <v>113</v>
      </c>
      <c r="C25" s="274" t="s">
        <v>19</v>
      </c>
      <c r="D25" s="285">
        <v>10000</v>
      </c>
      <c r="E25" s="416">
        <v>0</v>
      </c>
      <c r="F25" s="285">
        <v>0</v>
      </c>
      <c r="G25" s="288">
        <f t="shared" si="0"/>
        <v>10000</v>
      </c>
      <c r="H25" s="691">
        <f t="shared" si="1"/>
        <v>0</v>
      </c>
      <c r="I25" s="691">
        <f t="shared" si="2"/>
        <v>0</v>
      </c>
      <c r="J25" s="280">
        <f t="shared" si="3"/>
        <v>0</v>
      </c>
    </row>
    <row r="26" spans="1:10" x14ac:dyDescent="0.55000000000000004">
      <c r="A26" s="273">
        <v>20</v>
      </c>
      <c r="B26" s="74" t="s">
        <v>113</v>
      </c>
      <c r="C26" s="274" t="s">
        <v>20</v>
      </c>
      <c r="D26" s="285">
        <v>15000</v>
      </c>
      <c r="E26" s="416">
        <v>0</v>
      </c>
      <c r="F26" s="285">
        <v>0</v>
      </c>
      <c r="G26" s="288">
        <f t="shared" si="0"/>
        <v>15000</v>
      </c>
      <c r="H26" s="691">
        <f t="shared" si="1"/>
        <v>0</v>
      </c>
      <c r="I26" s="691">
        <f t="shared" si="2"/>
        <v>0</v>
      </c>
      <c r="J26" s="280">
        <f t="shared" si="3"/>
        <v>0</v>
      </c>
    </row>
    <row r="27" spans="1:10" x14ac:dyDescent="0.55000000000000004">
      <c r="A27" s="273">
        <v>21</v>
      </c>
      <c r="B27" s="74" t="s">
        <v>113</v>
      </c>
      <c r="C27" s="274" t="s">
        <v>128</v>
      </c>
      <c r="D27" s="285">
        <v>0</v>
      </c>
      <c r="E27" s="416">
        <v>0</v>
      </c>
      <c r="F27" s="285">
        <v>0</v>
      </c>
      <c r="G27" s="288">
        <f t="shared" si="0"/>
        <v>0</v>
      </c>
      <c r="H27" s="691" t="e">
        <f t="shared" si="1"/>
        <v>#DIV/0!</v>
      </c>
      <c r="I27" s="691" t="e">
        <f t="shared" si="2"/>
        <v>#DIV/0!</v>
      </c>
      <c r="J27" s="280">
        <f t="shared" si="3"/>
        <v>0</v>
      </c>
    </row>
    <row r="28" spans="1:10" x14ac:dyDescent="0.55000000000000004">
      <c r="A28" s="273">
        <v>22</v>
      </c>
      <c r="B28" s="74" t="s">
        <v>113</v>
      </c>
      <c r="C28" s="274" t="s">
        <v>129</v>
      </c>
      <c r="D28" s="285">
        <v>0</v>
      </c>
      <c r="E28" s="416">
        <v>0</v>
      </c>
      <c r="F28" s="285">
        <v>0</v>
      </c>
      <c r="G28" s="288">
        <f t="shared" si="0"/>
        <v>0</v>
      </c>
      <c r="H28" s="691" t="e">
        <f t="shared" si="1"/>
        <v>#DIV/0!</v>
      </c>
      <c r="I28" s="691" t="e">
        <f t="shared" si="2"/>
        <v>#DIV/0!</v>
      </c>
      <c r="J28" s="280">
        <f t="shared" si="3"/>
        <v>0</v>
      </c>
    </row>
    <row r="29" spans="1:10" x14ac:dyDescent="0.55000000000000004">
      <c r="A29" s="273">
        <v>23</v>
      </c>
      <c r="B29" s="74" t="s">
        <v>113</v>
      </c>
      <c r="C29" s="274" t="s">
        <v>130</v>
      </c>
      <c r="D29" s="285">
        <v>15000</v>
      </c>
      <c r="E29" s="416">
        <v>0</v>
      </c>
      <c r="F29" s="285">
        <v>0</v>
      </c>
      <c r="G29" s="288">
        <f t="shared" si="0"/>
        <v>15000</v>
      </c>
      <c r="H29" s="691">
        <f t="shared" si="1"/>
        <v>0</v>
      </c>
      <c r="I29" s="691">
        <f t="shared" si="2"/>
        <v>0</v>
      </c>
      <c r="J29" s="280">
        <f t="shared" si="3"/>
        <v>0</v>
      </c>
    </row>
    <row r="30" spans="1:10" x14ac:dyDescent="0.55000000000000004">
      <c r="A30" s="273">
        <v>24</v>
      </c>
      <c r="B30" s="74" t="s">
        <v>113</v>
      </c>
      <c r="C30" s="274" t="s">
        <v>21</v>
      </c>
      <c r="D30" s="285">
        <v>15000</v>
      </c>
      <c r="E30" s="416">
        <v>0</v>
      </c>
      <c r="F30" s="285">
        <v>0</v>
      </c>
      <c r="G30" s="288">
        <f t="shared" si="0"/>
        <v>15000</v>
      </c>
      <c r="H30" s="691">
        <f t="shared" si="1"/>
        <v>0</v>
      </c>
      <c r="I30" s="691">
        <f t="shared" si="2"/>
        <v>0</v>
      </c>
      <c r="J30" s="280">
        <f t="shared" si="3"/>
        <v>0</v>
      </c>
    </row>
    <row r="31" spans="1:10" x14ac:dyDescent="0.55000000000000004">
      <c r="A31" s="273">
        <v>25</v>
      </c>
      <c r="B31" s="74" t="s">
        <v>113</v>
      </c>
      <c r="C31" s="274" t="s">
        <v>22</v>
      </c>
      <c r="D31" s="285">
        <v>15000</v>
      </c>
      <c r="E31" s="416">
        <v>0</v>
      </c>
      <c r="F31" s="285">
        <v>0</v>
      </c>
      <c r="G31" s="288">
        <f t="shared" si="0"/>
        <v>15000</v>
      </c>
      <c r="H31" s="691">
        <f t="shared" si="1"/>
        <v>0</v>
      </c>
      <c r="I31" s="691">
        <f t="shared" si="2"/>
        <v>0</v>
      </c>
      <c r="J31" s="280">
        <f t="shared" si="3"/>
        <v>0</v>
      </c>
    </row>
    <row r="32" spans="1:10" x14ac:dyDescent="0.55000000000000004">
      <c r="A32" s="273">
        <v>25</v>
      </c>
      <c r="B32" s="74" t="s">
        <v>113</v>
      </c>
      <c r="C32" s="274" t="s">
        <v>131</v>
      </c>
      <c r="D32" s="285">
        <v>15000</v>
      </c>
      <c r="E32" s="416">
        <v>0</v>
      </c>
      <c r="F32" s="285">
        <v>0</v>
      </c>
      <c r="G32" s="288">
        <f t="shared" si="0"/>
        <v>15000</v>
      </c>
      <c r="H32" s="691">
        <f t="shared" si="1"/>
        <v>0</v>
      </c>
      <c r="I32" s="691">
        <f t="shared" si="2"/>
        <v>0</v>
      </c>
      <c r="J32" s="280">
        <f t="shared" si="3"/>
        <v>0</v>
      </c>
    </row>
    <row r="33" spans="1:10" x14ac:dyDescent="0.55000000000000004">
      <c r="A33" s="273">
        <v>27</v>
      </c>
      <c r="B33" s="74" t="s">
        <v>113</v>
      </c>
      <c r="C33" s="274" t="s">
        <v>132</v>
      </c>
      <c r="D33" s="285">
        <v>0</v>
      </c>
      <c r="E33" s="416">
        <v>0</v>
      </c>
      <c r="F33" s="285">
        <v>0</v>
      </c>
      <c r="G33" s="288">
        <f t="shared" si="0"/>
        <v>0</v>
      </c>
      <c r="H33" s="691" t="e">
        <f t="shared" si="1"/>
        <v>#DIV/0!</v>
      </c>
      <c r="I33" s="691" t="e">
        <f t="shared" si="2"/>
        <v>#DIV/0!</v>
      </c>
      <c r="J33" s="280">
        <f t="shared" si="3"/>
        <v>0</v>
      </c>
    </row>
    <row r="34" spans="1:10" x14ac:dyDescent="0.55000000000000004">
      <c r="A34" s="273">
        <v>28</v>
      </c>
      <c r="B34" s="74" t="s">
        <v>113</v>
      </c>
      <c r="C34" s="274" t="s">
        <v>23</v>
      </c>
      <c r="D34" s="285">
        <v>30000</v>
      </c>
      <c r="E34" s="416">
        <v>0</v>
      </c>
      <c r="F34" s="285">
        <v>0</v>
      </c>
      <c r="G34" s="288">
        <f t="shared" si="0"/>
        <v>30000</v>
      </c>
      <c r="H34" s="691">
        <f t="shared" si="1"/>
        <v>0</v>
      </c>
      <c r="I34" s="691">
        <f t="shared" si="2"/>
        <v>0</v>
      </c>
      <c r="J34" s="280">
        <f t="shared" si="3"/>
        <v>0</v>
      </c>
    </row>
    <row r="35" spans="1:10" x14ac:dyDescent="0.55000000000000004">
      <c r="A35" s="273">
        <v>29</v>
      </c>
      <c r="B35" s="74" t="s">
        <v>113</v>
      </c>
      <c r="C35" s="274" t="s">
        <v>24</v>
      </c>
      <c r="D35" s="285">
        <v>30000</v>
      </c>
      <c r="E35" s="416">
        <v>0</v>
      </c>
      <c r="F35" s="285">
        <v>0</v>
      </c>
      <c r="G35" s="288">
        <f t="shared" si="0"/>
        <v>30000</v>
      </c>
      <c r="H35" s="691">
        <f t="shared" si="1"/>
        <v>0</v>
      </c>
      <c r="I35" s="691">
        <f t="shared" si="2"/>
        <v>0</v>
      </c>
      <c r="J35" s="280">
        <f t="shared" si="3"/>
        <v>0</v>
      </c>
    </row>
    <row r="36" spans="1:10" x14ac:dyDescent="0.55000000000000004">
      <c r="A36" s="273">
        <v>30</v>
      </c>
      <c r="B36" s="74" t="s">
        <v>113</v>
      </c>
      <c r="C36" s="274" t="s">
        <v>25</v>
      </c>
      <c r="D36" s="285">
        <v>0</v>
      </c>
      <c r="E36" s="416">
        <v>0</v>
      </c>
      <c r="F36" s="285">
        <v>0</v>
      </c>
      <c r="G36" s="288">
        <f t="shared" si="0"/>
        <v>0</v>
      </c>
      <c r="H36" s="691" t="e">
        <f t="shared" si="1"/>
        <v>#DIV/0!</v>
      </c>
      <c r="I36" s="691" t="e">
        <f t="shared" si="2"/>
        <v>#DIV/0!</v>
      </c>
      <c r="J36" s="280">
        <f t="shared" si="3"/>
        <v>0</v>
      </c>
    </row>
    <row r="37" spans="1:10" x14ac:dyDescent="0.55000000000000004">
      <c r="A37" s="273">
        <v>31</v>
      </c>
      <c r="B37" s="74" t="s">
        <v>113</v>
      </c>
      <c r="C37" s="274" t="s">
        <v>181</v>
      </c>
      <c r="D37" s="285">
        <v>0</v>
      </c>
      <c r="E37" s="416">
        <v>0</v>
      </c>
      <c r="F37" s="285">
        <v>0</v>
      </c>
      <c r="G37" s="288">
        <f t="shared" si="0"/>
        <v>0</v>
      </c>
      <c r="H37" s="691" t="e">
        <f t="shared" si="1"/>
        <v>#DIV/0!</v>
      </c>
      <c r="I37" s="691" t="e">
        <f t="shared" si="2"/>
        <v>#DIV/0!</v>
      </c>
      <c r="J37" s="280">
        <f t="shared" si="3"/>
        <v>0</v>
      </c>
    </row>
    <row r="38" spans="1:10" x14ac:dyDescent="0.55000000000000004">
      <c r="A38" s="273">
        <v>32</v>
      </c>
      <c r="B38" s="74" t="s">
        <v>113</v>
      </c>
      <c r="C38" s="274" t="s">
        <v>26</v>
      </c>
      <c r="D38" s="285">
        <v>95000</v>
      </c>
      <c r="E38" s="416">
        <v>0</v>
      </c>
      <c r="F38" s="285">
        <v>0</v>
      </c>
      <c r="G38" s="288">
        <f t="shared" si="0"/>
        <v>95000</v>
      </c>
      <c r="H38" s="691">
        <f t="shared" si="1"/>
        <v>0</v>
      </c>
      <c r="I38" s="691">
        <f t="shared" si="2"/>
        <v>0</v>
      </c>
      <c r="J38" s="280">
        <f t="shared" si="3"/>
        <v>0</v>
      </c>
    </row>
    <row r="39" spans="1:10" x14ac:dyDescent="0.55000000000000004">
      <c r="A39" s="273">
        <v>33</v>
      </c>
      <c r="B39" s="74" t="s">
        <v>113</v>
      </c>
      <c r="C39" s="274" t="s">
        <v>27</v>
      </c>
      <c r="D39" s="285">
        <v>0</v>
      </c>
      <c r="E39" s="416">
        <v>0</v>
      </c>
      <c r="F39" s="285">
        <v>0</v>
      </c>
      <c r="G39" s="288">
        <f t="shared" si="0"/>
        <v>0</v>
      </c>
      <c r="H39" s="691" t="e">
        <f t="shared" si="1"/>
        <v>#DIV/0!</v>
      </c>
      <c r="I39" s="691" t="e">
        <f t="shared" si="2"/>
        <v>#DIV/0!</v>
      </c>
      <c r="J39" s="280">
        <f t="shared" si="3"/>
        <v>0</v>
      </c>
    </row>
    <row r="40" spans="1:10" x14ac:dyDescent="0.55000000000000004">
      <c r="A40" s="273">
        <v>34</v>
      </c>
      <c r="B40" s="74" t="s">
        <v>113</v>
      </c>
      <c r="C40" s="274" t="s">
        <v>28</v>
      </c>
      <c r="D40" s="285">
        <v>20000</v>
      </c>
      <c r="E40" s="416">
        <v>0</v>
      </c>
      <c r="F40" s="285">
        <v>0</v>
      </c>
      <c r="G40" s="288">
        <f t="shared" si="0"/>
        <v>20000</v>
      </c>
      <c r="H40" s="691">
        <f t="shared" si="1"/>
        <v>0</v>
      </c>
      <c r="I40" s="691">
        <f t="shared" si="2"/>
        <v>0</v>
      </c>
      <c r="J40" s="280">
        <f t="shared" si="3"/>
        <v>0</v>
      </c>
    </row>
    <row r="41" spans="1:10" x14ac:dyDescent="0.55000000000000004">
      <c r="A41" s="273">
        <v>35</v>
      </c>
      <c r="B41" s="74" t="s">
        <v>113</v>
      </c>
      <c r="C41" s="274" t="s">
        <v>133</v>
      </c>
      <c r="D41" s="285">
        <v>85000</v>
      </c>
      <c r="E41" s="416">
        <v>0</v>
      </c>
      <c r="F41" s="285">
        <v>0</v>
      </c>
      <c r="G41" s="288">
        <f t="shared" si="0"/>
        <v>85000</v>
      </c>
      <c r="H41" s="691">
        <f t="shared" si="1"/>
        <v>0</v>
      </c>
      <c r="I41" s="691">
        <f t="shared" si="2"/>
        <v>0</v>
      </c>
      <c r="J41" s="280">
        <f t="shared" si="3"/>
        <v>0</v>
      </c>
    </row>
    <row r="42" spans="1:10" x14ac:dyDescent="0.55000000000000004">
      <c r="A42" s="273">
        <v>36</v>
      </c>
      <c r="B42" s="74" t="s">
        <v>113</v>
      </c>
      <c r="C42" s="274" t="s">
        <v>29</v>
      </c>
      <c r="D42" s="285">
        <v>20000</v>
      </c>
      <c r="E42" s="416">
        <v>0</v>
      </c>
      <c r="F42" s="285">
        <v>0</v>
      </c>
      <c r="G42" s="288">
        <f t="shared" si="0"/>
        <v>20000</v>
      </c>
      <c r="H42" s="691">
        <f t="shared" si="1"/>
        <v>0</v>
      </c>
      <c r="I42" s="691">
        <f t="shared" si="2"/>
        <v>0</v>
      </c>
      <c r="J42" s="280">
        <f t="shared" si="3"/>
        <v>0</v>
      </c>
    </row>
    <row r="43" spans="1:10" x14ac:dyDescent="0.55000000000000004">
      <c r="A43" s="273">
        <v>37</v>
      </c>
      <c r="B43" s="74" t="s">
        <v>113</v>
      </c>
      <c r="C43" s="274" t="s">
        <v>30</v>
      </c>
      <c r="D43" s="285">
        <v>80000</v>
      </c>
      <c r="E43" s="416">
        <v>0</v>
      </c>
      <c r="F43" s="285">
        <v>0</v>
      </c>
      <c r="G43" s="288">
        <f t="shared" si="0"/>
        <v>80000</v>
      </c>
      <c r="H43" s="691">
        <f t="shared" si="1"/>
        <v>0</v>
      </c>
      <c r="I43" s="691">
        <f t="shared" si="2"/>
        <v>0</v>
      </c>
      <c r="J43" s="280">
        <f t="shared" si="3"/>
        <v>0</v>
      </c>
    </row>
    <row r="44" spans="1:10" x14ac:dyDescent="0.55000000000000004">
      <c r="A44" s="273">
        <v>38</v>
      </c>
      <c r="B44" s="74" t="s">
        <v>113</v>
      </c>
      <c r="C44" s="274" t="s">
        <v>31</v>
      </c>
      <c r="D44" s="285">
        <v>20000</v>
      </c>
      <c r="E44" s="416">
        <v>0</v>
      </c>
      <c r="F44" s="285">
        <v>0</v>
      </c>
      <c r="G44" s="288">
        <f t="shared" si="0"/>
        <v>20000</v>
      </c>
      <c r="H44" s="691">
        <f t="shared" si="1"/>
        <v>0</v>
      </c>
      <c r="I44" s="691">
        <f t="shared" si="2"/>
        <v>0</v>
      </c>
      <c r="J44" s="280">
        <f t="shared" si="3"/>
        <v>0</v>
      </c>
    </row>
    <row r="45" spans="1:10" x14ac:dyDescent="0.55000000000000004">
      <c r="A45" s="273">
        <v>39</v>
      </c>
      <c r="B45" s="74" t="s">
        <v>113</v>
      </c>
      <c r="C45" s="274" t="s">
        <v>134</v>
      </c>
      <c r="D45" s="285">
        <v>0</v>
      </c>
      <c r="E45" s="416">
        <v>0</v>
      </c>
      <c r="F45" s="285">
        <v>0</v>
      </c>
      <c r="G45" s="288">
        <f t="shared" si="0"/>
        <v>0</v>
      </c>
      <c r="H45" s="691" t="e">
        <f t="shared" si="1"/>
        <v>#DIV/0!</v>
      </c>
      <c r="I45" s="691" t="e">
        <f t="shared" si="2"/>
        <v>#DIV/0!</v>
      </c>
      <c r="J45" s="280">
        <f t="shared" si="3"/>
        <v>0</v>
      </c>
    </row>
    <row r="46" spans="1:10" x14ac:dyDescent="0.55000000000000004">
      <c r="A46" s="273">
        <v>40</v>
      </c>
      <c r="B46" s="74" t="s">
        <v>113</v>
      </c>
      <c r="C46" s="274" t="s">
        <v>32</v>
      </c>
      <c r="D46" s="285">
        <v>15000</v>
      </c>
      <c r="E46" s="416">
        <v>0</v>
      </c>
      <c r="F46" s="285">
        <v>0</v>
      </c>
      <c r="G46" s="288">
        <f t="shared" si="0"/>
        <v>15000</v>
      </c>
      <c r="H46" s="691">
        <f t="shared" si="1"/>
        <v>0</v>
      </c>
      <c r="I46" s="691">
        <f t="shared" si="2"/>
        <v>0</v>
      </c>
      <c r="J46" s="280">
        <f t="shared" si="3"/>
        <v>0</v>
      </c>
    </row>
    <row r="47" spans="1:10" x14ac:dyDescent="0.55000000000000004">
      <c r="A47" s="273">
        <v>41</v>
      </c>
      <c r="B47" s="74" t="s">
        <v>113</v>
      </c>
      <c r="C47" s="274" t="s">
        <v>33</v>
      </c>
      <c r="D47" s="285">
        <v>20000</v>
      </c>
      <c r="E47" s="416">
        <v>0</v>
      </c>
      <c r="F47" s="285">
        <v>0</v>
      </c>
      <c r="G47" s="288">
        <f t="shared" si="0"/>
        <v>20000</v>
      </c>
      <c r="H47" s="691">
        <f t="shared" si="1"/>
        <v>0</v>
      </c>
      <c r="I47" s="691">
        <f t="shared" si="2"/>
        <v>0</v>
      </c>
      <c r="J47" s="280">
        <f t="shared" si="3"/>
        <v>0</v>
      </c>
    </row>
    <row r="48" spans="1:10" x14ac:dyDescent="0.55000000000000004">
      <c r="A48" s="273">
        <v>42</v>
      </c>
      <c r="B48" s="74" t="s">
        <v>113</v>
      </c>
      <c r="C48" s="274" t="s">
        <v>34</v>
      </c>
      <c r="D48" s="285">
        <v>0</v>
      </c>
      <c r="E48" s="416">
        <v>0</v>
      </c>
      <c r="F48" s="285">
        <v>0</v>
      </c>
      <c r="G48" s="288">
        <f t="shared" si="0"/>
        <v>0</v>
      </c>
      <c r="H48" s="691" t="e">
        <f t="shared" si="1"/>
        <v>#DIV/0!</v>
      </c>
      <c r="I48" s="691" t="e">
        <f t="shared" si="2"/>
        <v>#DIV/0!</v>
      </c>
      <c r="J48" s="280">
        <f t="shared" si="3"/>
        <v>0</v>
      </c>
    </row>
    <row r="49" spans="1:10" x14ac:dyDescent="0.55000000000000004">
      <c r="A49" s="273">
        <v>43</v>
      </c>
      <c r="B49" s="74" t="s">
        <v>113</v>
      </c>
      <c r="C49" s="274" t="s">
        <v>35</v>
      </c>
      <c r="D49" s="285">
        <v>20000</v>
      </c>
      <c r="E49" s="416">
        <v>0</v>
      </c>
      <c r="F49" s="285">
        <v>0</v>
      </c>
      <c r="G49" s="288">
        <f t="shared" si="0"/>
        <v>20000</v>
      </c>
      <c r="H49" s="691">
        <f t="shared" si="1"/>
        <v>0</v>
      </c>
      <c r="I49" s="691">
        <f t="shared" si="2"/>
        <v>0</v>
      </c>
      <c r="J49" s="280">
        <f t="shared" si="3"/>
        <v>0</v>
      </c>
    </row>
    <row r="50" spans="1:10" x14ac:dyDescent="0.55000000000000004">
      <c r="A50" s="273">
        <v>44</v>
      </c>
      <c r="B50" s="74" t="s">
        <v>113</v>
      </c>
      <c r="C50" s="274" t="s">
        <v>135</v>
      </c>
      <c r="D50" s="285">
        <v>0</v>
      </c>
      <c r="E50" s="416">
        <v>0</v>
      </c>
      <c r="F50" s="285">
        <v>0</v>
      </c>
      <c r="G50" s="288">
        <f t="shared" si="0"/>
        <v>0</v>
      </c>
      <c r="H50" s="691" t="e">
        <f t="shared" si="1"/>
        <v>#DIV/0!</v>
      </c>
      <c r="I50" s="691" t="e">
        <f t="shared" si="2"/>
        <v>#DIV/0!</v>
      </c>
      <c r="J50" s="280">
        <f t="shared" si="3"/>
        <v>0</v>
      </c>
    </row>
    <row r="51" spans="1:10" x14ac:dyDescent="0.55000000000000004">
      <c r="A51" s="273">
        <v>45</v>
      </c>
      <c r="B51" s="74" t="s">
        <v>113</v>
      </c>
      <c r="C51" s="274" t="s">
        <v>36</v>
      </c>
      <c r="D51" s="285">
        <v>10000</v>
      </c>
      <c r="E51" s="416">
        <v>0</v>
      </c>
      <c r="F51" s="285">
        <v>0</v>
      </c>
      <c r="G51" s="288">
        <f t="shared" si="0"/>
        <v>10000</v>
      </c>
      <c r="H51" s="691">
        <f t="shared" si="1"/>
        <v>0</v>
      </c>
      <c r="I51" s="691">
        <f t="shared" si="2"/>
        <v>0</v>
      </c>
      <c r="J51" s="280">
        <f t="shared" si="3"/>
        <v>0</v>
      </c>
    </row>
    <row r="52" spans="1:10" x14ac:dyDescent="0.55000000000000004">
      <c r="A52" s="273">
        <v>46</v>
      </c>
      <c r="B52" s="74" t="s">
        <v>113</v>
      </c>
      <c r="C52" s="274" t="s">
        <v>37</v>
      </c>
      <c r="D52" s="285">
        <v>10000</v>
      </c>
      <c r="E52" s="416">
        <v>0</v>
      </c>
      <c r="F52" s="285">
        <v>0</v>
      </c>
      <c r="G52" s="288">
        <f t="shared" si="0"/>
        <v>10000</v>
      </c>
      <c r="H52" s="691">
        <f t="shared" si="1"/>
        <v>0</v>
      </c>
      <c r="I52" s="691">
        <f t="shared" si="2"/>
        <v>0</v>
      </c>
      <c r="J52" s="280">
        <f t="shared" si="3"/>
        <v>0</v>
      </c>
    </row>
    <row r="53" spans="1:10" x14ac:dyDescent="0.55000000000000004">
      <c r="A53" s="273">
        <v>47</v>
      </c>
      <c r="B53" s="74" t="s">
        <v>113</v>
      </c>
      <c r="C53" s="274" t="s">
        <v>38</v>
      </c>
      <c r="D53" s="285">
        <v>15000</v>
      </c>
      <c r="E53" s="416">
        <v>0</v>
      </c>
      <c r="F53" s="285">
        <v>0</v>
      </c>
      <c r="G53" s="288">
        <f t="shared" si="0"/>
        <v>15000</v>
      </c>
      <c r="H53" s="691">
        <f t="shared" si="1"/>
        <v>0</v>
      </c>
      <c r="I53" s="691">
        <f t="shared" si="2"/>
        <v>0</v>
      </c>
      <c r="J53" s="280">
        <f t="shared" si="3"/>
        <v>0</v>
      </c>
    </row>
    <row r="54" spans="1:10" x14ac:dyDescent="0.55000000000000004">
      <c r="A54" s="273">
        <v>48</v>
      </c>
      <c r="B54" s="74" t="s">
        <v>113</v>
      </c>
      <c r="C54" s="274" t="s">
        <v>136</v>
      </c>
      <c r="D54" s="285">
        <v>10000</v>
      </c>
      <c r="E54" s="416">
        <v>0</v>
      </c>
      <c r="F54" s="285">
        <v>0</v>
      </c>
      <c r="G54" s="288">
        <f t="shared" si="0"/>
        <v>10000</v>
      </c>
      <c r="H54" s="691">
        <f t="shared" si="1"/>
        <v>0</v>
      </c>
      <c r="I54" s="691">
        <f t="shared" si="2"/>
        <v>0</v>
      </c>
      <c r="J54" s="280">
        <f t="shared" si="3"/>
        <v>0</v>
      </c>
    </row>
    <row r="55" spans="1:10" x14ac:dyDescent="0.55000000000000004">
      <c r="A55" s="273">
        <v>49</v>
      </c>
      <c r="B55" s="74" t="s">
        <v>113</v>
      </c>
      <c r="C55" s="274" t="s">
        <v>137</v>
      </c>
      <c r="D55" s="285">
        <v>0</v>
      </c>
      <c r="E55" s="416">
        <v>0</v>
      </c>
      <c r="F55" s="285">
        <v>0</v>
      </c>
      <c r="G55" s="288">
        <f t="shared" si="0"/>
        <v>0</v>
      </c>
      <c r="H55" s="691" t="e">
        <f t="shared" si="1"/>
        <v>#DIV/0!</v>
      </c>
      <c r="I55" s="691" t="e">
        <f t="shared" si="2"/>
        <v>#DIV/0!</v>
      </c>
      <c r="J55" s="280">
        <f t="shared" si="3"/>
        <v>0</v>
      </c>
    </row>
    <row r="56" spans="1:10" x14ac:dyDescent="0.55000000000000004">
      <c r="A56" s="273">
        <v>50</v>
      </c>
      <c r="B56" s="74" t="s">
        <v>113</v>
      </c>
      <c r="C56" s="274" t="s">
        <v>138</v>
      </c>
      <c r="D56" s="285">
        <v>0</v>
      </c>
      <c r="E56" s="416">
        <v>0</v>
      </c>
      <c r="F56" s="285">
        <v>0</v>
      </c>
      <c r="G56" s="288">
        <f t="shared" si="0"/>
        <v>0</v>
      </c>
      <c r="H56" s="691" t="e">
        <f t="shared" si="1"/>
        <v>#DIV/0!</v>
      </c>
      <c r="I56" s="691" t="e">
        <f t="shared" si="2"/>
        <v>#DIV/0!</v>
      </c>
      <c r="J56" s="280">
        <f t="shared" si="3"/>
        <v>0</v>
      </c>
    </row>
    <row r="57" spans="1:10" x14ac:dyDescent="0.55000000000000004">
      <c r="A57" s="273">
        <v>51</v>
      </c>
      <c r="B57" s="74" t="s">
        <v>113</v>
      </c>
      <c r="C57" s="274" t="s">
        <v>139</v>
      </c>
      <c r="D57" s="285">
        <v>10000</v>
      </c>
      <c r="E57" s="416">
        <v>0</v>
      </c>
      <c r="F57" s="285">
        <v>0</v>
      </c>
      <c r="G57" s="288">
        <f t="shared" si="0"/>
        <v>10000</v>
      </c>
      <c r="H57" s="691">
        <f t="shared" si="1"/>
        <v>0</v>
      </c>
      <c r="I57" s="691">
        <f t="shared" si="2"/>
        <v>0</v>
      </c>
      <c r="J57" s="280">
        <f t="shared" si="3"/>
        <v>0</v>
      </c>
    </row>
    <row r="58" spans="1:10" x14ac:dyDescent="0.55000000000000004">
      <c r="A58" s="273">
        <v>52</v>
      </c>
      <c r="B58" s="74" t="s">
        <v>113</v>
      </c>
      <c r="C58" s="274" t="s">
        <v>140</v>
      </c>
      <c r="D58" s="285">
        <v>5000</v>
      </c>
      <c r="E58" s="416">
        <v>0</v>
      </c>
      <c r="F58" s="285">
        <v>0</v>
      </c>
      <c r="G58" s="288">
        <f t="shared" si="0"/>
        <v>5000</v>
      </c>
      <c r="H58" s="691">
        <f t="shared" si="1"/>
        <v>0</v>
      </c>
      <c r="I58" s="691">
        <f t="shared" si="2"/>
        <v>0</v>
      </c>
      <c r="J58" s="280">
        <f t="shared" si="3"/>
        <v>0</v>
      </c>
    </row>
    <row r="59" spans="1:10" x14ac:dyDescent="0.55000000000000004">
      <c r="A59" s="273">
        <v>53</v>
      </c>
      <c r="B59" s="74" t="s">
        <v>113</v>
      </c>
      <c r="C59" s="274" t="s">
        <v>141</v>
      </c>
      <c r="D59" s="285">
        <v>20000</v>
      </c>
      <c r="E59" s="416">
        <v>0</v>
      </c>
      <c r="F59" s="285">
        <v>0</v>
      </c>
      <c r="G59" s="288">
        <f t="shared" si="0"/>
        <v>20000</v>
      </c>
      <c r="H59" s="691">
        <f t="shared" si="1"/>
        <v>0</v>
      </c>
      <c r="I59" s="691">
        <f t="shared" si="2"/>
        <v>0</v>
      </c>
      <c r="J59" s="280">
        <f t="shared" si="3"/>
        <v>0</v>
      </c>
    </row>
    <row r="60" spans="1:10" x14ac:dyDescent="0.55000000000000004">
      <c r="A60" s="273">
        <v>54</v>
      </c>
      <c r="B60" s="74" t="s">
        <v>113</v>
      </c>
      <c r="C60" s="274" t="s">
        <v>142</v>
      </c>
      <c r="D60" s="285">
        <v>121400</v>
      </c>
      <c r="E60" s="416">
        <v>0</v>
      </c>
      <c r="F60" s="285">
        <v>0</v>
      </c>
      <c r="G60" s="288">
        <f t="shared" si="0"/>
        <v>121400</v>
      </c>
      <c r="H60" s="691">
        <f t="shared" si="1"/>
        <v>0</v>
      </c>
      <c r="I60" s="691">
        <f t="shared" si="2"/>
        <v>0</v>
      </c>
      <c r="J60" s="280">
        <f t="shared" si="3"/>
        <v>0</v>
      </c>
    </row>
    <row r="61" spans="1:10" x14ac:dyDescent="0.55000000000000004">
      <c r="A61" s="273">
        <v>55</v>
      </c>
      <c r="B61" s="74" t="s">
        <v>113</v>
      </c>
      <c r="C61" s="274" t="s">
        <v>39</v>
      </c>
      <c r="D61" s="285">
        <v>10000</v>
      </c>
      <c r="E61" s="416">
        <v>0</v>
      </c>
      <c r="F61" s="285">
        <v>0</v>
      </c>
      <c r="G61" s="288">
        <f t="shared" si="0"/>
        <v>10000</v>
      </c>
      <c r="H61" s="691">
        <f t="shared" si="1"/>
        <v>0</v>
      </c>
      <c r="I61" s="691">
        <f t="shared" si="2"/>
        <v>0</v>
      </c>
      <c r="J61" s="280">
        <f t="shared" si="3"/>
        <v>0</v>
      </c>
    </row>
    <row r="62" spans="1:10" x14ac:dyDescent="0.55000000000000004">
      <c r="A62" s="273">
        <v>56</v>
      </c>
      <c r="B62" s="74" t="s">
        <v>113</v>
      </c>
      <c r="C62" s="274" t="s">
        <v>143</v>
      </c>
      <c r="D62" s="285">
        <v>15000</v>
      </c>
      <c r="E62" s="416">
        <v>0</v>
      </c>
      <c r="F62" s="285">
        <v>0</v>
      </c>
      <c r="G62" s="288">
        <f t="shared" si="0"/>
        <v>15000</v>
      </c>
      <c r="H62" s="691">
        <f t="shared" si="1"/>
        <v>0</v>
      </c>
      <c r="I62" s="691">
        <f t="shared" si="2"/>
        <v>0</v>
      </c>
      <c r="J62" s="280">
        <f t="shared" si="3"/>
        <v>0</v>
      </c>
    </row>
    <row r="63" spans="1:10" x14ac:dyDescent="0.55000000000000004">
      <c r="A63" s="273">
        <v>57</v>
      </c>
      <c r="B63" s="74" t="s">
        <v>113</v>
      </c>
      <c r="C63" s="274" t="s">
        <v>144</v>
      </c>
      <c r="D63" s="285">
        <v>50400</v>
      </c>
      <c r="E63" s="416">
        <v>0</v>
      </c>
      <c r="F63" s="285">
        <v>0</v>
      </c>
      <c r="G63" s="288">
        <f t="shared" si="0"/>
        <v>50400</v>
      </c>
      <c r="H63" s="691">
        <f t="shared" si="1"/>
        <v>0</v>
      </c>
      <c r="I63" s="691">
        <f t="shared" si="2"/>
        <v>0</v>
      </c>
      <c r="J63" s="280">
        <f t="shared" si="3"/>
        <v>0</v>
      </c>
    </row>
    <row r="64" spans="1:10" x14ac:dyDescent="0.55000000000000004">
      <c r="A64" s="273">
        <v>58</v>
      </c>
      <c r="B64" s="74" t="s">
        <v>113</v>
      </c>
      <c r="C64" s="274" t="s">
        <v>40</v>
      </c>
      <c r="D64" s="285">
        <v>101000</v>
      </c>
      <c r="E64" s="416">
        <v>0</v>
      </c>
      <c r="F64" s="285">
        <v>0</v>
      </c>
      <c r="G64" s="288">
        <f t="shared" si="0"/>
        <v>101000</v>
      </c>
      <c r="H64" s="691">
        <f t="shared" si="1"/>
        <v>0</v>
      </c>
      <c r="I64" s="691">
        <f t="shared" si="2"/>
        <v>0</v>
      </c>
      <c r="J64" s="280">
        <f t="shared" si="3"/>
        <v>0</v>
      </c>
    </row>
    <row r="65" spans="1:10" x14ac:dyDescent="0.55000000000000004">
      <c r="A65" s="273">
        <v>59</v>
      </c>
      <c r="B65" s="74" t="s">
        <v>113</v>
      </c>
      <c r="C65" s="274" t="s">
        <v>145</v>
      </c>
      <c r="D65" s="285">
        <v>59400</v>
      </c>
      <c r="E65" s="416">
        <v>0</v>
      </c>
      <c r="F65" s="285">
        <v>0</v>
      </c>
      <c r="G65" s="288">
        <f t="shared" si="0"/>
        <v>59400</v>
      </c>
      <c r="H65" s="691">
        <f t="shared" si="1"/>
        <v>0</v>
      </c>
      <c r="I65" s="691">
        <f t="shared" si="2"/>
        <v>0</v>
      </c>
      <c r="J65" s="280">
        <f t="shared" si="3"/>
        <v>0</v>
      </c>
    </row>
    <row r="66" spans="1:10" x14ac:dyDescent="0.55000000000000004">
      <c r="A66" s="273">
        <v>60</v>
      </c>
      <c r="B66" s="74" t="s">
        <v>113</v>
      </c>
      <c r="C66" s="274" t="s">
        <v>146</v>
      </c>
      <c r="D66" s="285">
        <v>0</v>
      </c>
      <c r="E66" s="416">
        <v>0</v>
      </c>
      <c r="F66" s="285">
        <v>0</v>
      </c>
      <c r="G66" s="288">
        <f t="shared" si="0"/>
        <v>0</v>
      </c>
      <c r="H66" s="691" t="e">
        <f t="shared" si="1"/>
        <v>#DIV/0!</v>
      </c>
      <c r="I66" s="691" t="e">
        <f t="shared" si="2"/>
        <v>#DIV/0!</v>
      </c>
      <c r="J66" s="280">
        <f t="shared" si="3"/>
        <v>0</v>
      </c>
    </row>
    <row r="67" spans="1:10" x14ac:dyDescent="0.55000000000000004">
      <c r="A67" s="273">
        <v>61</v>
      </c>
      <c r="B67" s="74" t="s">
        <v>113</v>
      </c>
      <c r="C67" s="274" t="s">
        <v>147</v>
      </c>
      <c r="D67" s="285">
        <v>0</v>
      </c>
      <c r="E67" s="416">
        <v>0</v>
      </c>
      <c r="F67" s="285">
        <v>0</v>
      </c>
      <c r="G67" s="288">
        <f t="shared" si="0"/>
        <v>0</v>
      </c>
      <c r="H67" s="691" t="e">
        <f t="shared" si="1"/>
        <v>#DIV/0!</v>
      </c>
      <c r="I67" s="691" t="e">
        <f t="shared" si="2"/>
        <v>#DIV/0!</v>
      </c>
      <c r="J67" s="280">
        <f t="shared" si="3"/>
        <v>0</v>
      </c>
    </row>
    <row r="68" spans="1:10" x14ac:dyDescent="0.55000000000000004">
      <c r="A68" s="273">
        <v>62</v>
      </c>
      <c r="B68" s="74" t="s">
        <v>113</v>
      </c>
      <c r="C68" s="274" t="s">
        <v>148</v>
      </c>
      <c r="D68" s="285">
        <v>0</v>
      </c>
      <c r="E68" s="416">
        <v>0</v>
      </c>
      <c r="F68" s="285">
        <v>0</v>
      </c>
      <c r="G68" s="288">
        <f t="shared" si="0"/>
        <v>0</v>
      </c>
      <c r="H68" s="691" t="e">
        <f t="shared" si="1"/>
        <v>#DIV/0!</v>
      </c>
      <c r="I68" s="691" t="e">
        <f t="shared" si="2"/>
        <v>#DIV/0!</v>
      </c>
      <c r="J68" s="280">
        <f t="shared" si="3"/>
        <v>0</v>
      </c>
    </row>
    <row r="69" spans="1:10" x14ac:dyDescent="0.55000000000000004">
      <c r="A69" s="273">
        <v>63</v>
      </c>
      <c r="B69" s="74" t="s">
        <v>113</v>
      </c>
      <c r="C69" s="274" t="s">
        <v>149</v>
      </c>
      <c r="D69" s="285">
        <v>0</v>
      </c>
      <c r="E69" s="416">
        <v>0</v>
      </c>
      <c r="F69" s="285">
        <v>0</v>
      </c>
      <c r="G69" s="288">
        <f t="shared" si="0"/>
        <v>0</v>
      </c>
      <c r="H69" s="691" t="e">
        <f t="shared" si="1"/>
        <v>#DIV/0!</v>
      </c>
      <c r="I69" s="691" t="e">
        <f t="shared" si="2"/>
        <v>#DIV/0!</v>
      </c>
      <c r="J69" s="280">
        <f t="shared" si="3"/>
        <v>0</v>
      </c>
    </row>
    <row r="70" spans="1:10" x14ac:dyDescent="0.55000000000000004">
      <c r="A70" s="273">
        <v>64</v>
      </c>
      <c r="B70" s="74" t="s">
        <v>113</v>
      </c>
      <c r="C70" s="274" t="s">
        <v>41</v>
      </c>
      <c r="D70" s="285">
        <v>0</v>
      </c>
      <c r="E70" s="416">
        <v>0</v>
      </c>
      <c r="F70" s="285">
        <v>0</v>
      </c>
      <c r="G70" s="288">
        <f t="shared" si="0"/>
        <v>0</v>
      </c>
      <c r="H70" s="691" t="e">
        <f t="shared" si="1"/>
        <v>#DIV/0!</v>
      </c>
      <c r="I70" s="691" t="e">
        <f t="shared" si="2"/>
        <v>#DIV/0!</v>
      </c>
      <c r="J70" s="280">
        <f t="shared" si="3"/>
        <v>0</v>
      </c>
    </row>
    <row r="71" spans="1:10" x14ac:dyDescent="0.55000000000000004">
      <c r="A71" s="273">
        <v>65</v>
      </c>
      <c r="B71" s="74" t="s">
        <v>113</v>
      </c>
      <c r="C71" s="274" t="s">
        <v>42</v>
      </c>
      <c r="D71" s="285">
        <v>0</v>
      </c>
      <c r="E71" s="416">
        <v>0</v>
      </c>
      <c r="F71" s="285">
        <v>0</v>
      </c>
      <c r="G71" s="288">
        <f t="shared" si="0"/>
        <v>0</v>
      </c>
      <c r="H71" s="691" t="e">
        <f t="shared" si="1"/>
        <v>#DIV/0!</v>
      </c>
      <c r="I71" s="691" t="e">
        <f t="shared" si="2"/>
        <v>#DIV/0!</v>
      </c>
      <c r="J71" s="280">
        <f t="shared" si="3"/>
        <v>0</v>
      </c>
    </row>
    <row r="72" spans="1:10" x14ac:dyDescent="0.55000000000000004">
      <c r="A72" s="273">
        <v>66</v>
      </c>
      <c r="B72" s="74" t="s">
        <v>113</v>
      </c>
      <c r="C72" s="274" t="s">
        <v>43</v>
      </c>
      <c r="D72" s="285">
        <v>0</v>
      </c>
      <c r="E72" s="416">
        <v>0</v>
      </c>
      <c r="F72" s="285">
        <v>0</v>
      </c>
      <c r="G72" s="288">
        <f t="shared" ref="G72:G102" si="4">+D72-E72-F72</f>
        <v>0</v>
      </c>
      <c r="H72" s="691" t="e">
        <f t="shared" ref="H72:H102" si="5">F72*100/D72</f>
        <v>#DIV/0!</v>
      </c>
      <c r="I72" s="691" t="e">
        <f t="shared" ref="I72:I102" si="6">+J72*100/D72</f>
        <v>#DIV/0!</v>
      </c>
      <c r="J72" s="280">
        <f t="shared" ref="J72:J103" si="7">+E72+F72</f>
        <v>0</v>
      </c>
    </row>
    <row r="73" spans="1:10" x14ac:dyDescent="0.55000000000000004">
      <c r="A73" s="273">
        <v>67</v>
      </c>
      <c r="B73" s="74" t="s">
        <v>113</v>
      </c>
      <c r="C73" s="274" t="s">
        <v>44</v>
      </c>
      <c r="D73" s="285">
        <v>15000</v>
      </c>
      <c r="E73" s="416">
        <v>0</v>
      </c>
      <c r="F73" s="285">
        <v>0</v>
      </c>
      <c r="G73" s="288">
        <f t="shared" si="4"/>
        <v>15000</v>
      </c>
      <c r="H73" s="691">
        <f t="shared" si="5"/>
        <v>0</v>
      </c>
      <c r="I73" s="691">
        <f t="shared" si="6"/>
        <v>0</v>
      </c>
      <c r="J73" s="280">
        <f t="shared" si="7"/>
        <v>0</v>
      </c>
    </row>
    <row r="74" spans="1:10" x14ac:dyDescent="0.55000000000000004">
      <c r="A74" s="273">
        <v>68</v>
      </c>
      <c r="B74" s="74" t="s">
        <v>113</v>
      </c>
      <c r="C74" s="274" t="s">
        <v>45</v>
      </c>
      <c r="D74" s="285">
        <v>0</v>
      </c>
      <c r="E74" s="416">
        <v>0</v>
      </c>
      <c r="F74" s="285">
        <v>0</v>
      </c>
      <c r="G74" s="288">
        <f t="shared" si="4"/>
        <v>0</v>
      </c>
      <c r="H74" s="691" t="e">
        <f t="shared" si="5"/>
        <v>#DIV/0!</v>
      </c>
      <c r="I74" s="691" t="e">
        <f t="shared" si="6"/>
        <v>#DIV/0!</v>
      </c>
      <c r="J74" s="280">
        <f t="shared" si="7"/>
        <v>0</v>
      </c>
    </row>
    <row r="75" spans="1:10" x14ac:dyDescent="0.55000000000000004">
      <c r="A75" s="273">
        <v>69</v>
      </c>
      <c r="B75" s="74" t="s">
        <v>113</v>
      </c>
      <c r="C75" s="274" t="s">
        <v>63</v>
      </c>
      <c r="D75" s="285">
        <v>0</v>
      </c>
      <c r="E75" s="416">
        <v>0</v>
      </c>
      <c r="F75" s="285">
        <v>0</v>
      </c>
      <c r="G75" s="288">
        <f t="shared" si="4"/>
        <v>0</v>
      </c>
      <c r="H75" s="691" t="e">
        <f t="shared" si="5"/>
        <v>#DIV/0!</v>
      </c>
      <c r="I75" s="691" t="e">
        <f t="shared" si="6"/>
        <v>#DIV/0!</v>
      </c>
      <c r="J75" s="280">
        <f t="shared" si="7"/>
        <v>0</v>
      </c>
    </row>
    <row r="76" spans="1:10" x14ac:dyDescent="0.55000000000000004">
      <c r="A76" s="273">
        <v>70</v>
      </c>
      <c r="B76" s="74" t="s">
        <v>113</v>
      </c>
      <c r="C76" s="274" t="s">
        <v>150</v>
      </c>
      <c r="D76" s="285">
        <v>15000</v>
      </c>
      <c r="E76" s="416">
        <v>0</v>
      </c>
      <c r="F76" s="285">
        <v>0</v>
      </c>
      <c r="G76" s="288">
        <f t="shared" si="4"/>
        <v>15000</v>
      </c>
      <c r="H76" s="691">
        <f t="shared" si="5"/>
        <v>0</v>
      </c>
      <c r="I76" s="691">
        <f t="shared" si="6"/>
        <v>0</v>
      </c>
      <c r="J76" s="280">
        <f t="shared" si="7"/>
        <v>0</v>
      </c>
    </row>
    <row r="77" spans="1:10" x14ac:dyDescent="0.55000000000000004">
      <c r="A77" s="273">
        <v>71</v>
      </c>
      <c r="B77" s="74" t="s">
        <v>113</v>
      </c>
      <c r="C77" s="274" t="s">
        <v>46</v>
      </c>
      <c r="D77" s="285">
        <v>10000</v>
      </c>
      <c r="E77" s="416">
        <v>0</v>
      </c>
      <c r="F77" s="285">
        <v>0</v>
      </c>
      <c r="G77" s="288">
        <f t="shared" si="4"/>
        <v>10000</v>
      </c>
      <c r="H77" s="691">
        <f t="shared" si="5"/>
        <v>0</v>
      </c>
      <c r="I77" s="691">
        <f t="shared" si="6"/>
        <v>0</v>
      </c>
      <c r="J77" s="280">
        <f t="shared" si="7"/>
        <v>0</v>
      </c>
    </row>
    <row r="78" spans="1:10" x14ac:dyDescent="0.55000000000000004">
      <c r="A78" s="273">
        <v>72</v>
      </c>
      <c r="B78" s="74" t="s">
        <v>113</v>
      </c>
      <c r="C78" s="274" t="s">
        <v>151</v>
      </c>
      <c r="D78" s="285">
        <v>0</v>
      </c>
      <c r="E78" s="416">
        <v>0</v>
      </c>
      <c r="F78" s="285">
        <v>0</v>
      </c>
      <c r="G78" s="288">
        <f t="shared" si="4"/>
        <v>0</v>
      </c>
      <c r="H78" s="691" t="e">
        <f t="shared" si="5"/>
        <v>#DIV/0!</v>
      </c>
      <c r="I78" s="691" t="e">
        <f t="shared" si="6"/>
        <v>#DIV/0!</v>
      </c>
      <c r="J78" s="280">
        <f t="shared" si="7"/>
        <v>0</v>
      </c>
    </row>
    <row r="79" spans="1:10" x14ac:dyDescent="0.55000000000000004">
      <c r="A79" s="273">
        <v>73</v>
      </c>
      <c r="B79" s="74" t="s">
        <v>113</v>
      </c>
      <c r="C79" s="274" t="s">
        <v>152</v>
      </c>
      <c r="D79" s="285">
        <v>0</v>
      </c>
      <c r="E79" s="416">
        <v>0</v>
      </c>
      <c r="F79" s="285">
        <v>0</v>
      </c>
      <c r="G79" s="288">
        <f t="shared" si="4"/>
        <v>0</v>
      </c>
      <c r="H79" s="691" t="e">
        <f t="shared" si="5"/>
        <v>#DIV/0!</v>
      </c>
      <c r="I79" s="691" t="e">
        <f t="shared" si="6"/>
        <v>#DIV/0!</v>
      </c>
      <c r="J79" s="280">
        <f t="shared" si="7"/>
        <v>0</v>
      </c>
    </row>
    <row r="80" spans="1:10" x14ac:dyDescent="0.55000000000000004">
      <c r="A80" s="273">
        <v>74</v>
      </c>
      <c r="B80" s="74" t="s">
        <v>113</v>
      </c>
      <c r="C80" s="274" t="s">
        <v>47</v>
      </c>
      <c r="D80" s="285">
        <v>0</v>
      </c>
      <c r="E80" s="416">
        <v>0</v>
      </c>
      <c r="F80" s="285">
        <v>0</v>
      </c>
      <c r="G80" s="288">
        <f t="shared" si="4"/>
        <v>0</v>
      </c>
      <c r="H80" s="691" t="e">
        <f t="shared" si="5"/>
        <v>#DIV/0!</v>
      </c>
      <c r="I80" s="691" t="e">
        <f t="shared" si="6"/>
        <v>#DIV/0!</v>
      </c>
      <c r="J80" s="280">
        <f t="shared" si="7"/>
        <v>0</v>
      </c>
    </row>
    <row r="81" spans="1:10" x14ac:dyDescent="0.55000000000000004">
      <c r="A81" s="273">
        <v>75</v>
      </c>
      <c r="B81" s="74" t="s">
        <v>113</v>
      </c>
      <c r="C81" s="274" t="s">
        <v>153</v>
      </c>
      <c r="D81" s="285">
        <v>0</v>
      </c>
      <c r="E81" s="416">
        <v>0</v>
      </c>
      <c r="F81" s="285">
        <v>0</v>
      </c>
      <c r="G81" s="288">
        <f t="shared" si="4"/>
        <v>0</v>
      </c>
      <c r="H81" s="691" t="e">
        <f t="shared" si="5"/>
        <v>#DIV/0!</v>
      </c>
      <c r="I81" s="691" t="e">
        <f t="shared" si="6"/>
        <v>#DIV/0!</v>
      </c>
      <c r="J81" s="280">
        <f t="shared" si="7"/>
        <v>0</v>
      </c>
    </row>
    <row r="82" spans="1:10" x14ac:dyDescent="0.55000000000000004">
      <c r="A82" s="273">
        <v>76</v>
      </c>
      <c r="B82" s="74" t="s">
        <v>113</v>
      </c>
      <c r="C82" s="274" t="s">
        <v>48</v>
      </c>
      <c r="D82" s="285">
        <v>0</v>
      </c>
      <c r="E82" s="416">
        <v>0</v>
      </c>
      <c r="F82" s="285">
        <v>0</v>
      </c>
      <c r="G82" s="288">
        <f t="shared" si="4"/>
        <v>0</v>
      </c>
      <c r="H82" s="691" t="e">
        <f t="shared" si="5"/>
        <v>#DIV/0!</v>
      </c>
      <c r="I82" s="691" t="e">
        <f t="shared" si="6"/>
        <v>#DIV/0!</v>
      </c>
      <c r="J82" s="280">
        <f t="shared" si="7"/>
        <v>0</v>
      </c>
    </row>
    <row r="83" spans="1:10" x14ac:dyDescent="0.55000000000000004">
      <c r="A83" s="273">
        <v>77</v>
      </c>
      <c r="B83" s="74" t="s">
        <v>113</v>
      </c>
      <c r="C83" s="274" t="s">
        <v>154</v>
      </c>
      <c r="D83" s="285">
        <v>0</v>
      </c>
      <c r="E83" s="416">
        <v>0</v>
      </c>
      <c r="F83" s="285">
        <v>0</v>
      </c>
      <c r="G83" s="288">
        <f t="shared" si="4"/>
        <v>0</v>
      </c>
      <c r="H83" s="691" t="e">
        <f t="shared" si="5"/>
        <v>#DIV/0!</v>
      </c>
      <c r="I83" s="691" t="e">
        <f t="shared" si="6"/>
        <v>#DIV/0!</v>
      </c>
      <c r="J83" s="280">
        <f t="shared" si="7"/>
        <v>0</v>
      </c>
    </row>
    <row r="84" spans="1:10" x14ac:dyDescent="0.55000000000000004">
      <c r="A84" s="273">
        <v>78</v>
      </c>
      <c r="B84" s="74" t="s">
        <v>113</v>
      </c>
      <c r="C84" s="274" t="s">
        <v>49</v>
      </c>
      <c r="D84" s="285">
        <v>0</v>
      </c>
      <c r="E84" s="416">
        <v>0</v>
      </c>
      <c r="F84" s="285">
        <v>0</v>
      </c>
      <c r="G84" s="288">
        <f t="shared" si="4"/>
        <v>0</v>
      </c>
      <c r="H84" s="691" t="e">
        <f t="shared" si="5"/>
        <v>#DIV/0!</v>
      </c>
      <c r="I84" s="691" t="e">
        <f t="shared" si="6"/>
        <v>#DIV/0!</v>
      </c>
      <c r="J84" s="280">
        <f t="shared" si="7"/>
        <v>0</v>
      </c>
    </row>
    <row r="85" spans="1:10" x14ac:dyDescent="0.55000000000000004">
      <c r="A85" s="273">
        <v>79</v>
      </c>
      <c r="B85" s="74" t="s">
        <v>113</v>
      </c>
      <c r="C85" s="274" t="s">
        <v>50</v>
      </c>
      <c r="D85" s="285">
        <v>0</v>
      </c>
      <c r="E85" s="416">
        <v>0</v>
      </c>
      <c r="F85" s="285">
        <v>0</v>
      </c>
      <c r="G85" s="288">
        <f t="shared" si="4"/>
        <v>0</v>
      </c>
      <c r="H85" s="691" t="e">
        <f t="shared" si="5"/>
        <v>#DIV/0!</v>
      </c>
      <c r="I85" s="691" t="e">
        <f t="shared" si="6"/>
        <v>#DIV/0!</v>
      </c>
      <c r="J85" s="280">
        <f t="shared" si="7"/>
        <v>0</v>
      </c>
    </row>
    <row r="86" spans="1:10" x14ac:dyDescent="0.55000000000000004">
      <c r="A86" s="273">
        <v>80</v>
      </c>
      <c r="B86" s="74" t="s">
        <v>113</v>
      </c>
      <c r="C86" s="274" t="s">
        <v>155</v>
      </c>
      <c r="D86" s="285">
        <v>0</v>
      </c>
      <c r="E86" s="416">
        <v>0</v>
      </c>
      <c r="F86" s="285">
        <v>0</v>
      </c>
      <c r="G86" s="288">
        <f t="shared" si="4"/>
        <v>0</v>
      </c>
      <c r="H86" s="691" t="e">
        <f t="shared" si="5"/>
        <v>#DIV/0!</v>
      </c>
      <c r="I86" s="691" t="e">
        <f t="shared" si="6"/>
        <v>#DIV/0!</v>
      </c>
      <c r="J86" s="280">
        <f t="shared" si="7"/>
        <v>0</v>
      </c>
    </row>
    <row r="87" spans="1:10" x14ac:dyDescent="0.55000000000000004">
      <c r="A87" s="273">
        <v>81</v>
      </c>
      <c r="B87" s="74" t="s">
        <v>113</v>
      </c>
      <c r="C87" s="274" t="s">
        <v>51</v>
      </c>
      <c r="D87" s="285">
        <v>0</v>
      </c>
      <c r="E87" s="416">
        <v>0</v>
      </c>
      <c r="F87" s="285">
        <v>0</v>
      </c>
      <c r="G87" s="288">
        <f t="shared" si="4"/>
        <v>0</v>
      </c>
      <c r="H87" s="691" t="e">
        <f t="shared" si="5"/>
        <v>#DIV/0!</v>
      </c>
      <c r="I87" s="691" t="e">
        <f t="shared" si="6"/>
        <v>#DIV/0!</v>
      </c>
      <c r="J87" s="280">
        <f t="shared" si="7"/>
        <v>0</v>
      </c>
    </row>
    <row r="88" spans="1:10" x14ac:dyDescent="0.55000000000000004">
      <c r="A88" s="273">
        <v>82</v>
      </c>
      <c r="B88" s="74" t="s">
        <v>113</v>
      </c>
      <c r="C88" s="274" t="s">
        <v>156</v>
      </c>
      <c r="D88" s="285">
        <v>0</v>
      </c>
      <c r="E88" s="416">
        <v>0</v>
      </c>
      <c r="F88" s="285">
        <v>0</v>
      </c>
      <c r="G88" s="288">
        <f t="shared" si="4"/>
        <v>0</v>
      </c>
      <c r="H88" s="691" t="e">
        <f t="shared" si="5"/>
        <v>#DIV/0!</v>
      </c>
      <c r="I88" s="691" t="e">
        <f t="shared" si="6"/>
        <v>#DIV/0!</v>
      </c>
      <c r="J88" s="280">
        <f t="shared" si="7"/>
        <v>0</v>
      </c>
    </row>
    <row r="89" spans="1:10" x14ac:dyDescent="0.55000000000000004">
      <c r="A89" s="273">
        <v>83</v>
      </c>
      <c r="B89" s="74" t="s">
        <v>113</v>
      </c>
      <c r="C89" s="274" t="s">
        <v>157</v>
      </c>
      <c r="D89" s="285">
        <v>0</v>
      </c>
      <c r="E89" s="416">
        <v>0</v>
      </c>
      <c r="F89" s="285">
        <v>0</v>
      </c>
      <c r="G89" s="288">
        <f t="shared" si="4"/>
        <v>0</v>
      </c>
      <c r="H89" s="691" t="e">
        <f t="shared" si="5"/>
        <v>#DIV/0!</v>
      </c>
      <c r="I89" s="691" t="e">
        <f t="shared" si="6"/>
        <v>#DIV/0!</v>
      </c>
      <c r="J89" s="280">
        <f t="shared" si="7"/>
        <v>0</v>
      </c>
    </row>
    <row r="90" spans="1:10" x14ac:dyDescent="0.55000000000000004">
      <c r="A90" s="273">
        <v>84</v>
      </c>
      <c r="B90" s="74" t="s">
        <v>113</v>
      </c>
      <c r="C90" s="274" t="s">
        <v>158</v>
      </c>
      <c r="D90" s="285">
        <v>0</v>
      </c>
      <c r="E90" s="416">
        <v>0</v>
      </c>
      <c r="F90" s="285">
        <v>0</v>
      </c>
      <c r="G90" s="288">
        <f t="shared" si="4"/>
        <v>0</v>
      </c>
      <c r="H90" s="691" t="e">
        <f t="shared" si="5"/>
        <v>#DIV/0!</v>
      </c>
      <c r="I90" s="691" t="e">
        <f t="shared" si="6"/>
        <v>#DIV/0!</v>
      </c>
      <c r="J90" s="280">
        <f t="shared" si="7"/>
        <v>0</v>
      </c>
    </row>
    <row r="91" spans="1:10" x14ac:dyDescent="0.55000000000000004">
      <c r="A91" s="273">
        <v>85</v>
      </c>
      <c r="B91" s="74" t="s">
        <v>113</v>
      </c>
      <c r="C91" s="274" t="s">
        <v>52</v>
      </c>
      <c r="D91" s="285">
        <v>0</v>
      </c>
      <c r="E91" s="416">
        <v>0</v>
      </c>
      <c r="F91" s="285">
        <v>0</v>
      </c>
      <c r="G91" s="288">
        <f t="shared" si="4"/>
        <v>0</v>
      </c>
      <c r="H91" s="691" t="e">
        <f t="shared" si="5"/>
        <v>#DIV/0!</v>
      </c>
      <c r="I91" s="691" t="e">
        <f t="shared" si="6"/>
        <v>#DIV/0!</v>
      </c>
      <c r="J91" s="280">
        <f t="shared" si="7"/>
        <v>0</v>
      </c>
    </row>
    <row r="92" spans="1:10" x14ac:dyDescent="0.55000000000000004">
      <c r="A92" s="273">
        <v>86</v>
      </c>
      <c r="B92" s="74" t="s">
        <v>113</v>
      </c>
      <c r="C92" s="274" t="s">
        <v>53</v>
      </c>
      <c r="D92" s="285">
        <v>7000</v>
      </c>
      <c r="E92" s="416">
        <v>0</v>
      </c>
      <c r="F92" s="285">
        <v>0</v>
      </c>
      <c r="G92" s="288">
        <f t="shared" si="4"/>
        <v>7000</v>
      </c>
      <c r="H92" s="691">
        <f t="shared" si="5"/>
        <v>0</v>
      </c>
      <c r="I92" s="691">
        <f t="shared" si="6"/>
        <v>0</v>
      </c>
      <c r="J92" s="280">
        <f t="shared" si="7"/>
        <v>0</v>
      </c>
    </row>
    <row r="93" spans="1:10" x14ac:dyDescent="0.55000000000000004">
      <c r="A93" s="273">
        <v>87</v>
      </c>
      <c r="B93" s="74" t="s">
        <v>113</v>
      </c>
      <c r="C93" s="274" t="s">
        <v>159</v>
      </c>
      <c r="D93" s="285">
        <v>10000</v>
      </c>
      <c r="E93" s="416">
        <v>0</v>
      </c>
      <c r="F93" s="285">
        <v>0</v>
      </c>
      <c r="G93" s="288">
        <f t="shared" si="4"/>
        <v>10000</v>
      </c>
      <c r="H93" s="691">
        <f t="shared" si="5"/>
        <v>0</v>
      </c>
      <c r="I93" s="691">
        <f t="shared" si="6"/>
        <v>0</v>
      </c>
      <c r="J93" s="280">
        <f t="shared" si="7"/>
        <v>0</v>
      </c>
    </row>
    <row r="94" spans="1:10" x14ac:dyDescent="0.55000000000000004">
      <c r="A94" s="273">
        <v>88</v>
      </c>
      <c r="B94" s="74" t="s">
        <v>113</v>
      </c>
      <c r="C94" s="274" t="s">
        <v>160</v>
      </c>
      <c r="D94" s="285">
        <v>0</v>
      </c>
      <c r="E94" s="416">
        <v>0</v>
      </c>
      <c r="F94" s="285">
        <v>0</v>
      </c>
      <c r="G94" s="288">
        <f t="shared" si="4"/>
        <v>0</v>
      </c>
      <c r="H94" s="691" t="e">
        <f t="shared" si="5"/>
        <v>#DIV/0!</v>
      </c>
      <c r="I94" s="691" t="e">
        <f t="shared" si="6"/>
        <v>#DIV/0!</v>
      </c>
      <c r="J94" s="280">
        <f t="shared" si="7"/>
        <v>0</v>
      </c>
    </row>
    <row r="95" spans="1:10" x14ac:dyDescent="0.55000000000000004">
      <c r="A95" s="273">
        <v>89</v>
      </c>
      <c r="B95" s="74" t="s">
        <v>113</v>
      </c>
      <c r="C95" s="274" t="s">
        <v>161</v>
      </c>
      <c r="D95" s="285">
        <v>74000</v>
      </c>
      <c r="E95" s="416">
        <v>0</v>
      </c>
      <c r="F95" s="285">
        <v>0</v>
      </c>
      <c r="G95" s="288">
        <f t="shared" si="4"/>
        <v>74000</v>
      </c>
      <c r="H95" s="691">
        <f t="shared" si="5"/>
        <v>0</v>
      </c>
      <c r="I95" s="691">
        <f t="shared" si="6"/>
        <v>0</v>
      </c>
      <c r="J95" s="280">
        <f t="shared" si="7"/>
        <v>0</v>
      </c>
    </row>
    <row r="96" spans="1:10" x14ac:dyDescent="0.55000000000000004">
      <c r="A96" s="273">
        <v>90</v>
      </c>
      <c r="B96" s="74" t="s">
        <v>113</v>
      </c>
      <c r="C96" s="274" t="s">
        <v>54</v>
      </c>
      <c r="D96" s="285">
        <v>0</v>
      </c>
      <c r="E96" s="416">
        <v>0</v>
      </c>
      <c r="F96" s="285">
        <v>0</v>
      </c>
      <c r="G96" s="288">
        <f t="shared" si="4"/>
        <v>0</v>
      </c>
      <c r="H96" s="691" t="e">
        <f t="shared" si="5"/>
        <v>#DIV/0!</v>
      </c>
      <c r="I96" s="691" t="e">
        <f t="shared" si="6"/>
        <v>#DIV/0!</v>
      </c>
      <c r="J96" s="280">
        <f t="shared" si="7"/>
        <v>0</v>
      </c>
    </row>
    <row r="97" spans="1:14" x14ac:dyDescent="0.55000000000000004">
      <c r="A97" s="273">
        <v>91</v>
      </c>
      <c r="B97" s="74" t="s">
        <v>113</v>
      </c>
      <c r="C97" s="274" t="s">
        <v>55</v>
      </c>
      <c r="D97" s="285">
        <v>0</v>
      </c>
      <c r="E97" s="416">
        <v>0</v>
      </c>
      <c r="F97" s="285">
        <v>0</v>
      </c>
      <c r="G97" s="288">
        <f t="shared" si="4"/>
        <v>0</v>
      </c>
      <c r="H97" s="691" t="e">
        <f t="shared" si="5"/>
        <v>#DIV/0!</v>
      </c>
      <c r="I97" s="691" t="e">
        <f t="shared" si="6"/>
        <v>#DIV/0!</v>
      </c>
      <c r="J97" s="280">
        <f t="shared" si="7"/>
        <v>0</v>
      </c>
    </row>
    <row r="98" spans="1:14" x14ac:dyDescent="0.55000000000000004">
      <c r="A98" s="273">
        <v>92</v>
      </c>
      <c r="B98" s="74" t="s">
        <v>115</v>
      </c>
      <c r="C98" s="274" t="s">
        <v>20</v>
      </c>
      <c r="D98" s="285">
        <v>73000</v>
      </c>
      <c r="E98" s="416">
        <v>0</v>
      </c>
      <c r="F98" s="285">
        <v>0</v>
      </c>
      <c r="G98" s="288">
        <f t="shared" si="4"/>
        <v>73000</v>
      </c>
      <c r="H98" s="691">
        <f t="shared" si="5"/>
        <v>0</v>
      </c>
      <c r="I98" s="691">
        <f t="shared" si="6"/>
        <v>0</v>
      </c>
      <c r="J98" s="280">
        <f t="shared" si="7"/>
        <v>0</v>
      </c>
    </row>
    <row r="99" spans="1:14" x14ac:dyDescent="0.55000000000000004">
      <c r="A99" s="273">
        <v>93</v>
      </c>
      <c r="B99" s="74" t="s">
        <v>115</v>
      </c>
      <c r="C99" s="274" t="s">
        <v>162</v>
      </c>
      <c r="D99" s="285">
        <v>597500</v>
      </c>
      <c r="E99" s="416">
        <v>0</v>
      </c>
      <c r="F99" s="285">
        <v>0</v>
      </c>
      <c r="G99" s="288">
        <f t="shared" si="4"/>
        <v>597500</v>
      </c>
      <c r="H99" s="691">
        <f t="shared" si="5"/>
        <v>0</v>
      </c>
      <c r="I99" s="691">
        <f t="shared" si="6"/>
        <v>0</v>
      </c>
      <c r="J99" s="280">
        <f t="shared" si="7"/>
        <v>0</v>
      </c>
    </row>
    <row r="100" spans="1:14" x14ac:dyDescent="0.55000000000000004">
      <c r="A100" s="273">
        <v>94</v>
      </c>
      <c r="B100" s="74" t="s">
        <v>113</v>
      </c>
      <c r="C100" s="274" t="s">
        <v>89</v>
      </c>
      <c r="D100" s="285">
        <v>10000</v>
      </c>
      <c r="E100" s="416">
        <v>0</v>
      </c>
      <c r="F100" s="285">
        <v>0</v>
      </c>
      <c r="G100" s="288">
        <f t="shared" si="4"/>
        <v>10000</v>
      </c>
      <c r="H100" s="691">
        <f t="shared" si="5"/>
        <v>0</v>
      </c>
      <c r="I100" s="691">
        <f t="shared" si="6"/>
        <v>0</v>
      </c>
      <c r="J100" s="280">
        <f t="shared" si="7"/>
        <v>0</v>
      </c>
    </row>
    <row r="101" spans="1:14" x14ac:dyDescent="0.55000000000000004">
      <c r="A101" s="273">
        <v>95</v>
      </c>
      <c r="B101" s="74" t="s">
        <v>115</v>
      </c>
      <c r="C101" s="274" t="s">
        <v>43</v>
      </c>
      <c r="D101" s="285">
        <v>80000</v>
      </c>
      <c r="E101" s="416">
        <v>0</v>
      </c>
      <c r="F101" s="285">
        <v>0</v>
      </c>
      <c r="G101" s="288">
        <f t="shared" si="4"/>
        <v>80000</v>
      </c>
      <c r="H101" s="691">
        <f t="shared" si="5"/>
        <v>0</v>
      </c>
      <c r="I101" s="691">
        <f t="shared" si="6"/>
        <v>0</v>
      </c>
      <c r="J101" s="280">
        <f t="shared" si="7"/>
        <v>0</v>
      </c>
    </row>
    <row r="102" spans="1:14" ht="24.75" thickBot="1" x14ac:dyDescent="0.6">
      <c r="A102" s="289">
        <v>96</v>
      </c>
      <c r="B102" s="290" t="s">
        <v>115</v>
      </c>
      <c r="C102" s="291" t="s">
        <v>222</v>
      </c>
      <c r="D102" s="285">
        <v>35000</v>
      </c>
      <c r="E102" s="416">
        <v>0</v>
      </c>
      <c r="F102" s="285">
        <v>0</v>
      </c>
      <c r="G102" s="288">
        <f t="shared" si="4"/>
        <v>35000</v>
      </c>
      <c r="H102" s="691">
        <f t="shared" si="5"/>
        <v>0</v>
      </c>
      <c r="I102" s="691">
        <f t="shared" si="6"/>
        <v>0</v>
      </c>
      <c r="J102" s="280">
        <f t="shared" si="7"/>
        <v>0</v>
      </c>
      <c r="M102" s="684">
        <f>+D102+D13</f>
        <v>106000</v>
      </c>
    </row>
    <row r="103" spans="1:14" s="282" customFormat="1" ht="24.75" thickBot="1" x14ac:dyDescent="0.6">
      <c r="A103" s="1175" t="s">
        <v>164</v>
      </c>
      <c r="B103" s="1175"/>
      <c r="C103" s="1175"/>
      <c r="D103" s="664">
        <f>SUM(D7:D102)</f>
        <v>14396800</v>
      </c>
      <c r="E103" s="665">
        <f>SUM(E7:E102)</f>
        <v>0</v>
      </c>
      <c r="F103" s="665">
        <f>SUM(F7:F102)</f>
        <v>0</v>
      </c>
      <c r="G103" s="664">
        <f>SUM(G7:G102)</f>
        <v>14396800</v>
      </c>
      <c r="H103" s="1002">
        <f>F103*100/D103</f>
        <v>0</v>
      </c>
      <c r="I103" s="1002">
        <f t="shared" ref="I103" si="8">+J103*100/D103</f>
        <v>0</v>
      </c>
      <c r="J103" s="282">
        <f t="shared" si="7"/>
        <v>0</v>
      </c>
      <c r="N103" s="873"/>
    </row>
    <row r="104" spans="1:14" s="276" customFormat="1" ht="24.75" thickTop="1" x14ac:dyDescent="0.55000000000000004">
      <c r="A104" s="282" t="s">
        <v>165</v>
      </c>
      <c r="B104" s="850"/>
      <c r="C104" s="1174" t="s">
        <v>849</v>
      </c>
      <c r="D104" s="1174"/>
      <c r="E104" s="1174"/>
      <c r="F104" s="1174"/>
      <c r="G104" s="1174"/>
      <c r="H104" s="1174"/>
      <c r="I104" s="1174"/>
      <c r="N104" s="281"/>
    </row>
    <row r="105" spans="1:14" s="276" customFormat="1" hidden="1" x14ac:dyDescent="0.55000000000000004">
      <c r="A105" s="282"/>
      <c r="B105" s="278"/>
      <c r="C105" s="1159" t="s">
        <v>856</v>
      </c>
      <c r="D105" s="1159"/>
      <c r="E105" s="1159"/>
      <c r="F105" s="1159"/>
      <c r="G105" s="1159"/>
      <c r="H105" s="1159"/>
      <c r="I105" s="1159"/>
      <c r="N105" s="281"/>
    </row>
    <row r="106" spans="1:14" hidden="1" x14ac:dyDescent="0.55000000000000004">
      <c r="C106" s="1159" t="s">
        <v>857</v>
      </c>
      <c r="D106" s="1159"/>
      <c r="E106" s="1159"/>
      <c r="F106" s="1159"/>
      <c r="G106" s="1159"/>
      <c r="H106" s="1159"/>
      <c r="I106" s="1159"/>
    </row>
    <row r="107" spans="1:14" hidden="1" x14ac:dyDescent="0.55000000000000004">
      <c r="D107" s="874">
        <f>+รายงานผู้บริหาร!B12</f>
        <v>28793900</v>
      </c>
    </row>
    <row r="111" spans="1:14" hidden="1" x14ac:dyDescent="0.55000000000000004">
      <c r="E111" s="874">
        <f>+E110-E103</f>
        <v>0</v>
      </c>
    </row>
  </sheetData>
  <mergeCells count="10">
    <mergeCell ref="C106:I106"/>
    <mergeCell ref="C105:I105"/>
    <mergeCell ref="A103:C103"/>
    <mergeCell ref="A5:A6"/>
    <mergeCell ref="B5:C6"/>
    <mergeCell ref="A1:I1"/>
    <mergeCell ref="A2:I2"/>
    <mergeCell ref="A3:I3"/>
    <mergeCell ref="A4:I4"/>
    <mergeCell ref="C104:I104"/>
  </mergeCells>
  <pageMargins left="0.47244094488188998" right="0.35433070866141703" top="0.74803149606299202" bottom="0.74803149606299202" header="0.31496062992126" footer="0.31496062992126"/>
  <pageSetup paperSize="9" scale="85" orientation="portrait" r:id="rId1"/>
  <headerFooter>
    <oddFooter>&amp;Lกลุ่มงานบัญชีและงบประมาณ&amp;Rหน้าที่ &amp;P จาก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21.75" x14ac:dyDescent="0.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</sheetPr>
  <dimension ref="A1:M123"/>
  <sheetViews>
    <sheetView topLeftCell="A6" zoomScaleNormal="100" workbookViewId="0">
      <pane ySplit="1455" topLeftCell="A55" activePane="bottomLeft"/>
      <selection activeCell="I7" sqref="G1:I1048576"/>
      <selection pane="bottomLeft" activeCell="D9" sqref="D9:M103"/>
    </sheetView>
  </sheetViews>
  <sheetFormatPr defaultRowHeight="21.75" x14ac:dyDescent="0.5"/>
  <cols>
    <col min="1" max="1" width="6.42578125" style="296" bestFit="1" customWidth="1"/>
    <col min="2" max="2" width="15.42578125" style="296" bestFit="1" customWidth="1"/>
    <col min="3" max="3" width="16.140625" style="500" bestFit="1" customWidth="1"/>
    <col min="4" max="4" width="15.140625" style="501" bestFit="1" customWidth="1"/>
    <col min="5" max="6" width="14.5703125" style="501" bestFit="1" customWidth="1"/>
    <col min="7" max="7" width="15.140625" style="296" bestFit="1" customWidth="1"/>
    <col min="8" max="8" width="12.7109375" style="296" bestFit="1" customWidth="1"/>
    <col min="9" max="9" width="14.5703125" style="296" bestFit="1" customWidth="1"/>
    <col min="10" max="10" width="15.140625" style="296" bestFit="1" customWidth="1"/>
    <col min="11" max="11" width="14.5703125" style="296" bestFit="1" customWidth="1"/>
    <col min="12" max="12" width="14.5703125" style="39" bestFit="1" customWidth="1"/>
    <col min="13" max="13" width="16.85546875" style="507" bestFit="1" customWidth="1"/>
    <col min="14" max="14" width="9.140625" style="296"/>
    <col min="15" max="15" width="9.140625" style="296" customWidth="1"/>
    <col min="16" max="16384" width="9.140625" style="296"/>
  </cols>
  <sheetData>
    <row r="1" spans="1:13" ht="27.75" x14ac:dyDescent="0.65">
      <c r="A1" s="1153" t="s">
        <v>57</v>
      </c>
      <c r="B1" s="1153"/>
      <c r="C1" s="1153"/>
      <c r="D1" s="1153"/>
      <c r="E1" s="1153"/>
      <c r="F1" s="1153"/>
      <c r="G1" s="1153"/>
      <c r="H1" s="1153"/>
      <c r="I1" s="1153"/>
      <c r="J1" s="1153"/>
      <c r="K1" s="1153"/>
      <c r="L1" s="1153"/>
      <c r="M1" s="1153"/>
    </row>
    <row r="2" spans="1:13" ht="27.75" x14ac:dyDescent="0.5">
      <c r="A2" s="1155" t="s">
        <v>742</v>
      </c>
      <c r="B2" s="1155"/>
      <c r="C2" s="1155"/>
      <c r="D2" s="1155"/>
      <c r="E2" s="1155"/>
      <c r="F2" s="1155"/>
      <c r="G2" s="1155"/>
      <c r="H2" s="1155"/>
      <c r="I2" s="1155"/>
      <c r="J2" s="1155"/>
      <c r="K2" s="1155"/>
      <c r="L2" s="1155"/>
      <c r="M2" s="1155"/>
    </row>
    <row r="3" spans="1:13" ht="27.75" x14ac:dyDescent="0.5">
      <c r="A3" s="1155" t="s">
        <v>192</v>
      </c>
      <c r="B3" s="1155"/>
      <c r="C3" s="1155"/>
      <c r="D3" s="1155"/>
      <c r="E3" s="1155"/>
      <c r="F3" s="1155"/>
      <c r="G3" s="1155"/>
      <c r="H3" s="1155"/>
      <c r="I3" s="1155"/>
      <c r="J3" s="1155"/>
      <c r="K3" s="1155"/>
      <c r="L3" s="1155"/>
      <c r="M3" s="1155"/>
    </row>
    <row r="4" spans="1:13" ht="27.75" x14ac:dyDescent="0.5">
      <c r="A4" s="1155" t="s">
        <v>759</v>
      </c>
      <c r="B4" s="1155"/>
      <c r="C4" s="1155"/>
      <c r="D4" s="1155"/>
      <c r="E4" s="1155"/>
      <c r="F4" s="1155"/>
      <c r="G4" s="1155"/>
      <c r="H4" s="1155"/>
      <c r="I4" s="1155"/>
      <c r="J4" s="1155"/>
      <c r="K4" s="1155"/>
      <c r="L4" s="1155"/>
      <c r="M4" s="1155"/>
    </row>
    <row r="5" spans="1:13" ht="27.75" x14ac:dyDescent="0.5">
      <c r="A5" s="1156" t="str">
        <f>+งบรายจ่ายอื่น!A4:K4</f>
        <v>ตั้งแต่วันที่ 1  ตุลาคม 2564 ถึงวันที่ 31 ตุลาคม 2564</v>
      </c>
      <c r="B5" s="1155"/>
      <c r="C5" s="1155"/>
      <c r="D5" s="1155"/>
      <c r="E5" s="1155"/>
      <c r="F5" s="1155"/>
      <c r="G5" s="1155"/>
      <c r="H5" s="1155"/>
      <c r="I5" s="1155"/>
      <c r="J5" s="1155"/>
      <c r="K5" s="1155"/>
      <c r="L5" s="1155"/>
      <c r="M5" s="1155"/>
    </row>
    <row r="6" spans="1:13" s="793" customFormat="1" ht="24" x14ac:dyDescent="0.5">
      <c r="A6" s="1186" t="s">
        <v>0</v>
      </c>
      <c r="B6" s="1186" t="s">
        <v>1</v>
      </c>
      <c r="C6" s="1186"/>
      <c r="D6" s="1187" t="s">
        <v>295</v>
      </c>
      <c r="E6" s="1188"/>
      <c r="F6" s="1189"/>
      <c r="G6" s="1178" t="s">
        <v>296</v>
      </c>
      <c r="H6" s="1179"/>
      <c r="I6" s="1180"/>
      <c r="J6" s="1181" t="s">
        <v>297</v>
      </c>
      <c r="K6" s="1179"/>
      <c r="L6" s="1179"/>
      <c r="M6" s="792" t="s">
        <v>66</v>
      </c>
    </row>
    <row r="7" spans="1:13" s="793" customFormat="1" ht="24" x14ac:dyDescent="0.5">
      <c r="A7" s="1186"/>
      <c r="B7" s="1186"/>
      <c r="C7" s="1186"/>
      <c r="D7" s="794" t="s">
        <v>67</v>
      </c>
      <c r="E7" s="794" t="s">
        <v>17</v>
      </c>
      <c r="F7" s="795" t="s">
        <v>60</v>
      </c>
      <c r="G7" s="796" t="s">
        <v>67</v>
      </c>
      <c r="H7" s="794" t="s">
        <v>17</v>
      </c>
      <c r="I7" s="795" t="s">
        <v>60</v>
      </c>
      <c r="J7" s="797" t="s">
        <v>67</v>
      </c>
      <c r="K7" s="798" t="s">
        <v>17</v>
      </c>
      <c r="L7" s="798" t="s">
        <v>60</v>
      </c>
      <c r="M7" s="799" t="s">
        <v>111</v>
      </c>
    </row>
    <row r="8" spans="1:13" ht="24" x14ac:dyDescent="0.5">
      <c r="A8" s="273">
        <v>1</v>
      </c>
      <c r="B8" s="74" t="s">
        <v>193</v>
      </c>
      <c r="C8" s="75"/>
      <c r="D8" s="687">
        <v>0</v>
      </c>
      <c r="E8" s="275">
        <f>757248.3-500-756748.3</f>
        <v>0</v>
      </c>
      <c r="F8" s="688">
        <f>+D8-E8</f>
        <v>0</v>
      </c>
      <c r="G8" s="687">
        <v>0</v>
      </c>
      <c r="H8" s="275">
        <v>0</v>
      </c>
      <c r="I8" s="689">
        <f>+G8-H8</f>
        <v>0</v>
      </c>
      <c r="J8" s="690">
        <f>+D8+G8</f>
        <v>0</v>
      </c>
      <c r="K8" s="275">
        <f>+E8+H8</f>
        <v>0</v>
      </c>
      <c r="L8" s="286">
        <f>+J8-K8</f>
        <v>0</v>
      </c>
      <c r="M8" s="691" t="e">
        <f>+K8*100/J8</f>
        <v>#DIV/0!</v>
      </c>
    </row>
    <row r="9" spans="1:13" ht="24" x14ac:dyDescent="0.5">
      <c r="A9" s="273">
        <v>2</v>
      </c>
      <c r="B9" s="74" t="s">
        <v>203</v>
      </c>
      <c r="C9" s="75" t="s">
        <v>221</v>
      </c>
      <c r="D9" s="687">
        <v>0</v>
      </c>
      <c r="E9" s="275">
        <f t="shared" ref="E9:E72" si="0">757248.3-500-756748.3</f>
        <v>0</v>
      </c>
      <c r="F9" s="688">
        <f t="shared" ref="F9:F72" si="1">+D9-E9</f>
        <v>0</v>
      </c>
      <c r="G9" s="687">
        <v>0</v>
      </c>
      <c r="H9" s="275">
        <v>0</v>
      </c>
      <c r="I9" s="689">
        <f t="shared" ref="I9:I72" si="2">+G9-H9</f>
        <v>0</v>
      </c>
      <c r="J9" s="690">
        <f t="shared" ref="J9:J72" si="3">+D9+G9</f>
        <v>0</v>
      </c>
      <c r="K9" s="275">
        <f t="shared" ref="K9:K72" si="4">+E9+H9</f>
        <v>0</v>
      </c>
      <c r="L9" s="286">
        <f t="shared" ref="L9:L72" si="5">+J9-K9</f>
        <v>0</v>
      </c>
      <c r="M9" s="691" t="e">
        <f t="shared" ref="M9:M72" si="6">+K9*100/J9</f>
        <v>#DIV/0!</v>
      </c>
    </row>
    <row r="10" spans="1:13" ht="24" x14ac:dyDescent="0.5">
      <c r="A10" s="273">
        <v>3</v>
      </c>
      <c r="B10" s="74" t="s">
        <v>194</v>
      </c>
      <c r="C10" s="75" t="s">
        <v>18</v>
      </c>
      <c r="D10" s="687">
        <v>0</v>
      </c>
      <c r="E10" s="275">
        <f t="shared" si="0"/>
        <v>0</v>
      </c>
      <c r="F10" s="688">
        <f t="shared" si="1"/>
        <v>0</v>
      </c>
      <c r="G10" s="687">
        <v>0</v>
      </c>
      <c r="H10" s="275">
        <v>0</v>
      </c>
      <c r="I10" s="689">
        <f t="shared" si="2"/>
        <v>0</v>
      </c>
      <c r="J10" s="690">
        <f t="shared" si="3"/>
        <v>0</v>
      </c>
      <c r="K10" s="275">
        <f t="shared" si="4"/>
        <v>0</v>
      </c>
      <c r="L10" s="286">
        <f t="shared" si="5"/>
        <v>0</v>
      </c>
      <c r="M10" s="691" t="e">
        <f t="shared" si="6"/>
        <v>#DIV/0!</v>
      </c>
    </row>
    <row r="11" spans="1:13" ht="24" x14ac:dyDescent="0.5">
      <c r="A11" s="273">
        <v>4</v>
      </c>
      <c r="B11" s="74" t="s">
        <v>194</v>
      </c>
      <c r="C11" s="75" t="s">
        <v>76</v>
      </c>
      <c r="D11" s="687">
        <v>0</v>
      </c>
      <c r="E11" s="275">
        <f t="shared" si="0"/>
        <v>0</v>
      </c>
      <c r="F11" s="688">
        <f t="shared" si="1"/>
        <v>0</v>
      </c>
      <c r="G11" s="687">
        <v>0</v>
      </c>
      <c r="H11" s="275">
        <v>0</v>
      </c>
      <c r="I11" s="689">
        <f t="shared" si="2"/>
        <v>0</v>
      </c>
      <c r="J11" s="690">
        <f t="shared" si="3"/>
        <v>0</v>
      </c>
      <c r="K11" s="275">
        <f t="shared" si="4"/>
        <v>0</v>
      </c>
      <c r="L11" s="286">
        <f t="shared" si="5"/>
        <v>0</v>
      </c>
      <c r="M11" s="691" t="e">
        <f t="shared" si="6"/>
        <v>#DIV/0!</v>
      </c>
    </row>
    <row r="12" spans="1:13" ht="24" x14ac:dyDescent="0.5">
      <c r="A12" s="273">
        <v>5</v>
      </c>
      <c r="B12" s="74" t="s">
        <v>194</v>
      </c>
      <c r="C12" s="75" t="s">
        <v>116</v>
      </c>
      <c r="D12" s="687">
        <v>0</v>
      </c>
      <c r="E12" s="275">
        <f t="shared" si="0"/>
        <v>0</v>
      </c>
      <c r="F12" s="688">
        <f t="shared" si="1"/>
        <v>0</v>
      </c>
      <c r="G12" s="687">
        <v>0</v>
      </c>
      <c r="H12" s="275">
        <v>0</v>
      </c>
      <c r="I12" s="689">
        <f t="shared" si="2"/>
        <v>0</v>
      </c>
      <c r="J12" s="690">
        <f t="shared" si="3"/>
        <v>0</v>
      </c>
      <c r="K12" s="275">
        <f t="shared" si="4"/>
        <v>0</v>
      </c>
      <c r="L12" s="286">
        <f t="shared" si="5"/>
        <v>0</v>
      </c>
      <c r="M12" s="691" t="e">
        <f t="shared" si="6"/>
        <v>#DIV/0!</v>
      </c>
    </row>
    <row r="13" spans="1:13" ht="24" x14ac:dyDescent="0.5">
      <c r="A13" s="273">
        <v>6</v>
      </c>
      <c r="B13" s="74" t="s">
        <v>194</v>
      </c>
      <c r="C13" s="75" t="s">
        <v>73</v>
      </c>
      <c r="D13" s="687">
        <v>0</v>
      </c>
      <c r="E13" s="275">
        <f t="shared" si="0"/>
        <v>0</v>
      </c>
      <c r="F13" s="688">
        <f t="shared" si="1"/>
        <v>0</v>
      </c>
      <c r="G13" s="687">
        <v>0</v>
      </c>
      <c r="H13" s="275">
        <v>0</v>
      </c>
      <c r="I13" s="689">
        <f t="shared" si="2"/>
        <v>0</v>
      </c>
      <c r="J13" s="690">
        <f t="shared" si="3"/>
        <v>0</v>
      </c>
      <c r="K13" s="275">
        <f t="shared" si="4"/>
        <v>0</v>
      </c>
      <c r="L13" s="286">
        <f t="shared" si="5"/>
        <v>0</v>
      </c>
      <c r="M13" s="691" t="e">
        <f t="shared" si="6"/>
        <v>#DIV/0!</v>
      </c>
    </row>
    <row r="14" spans="1:13" ht="24" x14ac:dyDescent="0.5">
      <c r="A14" s="273">
        <v>7</v>
      </c>
      <c r="B14" s="74" t="s">
        <v>194</v>
      </c>
      <c r="C14" s="75" t="s">
        <v>106</v>
      </c>
      <c r="D14" s="687">
        <v>0</v>
      </c>
      <c r="E14" s="275">
        <f t="shared" si="0"/>
        <v>0</v>
      </c>
      <c r="F14" s="688">
        <f t="shared" si="1"/>
        <v>0</v>
      </c>
      <c r="G14" s="687">
        <v>0</v>
      </c>
      <c r="H14" s="275">
        <v>0</v>
      </c>
      <c r="I14" s="689">
        <f t="shared" si="2"/>
        <v>0</v>
      </c>
      <c r="J14" s="690">
        <f t="shared" si="3"/>
        <v>0</v>
      </c>
      <c r="K14" s="275">
        <f t="shared" si="4"/>
        <v>0</v>
      </c>
      <c r="L14" s="286">
        <f t="shared" si="5"/>
        <v>0</v>
      </c>
      <c r="M14" s="691" t="e">
        <f t="shared" si="6"/>
        <v>#DIV/0!</v>
      </c>
    </row>
    <row r="15" spans="1:13" ht="24" x14ac:dyDescent="0.5">
      <c r="A15" s="273">
        <v>8</v>
      </c>
      <c r="B15" s="74" t="s">
        <v>195</v>
      </c>
      <c r="C15" s="75"/>
      <c r="D15" s="687">
        <v>0</v>
      </c>
      <c r="E15" s="275">
        <f t="shared" si="0"/>
        <v>0</v>
      </c>
      <c r="F15" s="688">
        <f t="shared" si="1"/>
        <v>0</v>
      </c>
      <c r="G15" s="687">
        <v>0</v>
      </c>
      <c r="H15" s="275">
        <v>0</v>
      </c>
      <c r="I15" s="689">
        <f t="shared" si="2"/>
        <v>0</v>
      </c>
      <c r="J15" s="690">
        <f t="shared" si="3"/>
        <v>0</v>
      </c>
      <c r="K15" s="275">
        <f t="shared" si="4"/>
        <v>0</v>
      </c>
      <c r="L15" s="286">
        <f t="shared" si="5"/>
        <v>0</v>
      </c>
      <c r="M15" s="691" t="e">
        <f t="shared" si="6"/>
        <v>#DIV/0!</v>
      </c>
    </row>
    <row r="16" spans="1:13" ht="24" x14ac:dyDescent="0.5">
      <c r="A16" s="273">
        <v>9</v>
      </c>
      <c r="B16" s="74" t="s">
        <v>196</v>
      </c>
      <c r="C16" s="75"/>
      <c r="D16" s="687">
        <v>0</v>
      </c>
      <c r="E16" s="275">
        <f t="shared" si="0"/>
        <v>0</v>
      </c>
      <c r="F16" s="688">
        <f t="shared" si="1"/>
        <v>0</v>
      </c>
      <c r="G16" s="687">
        <v>0</v>
      </c>
      <c r="H16" s="275">
        <v>0</v>
      </c>
      <c r="I16" s="689">
        <f t="shared" si="2"/>
        <v>0</v>
      </c>
      <c r="J16" s="690">
        <f t="shared" si="3"/>
        <v>0</v>
      </c>
      <c r="K16" s="275">
        <f t="shared" si="4"/>
        <v>0</v>
      </c>
      <c r="L16" s="286">
        <f t="shared" si="5"/>
        <v>0</v>
      </c>
      <c r="M16" s="691" t="e">
        <f t="shared" si="6"/>
        <v>#DIV/0!</v>
      </c>
    </row>
    <row r="17" spans="1:13" ht="24" x14ac:dyDescent="0.5">
      <c r="A17" s="273">
        <v>10</v>
      </c>
      <c r="B17" s="74" t="s">
        <v>197</v>
      </c>
      <c r="C17" s="75"/>
      <c r="D17" s="687">
        <v>0</v>
      </c>
      <c r="E17" s="275">
        <f t="shared" si="0"/>
        <v>0</v>
      </c>
      <c r="F17" s="688">
        <f t="shared" si="1"/>
        <v>0</v>
      </c>
      <c r="G17" s="687">
        <v>0</v>
      </c>
      <c r="H17" s="275">
        <v>0</v>
      </c>
      <c r="I17" s="689">
        <f t="shared" si="2"/>
        <v>0</v>
      </c>
      <c r="J17" s="690">
        <f t="shared" si="3"/>
        <v>0</v>
      </c>
      <c r="K17" s="275">
        <f t="shared" si="4"/>
        <v>0</v>
      </c>
      <c r="L17" s="286">
        <f t="shared" si="5"/>
        <v>0</v>
      </c>
      <c r="M17" s="691" t="e">
        <f t="shared" si="6"/>
        <v>#DIV/0!</v>
      </c>
    </row>
    <row r="18" spans="1:13" ht="24" x14ac:dyDescent="0.5">
      <c r="A18" s="273">
        <v>11</v>
      </c>
      <c r="B18" s="74" t="s">
        <v>198</v>
      </c>
      <c r="C18" s="75"/>
      <c r="D18" s="687">
        <v>0</v>
      </c>
      <c r="E18" s="275">
        <f t="shared" si="0"/>
        <v>0</v>
      </c>
      <c r="F18" s="688">
        <f t="shared" si="1"/>
        <v>0</v>
      </c>
      <c r="G18" s="687">
        <v>0</v>
      </c>
      <c r="H18" s="275">
        <v>0</v>
      </c>
      <c r="I18" s="689">
        <f t="shared" si="2"/>
        <v>0</v>
      </c>
      <c r="J18" s="690">
        <f t="shared" si="3"/>
        <v>0</v>
      </c>
      <c r="K18" s="275">
        <f t="shared" si="4"/>
        <v>0</v>
      </c>
      <c r="L18" s="286">
        <f t="shared" si="5"/>
        <v>0</v>
      </c>
      <c r="M18" s="691" t="e">
        <f t="shared" si="6"/>
        <v>#DIV/0!</v>
      </c>
    </row>
    <row r="19" spans="1:13" ht="24" x14ac:dyDescent="0.5">
      <c r="A19" s="273">
        <v>12</v>
      </c>
      <c r="B19" s="74" t="s">
        <v>199</v>
      </c>
      <c r="C19" s="75"/>
      <c r="D19" s="687">
        <v>0</v>
      </c>
      <c r="E19" s="275">
        <f t="shared" si="0"/>
        <v>0</v>
      </c>
      <c r="F19" s="688">
        <f t="shared" si="1"/>
        <v>0</v>
      </c>
      <c r="G19" s="687">
        <v>0</v>
      </c>
      <c r="H19" s="275">
        <v>0</v>
      </c>
      <c r="I19" s="689">
        <f t="shared" si="2"/>
        <v>0</v>
      </c>
      <c r="J19" s="690">
        <f t="shared" si="3"/>
        <v>0</v>
      </c>
      <c r="K19" s="275">
        <f t="shared" si="4"/>
        <v>0</v>
      </c>
      <c r="L19" s="286">
        <f t="shared" si="5"/>
        <v>0</v>
      </c>
      <c r="M19" s="691" t="e">
        <f t="shared" si="6"/>
        <v>#DIV/0!</v>
      </c>
    </row>
    <row r="20" spans="1:13" ht="24" x14ac:dyDescent="0.5">
      <c r="A20" s="273">
        <v>13</v>
      </c>
      <c r="B20" s="74" t="s">
        <v>200</v>
      </c>
      <c r="C20" s="75"/>
      <c r="D20" s="687">
        <v>0</v>
      </c>
      <c r="E20" s="275">
        <f t="shared" si="0"/>
        <v>0</v>
      </c>
      <c r="F20" s="688">
        <f t="shared" si="1"/>
        <v>0</v>
      </c>
      <c r="G20" s="687">
        <v>0</v>
      </c>
      <c r="H20" s="275">
        <v>0</v>
      </c>
      <c r="I20" s="689">
        <f t="shared" si="2"/>
        <v>0</v>
      </c>
      <c r="J20" s="690">
        <f t="shared" si="3"/>
        <v>0</v>
      </c>
      <c r="K20" s="275">
        <f t="shared" si="4"/>
        <v>0</v>
      </c>
      <c r="L20" s="286">
        <f t="shared" si="5"/>
        <v>0</v>
      </c>
      <c r="M20" s="691" t="e">
        <f t="shared" si="6"/>
        <v>#DIV/0!</v>
      </c>
    </row>
    <row r="21" spans="1:13" ht="24" x14ac:dyDescent="0.5">
      <c r="A21" s="273">
        <v>14</v>
      </c>
      <c r="B21" s="74" t="s">
        <v>201</v>
      </c>
      <c r="C21" s="75"/>
      <c r="D21" s="687">
        <v>0</v>
      </c>
      <c r="E21" s="275">
        <f t="shared" si="0"/>
        <v>0</v>
      </c>
      <c r="F21" s="688">
        <f t="shared" si="1"/>
        <v>0</v>
      </c>
      <c r="G21" s="687">
        <v>0</v>
      </c>
      <c r="H21" s="275">
        <v>0</v>
      </c>
      <c r="I21" s="689">
        <f t="shared" si="2"/>
        <v>0</v>
      </c>
      <c r="J21" s="690">
        <f t="shared" si="3"/>
        <v>0</v>
      </c>
      <c r="K21" s="275">
        <f t="shared" si="4"/>
        <v>0</v>
      </c>
      <c r="L21" s="286">
        <f t="shared" si="5"/>
        <v>0</v>
      </c>
      <c r="M21" s="691" t="e">
        <f t="shared" si="6"/>
        <v>#DIV/0!</v>
      </c>
    </row>
    <row r="22" spans="1:13" ht="24" x14ac:dyDescent="0.5">
      <c r="A22" s="273">
        <v>15</v>
      </c>
      <c r="B22" s="74" t="s">
        <v>205</v>
      </c>
      <c r="C22" s="75"/>
      <c r="D22" s="687">
        <v>0</v>
      </c>
      <c r="E22" s="275">
        <f t="shared" si="0"/>
        <v>0</v>
      </c>
      <c r="F22" s="688">
        <f t="shared" si="1"/>
        <v>0</v>
      </c>
      <c r="G22" s="687">
        <v>0</v>
      </c>
      <c r="H22" s="275">
        <v>0</v>
      </c>
      <c r="I22" s="689">
        <f t="shared" si="2"/>
        <v>0</v>
      </c>
      <c r="J22" s="690">
        <f t="shared" si="3"/>
        <v>0</v>
      </c>
      <c r="K22" s="275">
        <f t="shared" si="4"/>
        <v>0</v>
      </c>
      <c r="L22" s="286">
        <f t="shared" si="5"/>
        <v>0</v>
      </c>
      <c r="M22" s="691" t="e">
        <f t="shared" si="6"/>
        <v>#DIV/0!</v>
      </c>
    </row>
    <row r="23" spans="1:13" ht="24" x14ac:dyDescent="0.5">
      <c r="A23" s="273">
        <v>16</v>
      </c>
      <c r="B23" s="74" t="s">
        <v>206</v>
      </c>
      <c r="C23" s="75"/>
      <c r="D23" s="687">
        <v>0</v>
      </c>
      <c r="E23" s="275">
        <f t="shared" si="0"/>
        <v>0</v>
      </c>
      <c r="F23" s="688">
        <f t="shared" si="1"/>
        <v>0</v>
      </c>
      <c r="G23" s="687">
        <v>0</v>
      </c>
      <c r="H23" s="275">
        <v>0</v>
      </c>
      <c r="I23" s="689">
        <f t="shared" si="2"/>
        <v>0</v>
      </c>
      <c r="J23" s="690">
        <f t="shared" si="3"/>
        <v>0</v>
      </c>
      <c r="K23" s="275">
        <f t="shared" si="4"/>
        <v>0</v>
      </c>
      <c r="L23" s="286">
        <f t="shared" si="5"/>
        <v>0</v>
      </c>
      <c r="M23" s="691" t="e">
        <f t="shared" si="6"/>
        <v>#DIV/0!</v>
      </c>
    </row>
    <row r="24" spans="1:13" ht="24" x14ac:dyDescent="0.5">
      <c r="A24" s="273">
        <v>17</v>
      </c>
      <c r="B24" s="74" t="s">
        <v>203</v>
      </c>
      <c r="C24" s="75" t="s">
        <v>126</v>
      </c>
      <c r="D24" s="687">
        <v>0</v>
      </c>
      <c r="E24" s="275">
        <f t="shared" si="0"/>
        <v>0</v>
      </c>
      <c r="F24" s="688">
        <f t="shared" si="1"/>
        <v>0</v>
      </c>
      <c r="G24" s="687">
        <v>0</v>
      </c>
      <c r="H24" s="275">
        <v>0</v>
      </c>
      <c r="I24" s="689">
        <f t="shared" si="2"/>
        <v>0</v>
      </c>
      <c r="J24" s="690">
        <f t="shared" si="3"/>
        <v>0</v>
      </c>
      <c r="K24" s="275">
        <f t="shared" si="4"/>
        <v>0</v>
      </c>
      <c r="L24" s="286">
        <f t="shared" si="5"/>
        <v>0</v>
      </c>
      <c r="M24" s="691" t="e">
        <f t="shared" si="6"/>
        <v>#DIV/0!</v>
      </c>
    </row>
    <row r="25" spans="1:13" ht="24" x14ac:dyDescent="0.5">
      <c r="A25" s="273">
        <v>18</v>
      </c>
      <c r="B25" s="74" t="s">
        <v>203</v>
      </c>
      <c r="C25" s="75" t="s">
        <v>127</v>
      </c>
      <c r="D25" s="687">
        <v>0</v>
      </c>
      <c r="E25" s="275">
        <f t="shared" si="0"/>
        <v>0</v>
      </c>
      <c r="F25" s="688">
        <f t="shared" si="1"/>
        <v>0</v>
      </c>
      <c r="G25" s="687">
        <v>0</v>
      </c>
      <c r="H25" s="275">
        <v>0</v>
      </c>
      <c r="I25" s="689">
        <f t="shared" si="2"/>
        <v>0</v>
      </c>
      <c r="J25" s="690">
        <f t="shared" si="3"/>
        <v>0</v>
      </c>
      <c r="K25" s="275">
        <f t="shared" si="4"/>
        <v>0</v>
      </c>
      <c r="L25" s="286">
        <f t="shared" si="5"/>
        <v>0</v>
      </c>
      <c r="M25" s="691" t="e">
        <f t="shared" si="6"/>
        <v>#DIV/0!</v>
      </c>
    </row>
    <row r="26" spans="1:13" ht="24" x14ac:dyDescent="0.5">
      <c r="A26" s="273">
        <v>19</v>
      </c>
      <c r="B26" s="74" t="s">
        <v>203</v>
      </c>
      <c r="C26" s="75" t="s">
        <v>19</v>
      </c>
      <c r="D26" s="687">
        <v>0</v>
      </c>
      <c r="E26" s="275">
        <f t="shared" si="0"/>
        <v>0</v>
      </c>
      <c r="F26" s="688">
        <f t="shared" si="1"/>
        <v>0</v>
      </c>
      <c r="G26" s="687">
        <v>0</v>
      </c>
      <c r="H26" s="275">
        <v>0</v>
      </c>
      <c r="I26" s="689">
        <f t="shared" si="2"/>
        <v>0</v>
      </c>
      <c r="J26" s="690">
        <f t="shared" si="3"/>
        <v>0</v>
      </c>
      <c r="K26" s="275">
        <f t="shared" si="4"/>
        <v>0</v>
      </c>
      <c r="L26" s="286">
        <f t="shared" si="5"/>
        <v>0</v>
      </c>
      <c r="M26" s="691" t="e">
        <f t="shared" si="6"/>
        <v>#DIV/0!</v>
      </c>
    </row>
    <row r="27" spans="1:13" ht="24" x14ac:dyDescent="0.5">
      <c r="A27" s="273">
        <v>20</v>
      </c>
      <c r="B27" s="74" t="s">
        <v>203</v>
      </c>
      <c r="C27" s="75" t="s">
        <v>20</v>
      </c>
      <c r="D27" s="687">
        <v>0</v>
      </c>
      <c r="E27" s="275">
        <f t="shared" si="0"/>
        <v>0</v>
      </c>
      <c r="F27" s="688">
        <f t="shared" si="1"/>
        <v>0</v>
      </c>
      <c r="G27" s="687">
        <v>0</v>
      </c>
      <c r="H27" s="275">
        <v>0</v>
      </c>
      <c r="I27" s="689">
        <f t="shared" si="2"/>
        <v>0</v>
      </c>
      <c r="J27" s="690">
        <f t="shared" si="3"/>
        <v>0</v>
      </c>
      <c r="K27" s="275">
        <f t="shared" si="4"/>
        <v>0</v>
      </c>
      <c r="L27" s="286">
        <f t="shared" si="5"/>
        <v>0</v>
      </c>
      <c r="M27" s="691" t="e">
        <f t="shared" si="6"/>
        <v>#DIV/0!</v>
      </c>
    </row>
    <row r="28" spans="1:13" ht="24" x14ac:dyDescent="0.5">
      <c r="A28" s="273">
        <v>21</v>
      </c>
      <c r="B28" s="74" t="s">
        <v>203</v>
      </c>
      <c r="C28" s="75" t="s">
        <v>128</v>
      </c>
      <c r="D28" s="687">
        <v>0</v>
      </c>
      <c r="E28" s="275">
        <f t="shared" si="0"/>
        <v>0</v>
      </c>
      <c r="F28" s="688">
        <f t="shared" si="1"/>
        <v>0</v>
      </c>
      <c r="G28" s="687">
        <v>0</v>
      </c>
      <c r="H28" s="275">
        <v>0</v>
      </c>
      <c r="I28" s="689">
        <f t="shared" si="2"/>
        <v>0</v>
      </c>
      <c r="J28" s="690">
        <f t="shared" si="3"/>
        <v>0</v>
      </c>
      <c r="K28" s="275">
        <f t="shared" si="4"/>
        <v>0</v>
      </c>
      <c r="L28" s="286">
        <f t="shared" si="5"/>
        <v>0</v>
      </c>
      <c r="M28" s="691" t="e">
        <f t="shared" si="6"/>
        <v>#DIV/0!</v>
      </c>
    </row>
    <row r="29" spans="1:13" ht="24" x14ac:dyDescent="0.5">
      <c r="A29" s="273">
        <v>22</v>
      </c>
      <c r="B29" s="74" t="s">
        <v>203</v>
      </c>
      <c r="C29" s="75" t="s">
        <v>129</v>
      </c>
      <c r="D29" s="687">
        <v>0</v>
      </c>
      <c r="E29" s="275">
        <f t="shared" si="0"/>
        <v>0</v>
      </c>
      <c r="F29" s="688">
        <f t="shared" si="1"/>
        <v>0</v>
      </c>
      <c r="G29" s="687">
        <v>0</v>
      </c>
      <c r="H29" s="275">
        <v>0</v>
      </c>
      <c r="I29" s="689">
        <f t="shared" si="2"/>
        <v>0</v>
      </c>
      <c r="J29" s="690">
        <f t="shared" si="3"/>
        <v>0</v>
      </c>
      <c r="K29" s="275">
        <f t="shared" si="4"/>
        <v>0</v>
      </c>
      <c r="L29" s="286">
        <f t="shared" si="5"/>
        <v>0</v>
      </c>
      <c r="M29" s="691" t="e">
        <f t="shared" si="6"/>
        <v>#DIV/0!</v>
      </c>
    </row>
    <row r="30" spans="1:13" ht="24" x14ac:dyDescent="0.5">
      <c r="A30" s="273">
        <v>23</v>
      </c>
      <c r="B30" s="74" t="s">
        <v>203</v>
      </c>
      <c r="C30" s="75" t="s">
        <v>130</v>
      </c>
      <c r="D30" s="687">
        <v>0</v>
      </c>
      <c r="E30" s="275">
        <f t="shared" si="0"/>
        <v>0</v>
      </c>
      <c r="F30" s="688">
        <f t="shared" si="1"/>
        <v>0</v>
      </c>
      <c r="G30" s="687">
        <v>0</v>
      </c>
      <c r="H30" s="275">
        <v>0</v>
      </c>
      <c r="I30" s="689">
        <f t="shared" si="2"/>
        <v>0</v>
      </c>
      <c r="J30" s="690">
        <f t="shared" si="3"/>
        <v>0</v>
      </c>
      <c r="K30" s="275">
        <f t="shared" si="4"/>
        <v>0</v>
      </c>
      <c r="L30" s="286">
        <f t="shared" si="5"/>
        <v>0</v>
      </c>
      <c r="M30" s="691" t="e">
        <f t="shared" si="6"/>
        <v>#DIV/0!</v>
      </c>
    </row>
    <row r="31" spans="1:13" ht="24" x14ac:dyDescent="0.5">
      <c r="A31" s="273">
        <v>24</v>
      </c>
      <c r="B31" s="74" t="s">
        <v>203</v>
      </c>
      <c r="C31" s="75" t="s">
        <v>21</v>
      </c>
      <c r="D31" s="687">
        <v>0</v>
      </c>
      <c r="E31" s="275">
        <f t="shared" si="0"/>
        <v>0</v>
      </c>
      <c r="F31" s="688">
        <f t="shared" si="1"/>
        <v>0</v>
      </c>
      <c r="G31" s="687">
        <v>0</v>
      </c>
      <c r="H31" s="275">
        <v>0</v>
      </c>
      <c r="I31" s="689">
        <f t="shared" si="2"/>
        <v>0</v>
      </c>
      <c r="J31" s="690">
        <f t="shared" si="3"/>
        <v>0</v>
      </c>
      <c r="K31" s="275">
        <f t="shared" si="4"/>
        <v>0</v>
      </c>
      <c r="L31" s="286">
        <f t="shared" si="5"/>
        <v>0</v>
      </c>
      <c r="M31" s="691" t="e">
        <f t="shared" si="6"/>
        <v>#DIV/0!</v>
      </c>
    </row>
    <row r="32" spans="1:13" ht="24" x14ac:dyDescent="0.5">
      <c r="A32" s="273">
        <v>25</v>
      </c>
      <c r="B32" s="74" t="s">
        <v>203</v>
      </c>
      <c r="C32" s="75" t="s">
        <v>22</v>
      </c>
      <c r="D32" s="687">
        <v>0</v>
      </c>
      <c r="E32" s="275">
        <f t="shared" si="0"/>
        <v>0</v>
      </c>
      <c r="F32" s="688">
        <f t="shared" si="1"/>
        <v>0</v>
      </c>
      <c r="G32" s="687">
        <v>0</v>
      </c>
      <c r="H32" s="275">
        <v>0</v>
      </c>
      <c r="I32" s="689">
        <f t="shared" si="2"/>
        <v>0</v>
      </c>
      <c r="J32" s="690">
        <f t="shared" si="3"/>
        <v>0</v>
      </c>
      <c r="K32" s="275">
        <f t="shared" si="4"/>
        <v>0</v>
      </c>
      <c r="L32" s="286">
        <f t="shared" si="5"/>
        <v>0</v>
      </c>
      <c r="M32" s="691" t="e">
        <f t="shared" si="6"/>
        <v>#DIV/0!</v>
      </c>
    </row>
    <row r="33" spans="1:13" ht="24" x14ac:dyDescent="0.5">
      <c r="A33" s="273">
        <v>26</v>
      </c>
      <c r="B33" s="74" t="s">
        <v>203</v>
      </c>
      <c r="C33" s="75" t="s">
        <v>131</v>
      </c>
      <c r="D33" s="687">
        <v>0</v>
      </c>
      <c r="E33" s="275">
        <f t="shared" si="0"/>
        <v>0</v>
      </c>
      <c r="F33" s="688">
        <f t="shared" si="1"/>
        <v>0</v>
      </c>
      <c r="G33" s="687">
        <v>0</v>
      </c>
      <c r="H33" s="275">
        <v>0</v>
      </c>
      <c r="I33" s="689">
        <f t="shared" si="2"/>
        <v>0</v>
      </c>
      <c r="J33" s="690">
        <f t="shared" si="3"/>
        <v>0</v>
      </c>
      <c r="K33" s="275">
        <f t="shared" si="4"/>
        <v>0</v>
      </c>
      <c r="L33" s="286">
        <f t="shared" si="5"/>
        <v>0</v>
      </c>
      <c r="M33" s="691" t="e">
        <f t="shared" si="6"/>
        <v>#DIV/0!</v>
      </c>
    </row>
    <row r="34" spans="1:13" ht="24" x14ac:dyDescent="0.5">
      <c r="A34" s="273">
        <v>27</v>
      </c>
      <c r="B34" s="74" t="s">
        <v>203</v>
      </c>
      <c r="C34" s="75" t="s">
        <v>132</v>
      </c>
      <c r="D34" s="687">
        <v>0</v>
      </c>
      <c r="E34" s="275">
        <f t="shared" si="0"/>
        <v>0</v>
      </c>
      <c r="F34" s="688">
        <f t="shared" si="1"/>
        <v>0</v>
      </c>
      <c r="G34" s="687">
        <v>0</v>
      </c>
      <c r="H34" s="275">
        <v>0</v>
      </c>
      <c r="I34" s="689">
        <f t="shared" si="2"/>
        <v>0</v>
      </c>
      <c r="J34" s="690">
        <f t="shared" si="3"/>
        <v>0</v>
      </c>
      <c r="K34" s="275">
        <f t="shared" si="4"/>
        <v>0</v>
      </c>
      <c r="L34" s="286">
        <f t="shared" si="5"/>
        <v>0</v>
      </c>
      <c r="M34" s="691" t="e">
        <f t="shared" si="6"/>
        <v>#DIV/0!</v>
      </c>
    </row>
    <row r="35" spans="1:13" ht="24" x14ac:dyDescent="0.5">
      <c r="A35" s="273">
        <v>28</v>
      </c>
      <c r="B35" s="74" t="s">
        <v>203</v>
      </c>
      <c r="C35" s="75" t="s">
        <v>23</v>
      </c>
      <c r="D35" s="687">
        <v>0</v>
      </c>
      <c r="E35" s="275">
        <f t="shared" si="0"/>
        <v>0</v>
      </c>
      <c r="F35" s="688">
        <f t="shared" si="1"/>
        <v>0</v>
      </c>
      <c r="G35" s="687">
        <v>0</v>
      </c>
      <c r="H35" s="275">
        <v>0</v>
      </c>
      <c r="I35" s="689">
        <f t="shared" si="2"/>
        <v>0</v>
      </c>
      <c r="J35" s="690">
        <f t="shared" si="3"/>
        <v>0</v>
      </c>
      <c r="K35" s="275">
        <f t="shared" si="4"/>
        <v>0</v>
      </c>
      <c r="L35" s="286">
        <f t="shared" si="5"/>
        <v>0</v>
      </c>
      <c r="M35" s="691" t="e">
        <f t="shared" si="6"/>
        <v>#DIV/0!</v>
      </c>
    </row>
    <row r="36" spans="1:13" ht="24" x14ac:dyDescent="0.5">
      <c r="A36" s="273">
        <v>29</v>
      </c>
      <c r="B36" s="74" t="s">
        <v>203</v>
      </c>
      <c r="C36" s="75" t="s">
        <v>24</v>
      </c>
      <c r="D36" s="687">
        <v>0</v>
      </c>
      <c r="E36" s="275">
        <f t="shared" si="0"/>
        <v>0</v>
      </c>
      <c r="F36" s="688">
        <f t="shared" si="1"/>
        <v>0</v>
      </c>
      <c r="G36" s="687">
        <v>0</v>
      </c>
      <c r="H36" s="275">
        <v>0</v>
      </c>
      <c r="I36" s="689">
        <f t="shared" si="2"/>
        <v>0</v>
      </c>
      <c r="J36" s="690">
        <f t="shared" si="3"/>
        <v>0</v>
      </c>
      <c r="K36" s="275">
        <f t="shared" si="4"/>
        <v>0</v>
      </c>
      <c r="L36" s="286">
        <f t="shared" si="5"/>
        <v>0</v>
      </c>
      <c r="M36" s="691" t="e">
        <f t="shared" si="6"/>
        <v>#DIV/0!</v>
      </c>
    </row>
    <row r="37" spans="1:13" ht="24" x14ac:dyDescent="0.5">
      <c r="A37" s="273">
        <v>30</v>
      </c>
      <c r="B37" s="74" t="s">
        <v>203</v>
      </c>
      <c r="C37" s="75" t="s">
        <v>25</v>
      </c>
      <c r="D37" s="687">
        <v>0</v>
      </c>
      <c r="E37" s="275">
        <f t="shared" si="0"/>
        <v>0</v>
      </c>
      <c r="F37" s="688">
        <f t="shared" si="1"/>
        <v>0</v>
      </c>
      <c r="G37" s="687">
        <v>0</v>
      </c>
      <c r="H37" s="275">
        <v>0</v>
      </c>
      <c r="I37" s="689">
        <f t="shared" si="2"/>
        <v>0</v>
      </c>
      <c r="J37" s="690">
        <f t="shared" si="3"/>
        <v>0</v>
      </c>
      <c r="K37" s="275">
        <f t="shared" si="4"/>
        <v>0</v>
      </c>
      <c r="L37" s="286">
        <f t="shared" si="5"/>
        <v>0</v>
      </c>
      <c r="M37" s="691" t="e">
        <f t="shared" si="6"/>
        <v>#DIV/0!</v>
      </c>
    </row>
    <row r="38" spans="1:13" ht="24" x14ac:dyDescent="0.5">
      <c r="A38" s="273">
        <v>31</v>
      </c>
      <c r="B38" s="74" t="s">
        <v>203</v>
      </c>
      <c r="C38" s="75" t="s">
        <v>181</v>
      </c>
      <c r="D38" s="687">
        <v>0</v>
      </c>
      <c r="E38" s="275">
        <f t="shared" si="0"/>
        <v>0</v>
      </c>
      <c r="F38" s="688">
        <f t="shared" si="1"/>
        <v>0</v>
      </c>
      <c r="G38" s="687">
        <v>0</v>
      </c>
      <c r="H38" s="275">
        <v>0</v>
      </c>
      <c r="I38" s="689">
        <f t="shared" si="2"/>
        <v>0</v>
      </c>
      <c r="J38" s="690">
        <f t="shared" si="3"/>
        <v>0</v>
      </c>
      <c r="K38" s="275">
        <f t="shared" si="4"/>
        <v>0</v>
      </c>
      <c r="L38" s="286">
        <f t="shared" si="5"/>
        <v>0</v>
      </c>
      <c r="M38" s="691" t="e">
        <f t="shared" si="6"/>
        <v>#DIV/0!</v>
      </c>
    </row>
    <row r="39" spans="1:13" ht="24" x14ac:dyDescent="0.5">
      <c r="A39" s="273">
        <v>32</v>
      </c>
      <c r="B39" s="74" t="s">
        <v>203</v>
      </c>
      <c r="C39" s="75" t="s">
        <v>26</v>
      </c>
      <c r="D39" s="687">
        <v>0</v>
      </c>
      <c r="E39" s="275">
        <f t="shared" si="0"/>
        <v>0</v>
      </c>
      <c r="F39" s="688">
        <f t="shared" si="1"/>
        <v>0</v>
      </c>
      <c r="G39" s="687">
        <v>0</v>
      </c>
      <c r="H39" s="275">
        <v>0</v>
      </c>
      <c r="I39" s="689">
        <f t="shared" si="2"/>
        <v>0</v>
      </c>
      <c r="J39" s="690">
        <f t="shared" si="3"/>
        <v>0</v>
      </c>
      <c r="K39" s="275">
        <f t="shared" si="4"/>
        <v>0</v>
      </c>
      <c r="L39" s="286">
        <f t="shared" si="5"/>
        <v>0</v>
      </c>
      <c r="M39" s="691" t="e">
        <f t="shared" si="6"/>
        <v>#DIV/0!</v>
      </c>
    </row>
    <row r="40" spans="1:13" ht="24" x14ac:dyDescent="0.5">
      <c r="A40" s="273">
        <v>33</v>
      </c>
      <c r="B40" s="74" t="s">
        <v>203</v>
      </c>
      <c r="C40" s="75" t="s">
        <v>27</v>
      </c>
      <c r="D40" s="687">
        <v>0</v>
      </c>
      <c r="E40" s="275">
        <f t="shared" si="0"/>
        <v>0</v>
      </c>
      <c r="F40" s="688">
        <f t="shared" si="1"/>
        <v>0</v>
      </c>
      <c r="G40" s="687">
        <v>0</v>
      </c>
      <c r="H40" s="275">
        <v>0</v>
      </c>
      <c r="I40" s="689">
        <f t="shared" si="2"/>
        <v>0</v>
      </c>
      <c r="J40" s="690">
        <f t="shared" si="3"/>
        <v>0</v>
      </c>
      <c r="K40" s="275">
        <f t="shared" si="4"/>
        <v>0</v>
      </c>
      <c r="L40" s="286">
        <f t="shared" si="5"/>
        <v>0</v>
      </c>
      <c r="M40" s="691" t="e">
        <f t="shared" si="6"/>
        <v>#DIV/0!</v>
      </c>
    </row>
    <row r="41" spans="1:13" ht="24" x14ac:dyDescent="0.5">
      <c r="A41" s="273">
        <v>34</v>
      </c>
      <c r="B41" s="74" t="s">
        <v>203</v>
      </c>
      <c r="C41" s="75" t="s">
        <v>28</v>
      </c>
      <c r="D41" s="687">
        <v>0</v>
      </c>
      <c r="E41" s="275">
        <f t="shared" si="0"/>
        <v>0</v>
      </c>
      <c r="F41" s="688">
        <f t="shared" si="1"/>
        <v>0</v>
      </c>
      <c r="G41" s="687">
        <v>0</v>
      </c>
      <c r="H41" s="275">
        <v>0</v>
      </c>
      <c r="I41" s="689">
        <f t="shared" si="2"/>
        <v>0</v>
      </c>
      <c r="J41" s="690">
        <f t="shared" si="3"/>
        <v>0</v>
      </c>
      <c r="K41" s="275">
        <f t="shared" si="4"/>
        <v>0</v>
      </c>
      <c r="L41" s="286">
        <f t="shared" si="5"/>
        <v>0</v>
      </c>
      <c r="M41" s="691" t="e">
        <f t="shared" si="6"/>
        <v>#DIV/0!</v>
      </c>
    </row>
    <row r="42" spans="1:13" ht="24" x14ac:dyDescent="0.5">
      <c r="A42" s="273">
        <v>35</v>
      </c>
      <c r="B42" s="74" t="s">
        <v>203</v>
      </c>
      <c r="C42" s="75" t="s">
        <v>133</v>
      </c>
      <c r="D42" s="687">
        <v>0</v>
      </c>
      <c r="E42" s="275">
        <f t="shared" si="0"/>
        <v>0</v>
      </c>
      <c r="F42" s="688">
        <f t="shared" si="1"/>
        <v>0</v>
      </c>
      <c r="G42" s="687">
        <v>0</v>
      </c>
      <c r="H42" s="275">
        <v>0</v>
      </c>
      <c r="I42" s="689">
        <f t="shared" si="2"/>
        <v>0</v>
      </c>
      <c r="J42" s="690">
        <f t="shared" si="3"/>
        <v>0</v>
      </c>
      <c r="K42" s="275">
        <f t="shared" si="4"/>
        <v>0</v>
      </c>
      <c r="L42" s="286">
        <f t="shared" si="5"/>
        <v>0</v>
      </c>
      <c r="M42" s="691" t="e">
        <f t="shared" si="6"/>
        <v>#DIV/0!</v>
      </c>
    </row>
    <row r="43" spans="1:13" ht="24" x14ac:dyDescent="0.5">
      <c r="A43" s="273">
        <v>36</v>
      </c>
      <c r="B43" s="74" t="s">
        <v>203</v>
      </c>
      <c r="C43" s="75" t="s">
        <v>29</v>
      </c>
      <c r="D43" s="687">
        <v>0</v>
      </c>
      <c r="E43" s="275">
        <f t="shared" si="0"/>
        <v>0</v>
      </c>
      <c r="F43" s="688">
        <f t="shared" si="1"/>
        <v>0</v>
      </c>
      <c r="G43" s="687">
        <v>0</v>
      </c>
      <c r="H43" s="275">
        <v>0</v>
      </c>
      <c r="I43" s="689">
        <f t="shared" si="2"/>
        <v>0</v>
      </c>
      <c r="J43" s="690">
        <f t="shared" si="3"/>
        <v>0</v>
      </c>
      <c r="K43" s="275">
        <f t="shared" si="4"/>
        <v>0</v>
      </c>
      <c r="L43" s="286">
        <f t="shared" si="5"/>
        <v>0</v>
      </c>
      <c r="M43" s="691" t="e">
        <f t="shared" si="6"/>
        <v>#DIV/0!</v>
      </c>
    </row>
    <row r="44" spans="1:13" ht="24" x14ac:dyDescent="0.5">
      <c r="A44" s="273">
        <v>37</v>
      </c>
      <c r="B44" s="74" t="s">
        <v>203</v>
      </c>
      <c r="C44" s="75" t="s">
        <v>30</v>
      </c>
      <c r="D44" s="687">
        <v>0</v>
      </c>
      <c r="E44" s="275">
        <f t="shared" si="0"/>
        <v>0</v>
      </c>
      <c r="F44" s="688">
        <f t="shared" si="1"/>
        <v>0</v>
      </c>
      <c r="G44" s="687">
        <v>0</v>
      </c>
      <c r="H44" s="275">
        <v>0</v>
      </c>
      <c r="I44" s="689">
        <f t="shared" si="2"/>
        <v>0</v>
      </c>
      <c r="J44" s="690">
        <f t="shared" si="3"/>
        <v>0</v>
      </c>
      <c r="K44" s="275">
        <f t="shared" si="4"/>
        <v>0</v>
      </c>
      <c r="L44" s="286">
        <f t="shared" si="5"/>
        <v>0</v>
      </c>
      <c r="M44" s="691" t="e">
        <f t="shared" si="6"/>
        <v>#DIV/0!</v>
      </c>
    </row>
    <row r="45" spans="1:13" ht="24" x14ac:dyDescent="0.5">
      <c r="A45" s="273">
        <v>38</v>
      </c>
      <c r="B45" s="74" t="s">
        <v>203</v>
      </c>
      <c r="C45" s="75" t="s">
        <v>31</v>
      </c>
      <c r="D45" s="687">
        <v>0</v>
      </c>
      <c r="E45" s="275">
        <f t="shared" si="0"/>
        <v>0</v>
      </c>
      <c r="F45" s="688">
        <f t="shared" si="1"/>
        <v>0</v>
      </c>
      <c r="G45" s="687">
        <v>0</v>
      </c>
      <c r="H45" s="275">
        <v>0</v>
      </c>
      <c r="I45" s="689">
        <f t="shared" si="2"/>
        <v>0</v>
      </c>
      <c r="J45" s="690">
        <f t="shared" si="3"/>
        <v>0</v>
      </c>
      <c r="K45" s="275">
        <f t="shared" si="4"/>
        <v>0</v>
      </c>
      <c r="L45" s="286">
        <f t="shared" si="5"/>
        <v>0</v>
      </c>
      <c r="M45" s="691" t="e">
        <f t="shared" si="6"/>
        <v>#DIV/0!</v>
      </c>
    </row>
    <row r="46" spans="1:13" ht="24" x14ac:dyDescent="0.5">
      <c r="A46" s="273">
        <v>39</v>
      </c>
      <c r="B46" s="74" t="s">
        <v>203</v>
      </c>
      <c r="C46" s="75" t="s">
        <v>134</v>
      </c>
      <c r="D46" s="687">
        <v>0</v>
      </c>
      <c r="E46" s="275">
        <f t="shared" si="0"/>
        <v>0</v>
      </c>
      <c r="F46" s="688">
        <f t="shared" si="1"/>
        <v>0</v>
      </c>
      <c r="G46" s="687">
        <v>0</v>
      </c>
      <c r="H46" s="275">
        <v>0</v>
      </c>
      <c r="I46" s="689">
        <f t="shared" si="2"/>
        <v>0</v>
      </c>
      <c r="J46" s="690">
        <f t="shared" si="3"/>
        <v>0</v>
      </c>
      <c r="K46" s="275">
        <f t="shared" si="4"/>
        <v>0</v>
      </c>
      <c r="L46" s="286">
        <f t="shared" si="5"/>
        <v>0</v>
      </c>
      <c r="M46" s="691" t="e">
        <f t="shared" si="6"/>
        <v>#DIV/0!</v>
      </c>
    </row>
    <row r="47" spans="1:13" ht="24" x14ac:dyDescent="0.5">
      <c r="A47" s="273">
        <v>40</v>
      </c>
      <c r="B47" s="74" t="s">
        <v>203</v>
      </c>
      <c r="C47" s="75" t="s">
        <v>32</v>
      </c>
      <c r="D47" s="687">
        <v>0</v>
      </c>
      <c r="E47" s="275">
        <f t="shared" si="0"/>
        <v>0</v>
      </c>
      <c r="F47" s="688">
        <f t="shared" si="1"/>
        <v>0</v>
      </c>
      <c r="G47" s="687">
        <v>0</v>
      </c>
      <c r="H47" s="275">
        <v>0</v>
      </c>
      <c r="I47" s="689">
        <f t="shared" si="2"/>
        <v>0</v>
      </c>
      <c r="J47" s="690">
        <f t="shared" si="3"/>
        <v>0</v>
      </c>
      <c r="K47" s="275">
        <f t="shared" si="4"/>
        <v>0</v>
      </c>
      <c r="L47" s="286">
        <f t="shared" si="5"/>
        <v>0</v>
      </c>
      <c r="M47" s="691" t="e">
        <f t="shared" si="6"/>
        <v>#DIV/0!</v>
      </c>
    </row>
    <row r="48" spans="1:13" ht="24" x14ac:dyDescent="0.5">
      <c r="A48" s="273">
        <v>41</v>
      </c>
      <c r="B48" s="74" t="s">
        <v>203</v>
      </c>
      <c r="C48" s="75" t="s">
        <v>33</v>
      </c>
      <c r="D48" s="687">
        <v>0</v>
      </c>
      <c r="E48" s="275">
        <f t="shared" si="0"/>
        <v>0</v>
      </c>
      <c r="F48" s="688">
        <f t="shared" si="1"/>
        <v>0</v>
      </c>
      <c r="G48" s="687">
        <v>0</v>
      </c>
      <c r="H48" s="275">
        <v>0</v>
      </c>
      <c r="I48" s="689">
        <f t="shared" si="2"/>
        <v>0</v>
      </c>
      <c r="J48" s="690">
        <f t="shared" si="3"/>
        <v>0</v>
      </c>
      <c r="K48" s="275">
        <f t="shared" si="4"/>
        <v>0</v>
      </c>
      <c r="L48" s="286">
        <f t="shared" si="5"/>
        <v>0</v>
      </c>
      <c r="M48" s="691" t="e">
        <f t="shared" si="6"/>
        <v>#DIV/0!</v>
      </c>
    </row>
    <row r="49" spans="1:13" ht="24" x14ac:dyDescent="0.5">
      <c r="A49" s="273">
        <v>42</v>
      </c>
      <c r="B49" s="74" t="s">
        <v>203</v>
      </c>
      <c r="C49" s="75" t="s">
        <v>34</v>
      </c>
      <c r="D49" s="687">
        <v>0</v>
      </c>
      <c r="E49" s="275">
        <f t="shared" si="0"/>
        <v>0</v>
      </c>
      <c r="F49" s="688">
        <f t="shared" si="1"/>
        <v>0</v>
      </c>
      <c r="G49" s="687">
        <v>0</v>
      </c>
      <c r="H49" s="275">
        <v>0</v>
      </c>
      <c r="I49" s="689">
        <f t="shared" si="2"/>
        <v>0</v>
      </c>
      <c r="J49" s="690">
        <f t="shared" si="3"/>
        <v>0</v>
      </c>
      <c r="K49" s="275">
        <f t="shared" si="4"/>
        <v>0</v>
      </c>
      <c r="L49" s="286">
        <f t="shared" si="5"/>
        <v>0</v>
      </c>
      <c r="M49" s="691" t="e">
        <f t="shared" si="6"/>
        <v>#DIV/0!</v>
      </c>
    </row>
    <row r="50" spans="1:13" ht="24" x14ac:dyDescent="0.5">
      <c r="A50" s="273">
        <v>43</v>
      </c>
      <c r="B50" s="74" t="s">
        <v>203</v>
      </c>
      <c r="C50" s="75" t="s">
        <v>35</v>
      </c>
      <c r="D50" s="687">
        <v>0</v>
      </c>
      <c r="E50" s="275">
        <f t="shared" si="0"/>
        <v>0</v>
      </c>
      <c r="F50" s="688">
        <f t="shared" si="1"/>
        <v>0</v>
      </c>
      <c r="G50" s="687">
        <v>0</v>
      </c>
      <c r="H50" s="275">
        <v>0</v>
      </c>
      <c r="I50" s="689">
        <f t="shared" si="2"/>
        <v>0</v>
      </c>
      <c r="J50" s="690">
        <f t="shared" si="3"/>
        <v>0</v>
      </c>
      <c r="K50" s="275">
        <f t="shared" si="4"/>
        <v>0</v>
      </c>
      <c r="L50" s="286">
        <f t="shared" si="5"/>
        <v>0</v>
      </c>
      <c r="M50" s="691" t="e">
        <f t="shared" si="6"/>
        <v>#DIV/0!</v>
      </c>
    </row>
    <row r="51" spans="1:13" ht="24" x14ac:dyDescent="0.5">
      <c r="A51" s="273">
        <v>44</v>
      </c>
      <c r="B51" s="74" t="s">
        <v>203</v>
      </c>
      <c r="C51" s="75" t="s">
        <v>135</v>
      </c>
      <c r="D51" s="687">
        <v>0</v>
      </c>
      <c r="E51" s="275">
        <f t="shared" si="0"/>
        <v>0</v>
      </c>
      <c r="F51" s="688">
        <f t="shared" si="1"/>
        <v>0</v>
      </c>
      <c r="G51" s="687">
        <v>0</v>
      </c>
      <c r="H51" s="275">
        <v>0</v>
      </c>
      <c r="I51" s="689">
        <f t="shared" si="2"/>
        <v>0</v>
      </c>
      <c r="J51" s="690">
        <f t="shared" si="3"/>
        <v>0</v>
      </c>
      <c r="K51" s="275">
        <f t="shared" si="4"/>
        <v>0</v>
      </c>
      <c r="L51" s="286">
        <f t="shared" si="5"/>
        <v>0</v>
      </c>
      <c r="M51" s="691" t="e">
        <f t="shared" si="6"/>
        <v>#DIV/0!</v>
      </c>
    </row>
    <row r="52" spans="1:13" ht="24" x14ac:dyDescent="0.5">
      <c r="A52" s="273">
        <v>45</v>
      </c>
      <c r="B52" s="74" t="s">
        <v>203</v>
      </c>
      <c r="C52" s="75" t="s">
        <v>36</v>
      </c>
      <c r="D52" s="687">
        <v>0</v>
      </c>
      <c r="E52" s="275">
        <f t="shared" si="0"/>
        <v>0</v>
      </c>
      <c r="F52" s="688">
        <f t="shared" si="1"/>
        <v>0</v>
      </c>
      <c r="G52" s="687">
        <v>0</v>
      </c>
      <c r="H52" s="275">
        <v>0</v>
      </c>
      <c r="I52" s="689">
        <f t="shared" si="2"/>
        <v>0</v>
      </c>
      <c r="J52" s="690">
        <f t="shared" si="3"/>
        <v>0</v>
      </c>
      <c r="K52" s="275">
        <f t="shared" si="4"/>
        <v>0</v>
      </c>
      <c r="L52" s="286">
        <f t="shared" si="5"/>
        <v>0</v>
      </c>
      <c r="M52" s="691" t="e">
        <f t="shared" si="6"/>
        <v>#DIV/0!</v>
      </c>
    </row>
    <row r="53" spans="1:13" ht="24" x14ac:dyDescent="0.5">
      <c r="A53" s="273">
        <v>46</v>
      </c>
      <c r="B53" s="74" t="s">
        <v>203</v>
      </c>
      <c r="C53" s="75" t="s">
        <v>37</v>
      </c>
      <c r="D53" s="687">
        <v>0</v>
      </c>
      <c r="E53" s="275">
        <f t="shared" si="0"/>
        <v>0</v>
      </c>
      <c r="F53" s="688">
        <f t="shared" si="1"/>
        <v>0</v>
      </c>
      <c r="G53" s="687">
        <v>0</v>
      </c>
      <c r="H53" s="275">
        <v>0</v>
      </c>
      <c r="I53" s="689">
        <f t="shared" si="2"/>
        <v>0</v>
      </c>
      <c r="J53" s="690">
        <f t="shared" si="3"/>
        <v>0</v>
      </c>
      <c r="K53" s="275">
        <f t="shared" si="4"/>
        <v>0</v>
      </c>
      <c r="L53" s="286">
        <f t="shared" si="5"/>
        <v>0</v>
      </c>
      <c r="M53" s="691" t="e">
        <f t="shared" si="6"/>
        <v>#DIV/0!</v>
      </c>
    </row>
    <row r="54" spans="1:13" ht="24" x14ac:dyDescent="0.5">
      <c r="A54" s="273">
        <v>47</v>
      </c>
      <c r="B54" s="74" t="s">
        <v>203</v>
      </c>
      <c r="C54" s="75" t="s">
        <v>38</v>
      </c>
      <c r="D54" s="687">
        <v>0</v>
      </c>
      <c r="E54" s="275">
        <f t="shared" si="0"/>
        <v>0</v>
      </c>
      <c r="F54" s="688">
        <f t="shared" si="1"/>
        <v>0</v>
      </c>
      <c r="G54" s="687">
        <v>0</v>
      </c>
      <c r="H54" s="275">
        <v>0</v>
      </c>
      <c r="I54" s="689">
        <f t="shared" si="2"/>
        <v>0</v>
      </c>
      <c r="J54" s="690">
        <f t="shared" si="3"/>
        <v>0</v>
      </c>
      <c r="K54" s="275">
        <f t="shared" si="4"/>
        <v>0</v>
      </c>
      <c r="L54" s="286">
        <f t="shared" si="5"/>
        <v>0</v>
      </c>
      <c r="M54" s="691" t="e">
        <f t="shared" si="6"/>
        <v>#DIV/0!</v>
      </c>
    </row>
    <row r="55" spans="1:13" ht="24" x14ac:dyDescent="0.5">
      <c r="A55" s="273">
        <v>48</v>
      </c>
      <c r="B55" s="74" t="s">
        <v>203</v>
      </c>
      <c r="C55" s="75" t="s">
        <v>136</v>
      </c>
      <c r="D55" s="687">
        <v>0</v>
      </c>
      <c r="E55" s="275">
        <f t="shared" si="0"/>
        <v>0</v>
      </c>
      <c r="F55" s="688">
        <f t="shared" si="1"/>
        <v>0</v>
      </c>
      <c r="G55" s="687">
        <v>0</v>
      </c>
      <c r="H55" s="275">
        <v>0</v>
      </c>
      <c r="I55" s="689">
        <f t="shared" si="2"/>
        <v>0</v>
      </c>
      <c r="J55" s="690">
        <f t="shared" si="3"/>
        <v>0</v>
      </c>
      <c r="K55" s="275">
        <f t="shared" si="4"/>
        <v>0</v>
      </c>
      <c r="L55" s="286">
        <f t="shared" si="5"/>
        <v>0</v>
      </c>
      <c r="M55" s="691" t="e">
        <f t="shared" si="6"/>
        <v>#DIV/0!</v>
      </c>
    </row>
    <row r="56" spans="1:13" ht="24" x14ac:dyDescent="0.5">
      <c r="A56" s="273">
        <v>49</v>
      </c>
      <c r="B56" s="74" t="s">
        <v>203</v>
      </c>
      <c r="C56" s="75" t="s">
        <v>137</v>
      </c>
      <c r="D56" s="687">
        <v>0</v>
      </c>
      <c r="E56" s="275">
        <f t="shared" si="0"/>
        <v>0</v>
      </c>
      <c r="F56" s="688">
        <f t="shared" si="1"/>
        <v>0</v>
      </c>
      <c r="G56" s="687">
        <v>0</v>
      </c>
      <c r="H56" s="275">
        <v>0</v>
      </c>
      <c r="I56" s="689">
        <f t="shared" si="2"/>
        <v>0</v>
      </c>
      <c r="J56" s="690">
        <f t="shared" si="3"/>
        <v>0</v>
      </c>
      <c r="K56" s="275">
        <f t="shared" si="4"/>
        <v>0</v>
      </c>
      <c r="L56" s="286">
        <f t="shared" si="5"/>
        <v>0</v>
      </c>
      <c r="M56" s="691" t="e">
        <f t="shared" si="6"/>
        <v>#DIV/0!</v>
      </c>
    </row>
    <row r="57" spans="1:13" ht="24" x14ac:dyDescent="0.5">
      <c r="A57" s="273">
        <v>50</v>
      </c>
      <c r="B57" s="74" t="s">
        <v>203</v>
      </c>
      <c r="C57" s="75" t="s">
        <v>138</v>
      </c>
      <c r="D57" s="687">
        <v>0</v>
      </c>
      <c r="E57" s="275">
        <f t="shared" si="0"/>
        <v>0</v>
      </c>
      <c r="F57" s="688">
        <f t="shared" si="1"/>
        <v>0</v>
      </c>
      <c r="G57" s="687">
        <v>0</v>
      </c>
      <c r="H57" s="275">
        <v>0</v>
      </c>
      <c r="I57" s="689">
        <f t="shared" si="2"/>
        <v>0</v>
      </c>
      <c r="J57" s="690">
        <f t="shared" si="3"/>
        <v>0</v>
      </c>
      <c r="K57" s="275">
        <f t="shared" si="4"/>
        <v>0</v>
      </c>
      <c r="L57" s="286">
        <f t="shared" si="5"/>
        <v>0</v>
      </c>
      <c r="M57" s="691" t="e">
        <f t="shared" si="6"/>
        <v>#DIV/0!</v>
      </c>
    </row>
    <row r="58" spans="1:13" ht="24" x14ac:dyDescent="0.5">
      <c r="A58" s="273">
        <v>51</v>
      </c>
      <c r="B58" s="74" t="s">
        <v>203</v>
      </c>
      <c r="C58" s="75" t="s">
        <v>139</v>
      </c>
      <c r="D58" s="687">
        <v>0</v>
      </c>
      <c r="E58" s="275">
        <f t="shared" si="0"/>
        <v>0</v>
      </c>
      <c r="F58" s="688">
        <f t="shared" si="1"/>
        <v>0</v>
      </c>
      <c r="G58" s="687">
        <v>0</v>
      </c>
      <c r="H58" s="275">
        <v>0</v>
      </c>
      <c r="I58" s="689">
        <f t="shared" si="2"/>
        <v>0</v>
      </c>
      <c r="J58" s="690">
        <f t="shared" si="3"/>
        <v>0</v>
      </c>
      <c r="K58" s="275">
        <f t="shared" si="4"/>
        <v>0</v>
      </c>
      <c r="L58" s="286">
        <f t="shared" si="5"/>
        <v>0</v>
      </c>
      <c r="M58" s="691" t="e">
        <f t="shared" si="6"/>
        <v>#DIV/0!</v>
      </c>
    </row>
    <row r="59" spans="1:13" ht="24" x14ac:dyDescent="0.5">
      <c r="A59" s="273">
        <v>52</v>
      </c>
      <c r="B59" s="74" t="s">
        <v>203</v>
      </c>
      <c r="C59" s="75" t="s">
        <v>140</v>
      </c>
      <c r="D59" s="687">
        <v>0</v>
      </c>
      <c r="E59" s="275">
        <f t="shared" si="0"/>
        <v>0</v>
      </c>
      <c r="F59" s="688">
        <f t="shared" si="1"/>
        <v>0</v>
      </c>
      <c r="G59" s="687">
        <v>0</v>
      </c>
      <c r="H59" s="275">
        <v>0</v>
      </c>
      <c r="I59" s="689">
        <f t="shared" si="2"/>
        <v>0</v>
      </c>
      <c r="J59" s="690">
        <f t="shared" si="3"/>
        <v>0</v>
      </c>
      <c r="K59" s="275">
        <f t="shared" si="4"/>
        <v>0</v>
      </c>
      <c r="L59" s="286">
        <f t="shared" si="5"/>
        <v>0</v>
      </c>
      <c r="M59" s="691" t="e">
        <f t="shared" si="6"/>
        <v>#DIV/0!</v>
      </c>
    </row>
    <row r="60" spans="1:13" ht="24" x14ac:dyDescent="0.5">
      <c r="A60" s="273">
        <v>53</v>
      </c>
      <c r="B60" s="74" t="s">
        <v>203</v>
      </c>
      <c r="C60" s="75" t="s">
        <v>141</v>
      </c>
      <c r="D60" s="687">
        <v>0</v>
      </c>
      <c r="E60" s="275">
        <f t="shared" si="0"/>
        <v>0</v>
      </c>
      <c r="F60" s="688">
        <f t="shared" si="1"/>
        <v>0</v>
      </c>
      <c r="G60" s="687">
        <v>0</v>
      </c>
      <c r="H60" s="275">
        <v>0</v>
      </c>
      <c r="I60" s="689">
        <f t="shared" si="2"/>
        <v>0</v>
      </c>
      <c r="J60" s="690">
        <f t="shared" si="3"/>
        <v>0</v>
      </c>
      <c r="K60" s="275">
        <f t="shared" si="4"/>
        <v>0</v>
      </c>
      <c r="L60" s="286">
        <f t="shared" si="5"/>
        <v>0</v>
      </c>
      <c r="M60" s="691" t="e">
        <f t="shared" si="6"/>
        <v>#DIV/0!</v>
      </c>
    </row>
    <row r="61" spans="1:13" ht="24" x14ac:dyDescent="0.5">
      <c r="A61" s="273">
        <v>54</v>
      </c>
      <c r="B61" s="74" t="s">
        <v>203</v>
      </c>
      <c r="C61" s="75" t="s">
        <v>142</v>
      </c>
      <c r="D61" s="687">
        <v>0</v>
      </c>
      <c r="E61" s="275">
        <f t="shared" si="0"/>
        <v>0</v>
      </c>
      <c r="F61" s="688">
        <f t="shared" si="1"/>
        <v>0</v>
      </c>
      <c r="G61" s="687">
        <v>0</v>
      </c>
      <c r="H61" s="275">
        <v>0</v>
      </c>
      <c r="I61" s="689">
        <f t="shared" si="2"/>
        <v>0</v>
      </c>
      <c r="J61" s="690">
        <f t="shared" si="3"/>
        <v>0</v>
      </c>
      <c r="K61" s="275">
        <f t="shared" si="4"/>
        <v>0</v>
      </c>
      <c r="L61" s="286">
        <f t="shared" si="5"/>
        <v>0</v>
      </c>
      <c r="M61" s="691" t="e">
        <f t="shared" si="6"/>
        <v>#DIV/0!</v>
      </c>
    </row>
    <row r="62" spans="1:13" ht="24" x14ac:dyDescent="0.5">
      <c r="A62" s="273">
        <v>55</v>
      </c>
      <c r="B62" s="74" t="s">
        <v>203</v>
      </c>
      <c r="C62" s="75" t="s">
        <v>39</v>
      </c>
      <c r="D62" s="687">
        <v>0</v>
      </c>
      <c r="E62" s="275">
        <f t="shared" si="0"/>
        <v>0</v>
      </c>
      <c r="F62" s="688">
        <f t="shared" si="1"/>
        <v>0</v>
      </c>
      <c r="G62" s="687">
        <v>0</v>
      </c>
      <c r="H62" s="275">
        <v>0</v>
      </c>
      <c r="I62" s="689">
        <f t="shared" si="2"/>
        <v>0</v>
      </c>
      <c r="J62" s="690">
        <f t="shared" si="3"/>
        <v>0</v>
      </c>
      <c r="K62" s="275">
        <f t="shared" si="4"/>
        <v>0</v>
      </c>
      <c r="L62" s="286">
        <f t="shared" si="5"/>
        <v>0</v>
      </c>
      <c r="M62" s="691" t="e">
        <f t="shared" si="6"/>
        <v>#DIV/0!</v>
      </c>
    </row>
    <row r="63" spans="1:13" ht="24" x14ac:dyDescent="0.5">
      <c r="A63" s="273">
        <v>56</v>
      </c>
      <c r="B63" s="74" t="s">
        <v>203</v>
      </c>
      <c r="C63" s="75" t="s">
        <v>143</v>
      </c>
      <c r="D63" s="687">
        <v>0</v>
      </c>
      <c r="E63" s="275">
        <f t="shared" si="0"/>
        <v>0</v>
      </c>
      <c r="F63" s="688">
        <f t="shared" si="1"/>
        <v>0</v>
      </c>
      <c r="G63" s="687">
        <v>0</v>
      </c>
      <c r="H63" s="275">
        <v>0</v>
      </c>
      <c r="I63" s="689">
        <f t="shared" si="2"/>
        <v>0</v>
      </c>
      <c r="J63" s="690">
        <f t="shared" si="3"/>
        <v>0</v>
      </c>
      <c r="K63" s="275">
        <f t="shared" si="4"/>
        <v>0</v>
      </c>
      <c r="L63" s="286">
        <f t="shared" si="5"/>
        <v>0</v>
      </c>
      <c r="M63" s="691" t="e">
        <f t="shared" si="6"/>
        <v>#DIV/0!</v>
      </c>
    </row>
    <row r="64" spans="1:13" ht="24" x14ac:dyDescent="0.5">
      <c r="A64" s="273">
        <v>57</v>
      </c>
      <c r="B64" s="74" t="s">
        <v>203</v>
      </c>
      <c r="C64" s="75" t="s">
        <v>144</v>
      </c>
      <c r="D64" s="687">
        <v>0</v>
      </c>
      <c r="E64" s="275">
        <f t="shared" si="0"/>
        <v>0</v>
      </c>
      <c r="F64" s="688">
        <f t="shared" si="1"/>
        <v>0</v>
      </c>
      <c r="G64" s="687">
        <v>0</v>
      </c>
      <c r="H64" s="275">
        <v>0</v>
      </c>
      <c r="I64" s="689">
        <f t="shared" si="2"/>
        <v>0</v>
      </c>
      <c r="J64" s="690">
        <f t="shared" si="3"/>
        <v>0</v>
      </c>
      <c r="K64" s="275">
        <f t="shared" si="4"/>
        <v>0</v>
      </c>
      <c r="L64" s="286">
        <f t="shared" si="5"/>
        <v>0</v>
      </c>
      <c r="M64" s="691" t="e">
        <f t="shared" si="6"/>
        <v>#DIV/0!</v>
      </c>
    </row>
    <row r="65" spans="1:13" ht="24" x14ac:dyDescent="0.5">
      <c r="A65" s="273">
        <v>58</v>
      </c>
      <c r="B65" s="74" t="s">
        <v>203</v>
      </c>
      <c r="C65" s="75" t="s">
        <v>40</v>
      </c>
      <c r="D65" s="687">
        <v>0</v>
      </c>
      <c r="E65" s="275">
        <f t="shared" si="0"/>
        <v>0</v>
      </c>
      <c r="F65" s="688">
        <f t="shared" si="1"/>
        <v>0</v>
      </c>
      <c r="G65" s="687">
        <v>0</v>
      </c>
      <c r="H65" s="275">
        <v>0</v>
      </c>
      <c r="I65" s="689">
        <f t="shared" si="2"/>
        <v>0</v>
      </c>
      <c r="J65" s="690">
        <f t="shared" si="3"/>
        <v>0</v>
      </c>
      <c r="K65" s="275">
        <f t="shared" si="4"/>
        <v>0</v>
      </c>
      <c r="L65" s="286">
        <f t="shared" si="5"/>
        <v>0</v>
      </c>
      <c r="M65" s="691" t="e">
        <f t="shared" si="6"/>
        <v>#DIV/0!</v>
      </c>
    </row>
    <row r="66" spans="1:13" ht="24" x14ac:dyDescent="0.5">
      <c r="A66" s="273">
        <v>59</v>
      </c>
      <c r="B66" s="74" t="s">
        <v>203</v>
      </c>
      <c r="C66" s="75" t="s">
        <v>145</v>
      </c>
      <c r="D66" s="687">
        <v>0</v>
      </c>
      <c r="E66" s="275">
        <f t="shared" si="0"/>
        <v>0</v>
      </c>
      <c r="F66" s="688">
        <f t="shared" si="1"/>
        <v>0</v>
      </c>
      <c r="G66" s="687">
        <v>0</v>
      </c>
      <c r="H66" s="275">
        <v>0</v>
      </c>
      <c r="I66" s="689">
        <f t="shared" si="2"/>
        <v>0</v>
      </c>
      <c r="J66" s="690">
        <f t="shared" si="3"/>
        <v>0</v>
      </c>
      <c r="K66" s="275">
        <f t="shared" si="4"/>
        <v>0</v>
      </c>
      <c r="L66" s="286">
        <f t="shared" si="5"/>
        <v>0</v>
      </c>
      <c r="M66" s="691" t="e">
        <f t="shared" si="6"/>
        <v>#DIV/0!</v>
      </c>
    </row>
    <row r="67" spans="1:13" ht="24" x14ac:dyDescent="0.5">
      <c r="A67" s="273">
        <v>60</v>
      </c>
      <c r="B67" s="74" t="s">
        <v>203</v>
      </c>
      <c r="C67" s="75" t="s">
        <v>146</v>
      </c>
      <c r="D67" s="687">
        <v>0</v>
      </c>
      <c r="E67" s="275">
        <f t="shared" si="0"/>
        <v>0</v>
      </c>
      <c r="F67" s="688">
        <f t="shared" si="1"/>
        <v>0</v>
      </c>
      <c r="G67" s="687">
        <v>0</v>
      </c>
      <c r="H67" s="275">
        <v>0</v>
      </c>
      <c r="I67" s="689">
        <f t="shared" si="2"/>
        <v>0</v>
      </c>
      <c r="J67" s="690">
        <f t="shared" si="3"/>
        <v>0</v>
      </c>
      <c r="K67" s="275">
        <f t="shared" si="4"/>
        <v>0</v>
      </c>
      <c r="L67" s="286">
        <f t="shared" si="5"/>
        <v>0</v>
      </c>
      <c r="M67" s="691" t="e">
        <f t="shared" si="6"/>
        <v>#DIV/0!</v>
      </c>
    </row>
    <row r="68" spans="1:13" ht="24" x14ac:dyDescent="0.5">
      <c r="A68" s="273">
        <v>61</v>
      </c>
      <c r="B68" s="74" t="s">
        <v>203</v>
      </c>
      <c r="C68" s="75" t="s">
        <v>147</v>
      </c>
      <c r="D68" s="687">
        <v>0</v>
      </c>
      <c r="E68" s="275">
        <f t="shared" si="0"/>
        <v>0</v>
      </c>
      <c r="F68" s="688">
        <f t="shared" si="1"/>
        <v>0</v>
      </c>
      <c r="G68" s="687">
        <v>0</v>
      </c>
      <c r="H68" s="275">
        <v>0</v>
      </c>
      <c r="I68" s="689">
        <f t="shared" si="2"/>
        <v>0</v>
      </c>
      <c r="J68" s="690">
        <f t="shared" si="3"/>
        <v>0</v>
      </c>
      <c r="K68" s="275">
        <f t="shared" si="4"/>
        <v>0</v>
      </c>
      <c r="L68" s="286">
        <f t="shared" si="5"/>
        <v>0</v>
      </c>
      <c r="M68" s="691" t="e">
        <f t="shared" si="6"/>
        <v>#DIV/0!</v>
      </c>
    </row>
    <row r="69" spans="1:13" ht="24" x14ac:dyDescent="0.5">
      <c r="A69" s="273">
        <v>62</v>
      </c>
      <c r="B69" s="74" t="s">
        <v>203</v>
      </c>
      <c r="C69" s="75" t="s">
        <v>148</v>
      </c>
      <c r="D69" s="687">
        <v>0</v>
      </c>
      <c r="E69" s="275">
        <f t="shared" si="0"/>
        <v>0</v>
      </c>
      <c r="F69" s="688">
        <f t="shared" si="1"/>
        <v>0</v>
      </c>
      <c r="G69" s="687">
        <v>0</v>
      </c>
      <c r="H69" s="275">
        <v>0</v>
      </c>
      <c r="I69" s="689">
        <f t="shared" si="2"/>
        <v>0</v>
      </c>
      <c r="J69" s="690">
        <f t="shared" si="3"/>
        <v>0</v>
      </c>
      <c r="K69" s="275">
        <f t="shared" si="4"/>
        <v>0</v>
      </c>
      <c r="L69" s="286">
        <f t="shared" si="5"/>
        <v>0</v>
      </c>
      <c r="M69" s="691" t="e">
        <f t="shared" si="6"/>
        <v>#DIV/0!</v>
      </c>
    </row>
    <row r="70" spans="1:13" ht="24" x14ac:dyDescent="0.5">
      <c r="A70" s="273">
        <v>63</v>
      </c>
      <c r="B70" s="74" t="s">
        <v>203</v>
      </c>
      <c r="C70" s="75" t="s">
        <v>149</v>
      </c>
      <c r="D70" s="687">
        <v>0</v>
      </c>
      <c r="E70" s="275">
        <f t="shared" si="0"/>
        <v>0</v>
      </c>
      <c r="F70" s="688">
        <f t="shared" si="1"/>
        <v>0</v>
      </c>
      <c r="G70" s="687">
        <v>0</v>
      </c>
      <c r="H70" s="275">
        <v>0</v>
      </c>
      <c r="I70" s="689">
        <f t="shared" si="2"/>
        <v>0</v>
      </c>
      <c r="J70" s="690">
        <f t="shared" si="3"/>
        <v>0</v>
      </c>
      <c r="K70" s="275">
        <f t="shared" si="4"/>
        <v>0</v>
      </c>
      <c r="L70" s="286">
        <f t="shared" si="5"/>
        <v>0</v>
      </c>
      <c r="M70" s="691" t="e">
        <f t="shared" si="6"/>
        <v>#DIV/0!</v>
      </c>
    </row>
    <row r="71" spans="1:13" ht="24" x14ac:dyDescent="0.5">
      <c r="A71" s="273">
        <v>64</v>
      </c>
      <c r="B71" s="74" t="s">
        <v>203</v>
      </c>
      <c r="C71" s="75" t="s">
        <v>41</v>
      </c>
      <c r="D71" s="687">
        <v>0</v>
      </c>
      <c r="E71" s="275">
        <f t="shared" si="0"/>
        <v>0</v>
      </c>
      <c r="F71" s="688">
        <f t="shared" si="1"/>
        <v>0</v>
      </c>
      <c r="G71" s="687">
        <v>0</v>
      </c>
      <c r="H71" s="275">
        <v>0</v>
      </c>
      <c r="I71" s="689">
        <f t="shared" si="2"/>
        <v>0</v>
      </c>
      <c r="J71" s="690">
        <f t="shared" si="3"/>
        <v>0</v>
      </c>
      <c r="K71" s="275">
        <f t="shared" si="4"/>
        <v>0</v>
      </c>
      <c r="L71" s="286">
        <f t="shared" si="5"/>
        <v>0</v>
      </c>
      <c r="M71" s="691" t="e">
        <f t="shared" si="6"/>
        <v>#DIV/0!</v>
      </c>
    </row>
    <row r="72" spans="1:13" ht="24" x14ac:dyDescent="0.5">
      <c r="A72" s="273">
        <v>65</v>
      </c>
      <c r="B72" s="74" t="s">
        <v>203</v>
      </c>
      <c r="C72" s="75" t="s">
        <v>42</v>
      </c>
      <c r="D72" s="687">
        <v>0</v>
      </c>
      <c r="E72" s="275">
        <f t="shared" si="0"/>
        <v>0</v>
      </c>
      <c r="F72" s="688">
        <f t="shared" si="1"/>
        <v>0</v>
      </c>
      <c r="G72" s="687">
        <v>0</v>
      </c>
      <c r="H72" s="275">
        <v>0</v>
      </c>
      <c r="I72" s="689">
        <f t="shared" si="2"/>
        <v>0</v>
      </c>
      <c r="J72" s="690">
        <f t="shared" si="3"/>
        <v>0</v>
      </c>
      <c r="K72" s="275">
        <f t="shared" si="4"/>
        <v>0</v>
      </c>
      <c r="L72" s="286">
        <f t="shared" si="5"/>
        <v>0</v>
      </c>
      <c r="M72" s="691" t="e">
        <f t="shared" si="6"/>
        <v>#DIV/0!</v>
      </c>
    </row>
    <row r="73" spans="1:13" ht="24" x14ac:dyDescent="0.5">
      <c r="A73" s="273">
        <v>66</v>
      </c>
      <c r="B73" s="74" t="s">
        <v>203</v>
      </c>
      <c r="C73" s="75" t="s">
        <v>43</v>
      </c>
      <c r="D73" s="687">
        <v>0</v>
      </c>
      <c r="E73" s="275">
        <f t="shared" ref="E73:E103" si="7">757248.3-500-756748.3</f>
        <v>0</v>
      </c>
      <c r="F73" s="688">
        <f t="shared" ref="F73:F103" si="8">+D73-E73</f>
        <v>0</v>
      </c>
      <c r="G73" s="687">
        <v>0</v>
      </c>
      <c r="H73" s="275">
        <v>0</v>
      </c>
      <c r="I73" s="689">
        <f t="shared" ref="I73:I103" si="9">+G73-H73</f>
        <v>0</v>
      </c>
      <c r="J73" s="690">
        <f t="shared" ref="J73:J103" si="10">+D73+G73</f>
        <v>0</v>
      </c>
      <c r="K73" s="275">
        <f t="shared" ref="K73:K103" si="11">+E73+H73</f>
        <v>0</v>
      </c>
      <c r="L73" s="286">
        <f t="shared" ref="L73:L103" si="12">+J73-K73</f>
        <v>0</v>
      </c>
      <c r="M73" s="691" t="e">
        <f t="shared" ref="M73:M103" si="13">+K73*100/J73</f>
        <v>#DIV/0!</v>
      </c>
    </row>
    <row r="74" spans="1:13" ht="24" x14ac:dyDescent="0.5">
      <c r="A74" s="273">
        <v>67</v>
      </c>
      <c r="B74" s="74" t="s">
        <v>203</v>
      </c>
      <c r="C74" s="75" t="s">
        <v>44</v>
      </c>
      <c r="D74" s="687">
        <v>0</v>
      </c>
      <c r="E74" s="275">
        <f t="shared" si="7"/>
        <v>0</v>
      </c>
      <c r="F74" s="688">
        <f t="shared" si="8"/>
        <v>0</v>
      </c>
      <c r="G74" s="687">
        <v>0</v>
      </c>
      <c r="H74" s="275">
        <v>0</v>
      </c>
      <c r="I74" s="689">
        <f t="shared" si="9"/>
        <v>0</v>
      </c>
      <c r="J74" s="690">
        <f t="shared" si="10"/>
        <v>0</v>
      </c>
      <c r="K74" s="275">
        <f t="shared" si="11"/>
        <v>0</v>
      </c>
      <c r="L74" s="286">
        <f t="shared" si="12"/>
        <v>0</v>
      </c>
      <c r="M74" s="691" t="e">
        <f t="shared" si="13"/>
        <v>#DIV/0!</v>
      </c>
    </row>
    <row r="75" spans="1:13" ht="24" x14ac:dyDescent="0.5">
      <c r="A75" s="273">
        <v>68</v>
      </c>
      <c r="B75" s="74" t="s">
        <v>203</v>
      </c>
      <c r="C75" s="75" t="s">
        <v>45</v>
      </c>
      <c r="D75" s="687">
        <v>0</v>
      </c>
      <c r="E75" s="275">
        <f t="shared" si="7"/>
        <v>0</v>
      </c>
      <c r="F75" s="688">
        <f t="shared" si="8"/>
        <v>0</v>
      </c>
      <c r="G75" s="687">
        <v>0</v>
      </c>
      <c r="H75" s="275">
        <v>0</v>
      </c>
      <c r="I75" s="689">
        <f t="shared" si="9"/>
        <v>0</v>
      </c>
      <c r="J75" s="690">
        <f t="shared" si="10"/>
        <v>0</v>
      </c>
      <c r="K75" s="275">
        <f t="shared" si="11"/>
        <v>0</v>
      </c>
      <c r="L75" s="286">
        <f t="shared" si="12"/>
        <v>0</v>
      </c>
      <c r="M75" s="691" t="e">
        <f t="shared" si="13"/>
        <v>#DIV/0!</v>
      </c>
    </row>
    <row r="76" spans="1:13" ht="24" x14ac:dyDescent="0.5">
      <c r="A76" s="273">
        <v>69</v>
      </c>
      <c r="B76" s="74" t="s">
        <v>203</v>
      </c>
      <c r="C76" s="75" t="s">
        <v>63</v>
      </c>
      <c r="D76" s="687">
        <v>0</v>
      </c>
      <c r="E76" s="275">
        <f t="shared" si="7"/>
        <v>0</v>
      </c>
      <c r="F76" s="688">
        <f t="shared" si="8"/>
        <v>0</v>
      </c>
      <c r="G76" s="687">
        <v>0</v>
      </c>
      <c r="H76" s="275">
        <v>0</v>
      </c>
      <c r="I76" s="689">
        <f t="shared" si="9"/>
        <v>0</v>
      </c>
      <c r="J76" s="690">
        <f t="shared" si="10"/>
        <v>0</v>
      </c>
      <c r="K76" s="275">
        <f t="shared" si="11"/>
        <v>0</v>
      </c>
      <c r="L76" s="286">
        <f t="shared" si="12"/>
        <v>0</v>
      </c>
      <c r="M76" s="691" t="e">
        <f t="shared" si="13"/>
        <v>#DIV/0!</v>
      </c>
    </row>
    <row r="77" spans="1:13" ht="24" x14ac:dyDescent="0.5">
      <c r="A77" s="273">
        <v>70</v>
      </c>
      <c r="B77" s="74" t="s">
        <v>203</v>
      </c>
      <c r="C77" s="75" t="s">
        <v>150</v>
      </c>
      <c r="D77" s="687">
        <v>0</v>
      </c>
      <c r="E77" s="275">
        <f t="shared" si="7"/>
        <v>0</v>
      </c>
      <c r="F77" s="688">
        <f t="shared" si="8"/>
        <v>0</v>
      </c>
      <c r="G77" s="687">
        <v>0</v>
      </c>
      <c r="H77" s="275">
        <v>0</v>
      </c>
      <c r="I77" s="689">
        <f t="shared" si="9"/>
        <v>0</v>
      </c>
      <c r="J77" s="690">
        <f t="shared" si="10"/>
        <v>0</v>
      </c>
      <c r="K77" s="275">
        <f t="shared" si="11"/>
        <v>0</v>
      </c>
      <c r="L77" s="286">
        <f t="shared" si="12"/>
        <v>0</v>
      </c>
      <c r="M77" s="691" t="e">
        <f t="shared" si="13"/>
        <v>#DIV/0!</v>
      </c>
    </row>
    <row r="78" spans="1:13" ht="24" x14ac:dyDescent="0.5">
      <c r="A78" s="273">
        <v>71</v>
      </c>
      <c r="B78" s="74" t="s">
        <v>203</v>
      </c>
      <c r="C78" s="75" t="s">
        <v>46</v>
      </c>
      <c r="D78" s="687">
        <v>0</v>
      </c>
      <c r="E78" s="275">
        <f t="shared" si="7"/>
        <v>0</v>
      </c>
      <c r="F78" s="688">
        <f t="shared" si="8"/>
        <v>0</v>
      </c>
      <c r="G78" s="687">
        <v>0</v>
      </c>
      <c r="H78" s="275">
        <v>0</v>
      </c>
      <c r="I78" s="689">
        <f t="shared" si="9"/>
        <v>0</v>
      </c>
      <c r="J78" s="690">
        <f t="shared" si="10"/>
        <v>0</v>
      </c>
      <c r="K78" s="275">
        <f t="shared" si="11"/>
        <v>0</v>
      </c>
      <c r="L78" s="286">
        <f t="shared" si="12"/>
        <v>0</v>
      </c>
      <c r="M78" s="691" t="e">
        <f t="shared" si="13"/>
        <v>#DIV/0!</v>
      </c>
    </row>
    <row r="79" spans="1:13" ht="24" x14ac:dyDescent="0.5">
      <c r="A79" s="273">
        <v>72</v>
      </c>
      <c r="B79" s="74" t="s">
        <v>203</v>
      </c>
      <c r="C79" s="75" t="s">
        <v>151</v>
      </c>
      <c r="D79" s="687">
        <v>0</v>
      </c>
      <c r="E79" s="275">
        <f t="shared" si="7"/>
        <v>0</v>
      </c>
      <c r="F79" s="688">
        <f t="shared" si="8"/>
        <v>0</v>
      </c>
      <c r="G79" s="687">
        <v>0</v>
      </c>
      <c r="H79" s="275">
        <v>0</v>
      </c>
      <c r="I79" s="689">
        <f t="shared" si="9"/>
        <v>0</v>
      </c>
      <c r="J79" s="690">
        <f t="shared" si="10"/>
        <v>0</v>
      </c>
      <c r="K79" s="275">
        <f t="shared" si="11"/>
        <v>0</v>
      </c>
      <c r="L79" s="286">
        <f t="shared" si="12"/>
        <v>0</v>
      </c>
      <c r="M79" s="691" t="e">
        <f t="shared" si="13"/>
        <v>#DIV/0!</v>
      </c>
    </row>
    <row r="80" spans="1:13" ht="24" x14ac:dyDescent="0.5">
      <c r="A80" s="273">
        <v>73</v>
      </c>
      <c r="B80" s="74" t="s">
        <v>203</v>
      </c>
      <c r="C80" s="75" t="s">
        <v>152</v>
      </c>
      <c r="D80" s="687">
        <v>0</v>
      </c>
      <c r="E80" s="275">
        <f t="shared" si="7"/>
        <v>0</v>
      </c>
      <c r="F80" s="688">
        <f t="shared" si="8"/>
        <v>0</v>
      </c>
      <c r="G80" s="687">
        <v>0</v>
      </c>
      <c r="H80" s="275">
        <v>0</v>
      </c>
      <c r="I80" s="689">
        <f t="shared" si="9"/>
        <v>0</v>
      </c>
      <c r="J80" s="690">
        <f t="shared" si="10"/>
        <v>0</v>
      </c>
      <c r="K80" s="275">
        <f t="shared" si="11"/>
        <v>0</v>
      </c>
      <c r="L80" s="286">
        <f t="shared" si="12"/>
        <v>0</v>
      </c>
      <c r="M80" s="691" t="e">
        <f t="shared" si="13"/>
        <v>#DIV/0!</v>
      </c>
    </row>
    <row r="81" spans="1:13" ht="24" x14ac:dyDescent="0.5">
      <c r="A81" s="273">
        <v>74</v>
      </c>
      <c r="B81" s="74" t="s">
        <v>203</v>
      </c>
      <c r="C81" s="75" t="s">
        <v>47</v>
      </c>
      <c r="D81" s="687">
        <v>0</v>
      </c>
      <c r="E81" s="275">
        <f t="shared" si="7"/>
        <v>0</v>
      </c>
      <c r="F81" s="688">
        <f t="shared" si="8"/>
        <v>0</v>
      </c>
      <c r="G81" s="687">
        <v>0</v>
      </c>
      <c r="H81" s="275">
        <v>0</v>
      </c>
      <c r="I81" s="689">
        <f t="shared" si="9"/>
        <v>0</v>
      </c>
      <c r="J81" s="690">
        <f t="shared" si="10"/>
        <v>0</v>
      </c>
      <c r="K81" s="275">
        <f t="shared" si="11"/>
        <v>0</v>
      </c>
      <c r="L81" s="286">
        <f t="shared" si="12"/>
        <v>0</v>
      </c>
      <c r="M81" s="691" t="e">
        <f t="shared" si="13"/>
        <v>#DIV/0!</v>
      </c>
    </row>
    <row r="82" spans="1:13" ht="24" x14ac:dyDescent="0.5">
      <c r="A82" s="273">
        <v>75</v>
      </c>
      <c r="B82" s="74" t="s">
        <v>203</v>
      </c>
      <c r="C82" s="75" t="s">
        <v>153</v>
      </c>
      <c r="D82" s="687">
        <v>0</v>
      </c>
      <c r="E82" s="275">
        <f t="shared" si="7"/>
        <v>0</v>
      </c>
      <c r="F82" s="688">
        <f t="shared" si="8"/>
        <v>0</v>
      </c>
      <c r="G82" s="687">
        <v>0</v>
      </c>
      <c r="H82" s="275">
        <v>0</v>
      </c>
      <c r="I82" s="689">
        <f t="shared" si="9"/>
        <v>0</v>
      </c>
      <c r="J82" s="690">
        <f t="shared" si="10"/>
        <v>0</v>
      </c>
      <c r="K82" s="275">
        <f t="shared" si="11"/>
        <v>0</v>
      </c>
      <c r="L82" s="286">
        <f t="shared" si="12"/>
        <v>0</v>
      </c>
      <c r="M82" s="691" t="e">
        <f t="shared" si="13"/>
        <v>#DIV/0!</v>
      </c>
    </row>
    <row r="83" spans="1:13" ht="24" x14ac:dyDescent="0.5">
      <c r="A83" s="273">
        <v>76</v>
      </c>
      <c r="B83" s="74" t="s">
        <v>203</v>
      </c>
      <c r="C83" s="75" t="s">
        <v>48</v>
      </c>
      <c r="D83" s="687">
        <v>0</v>
      </c>
      <c r="E83" s="275">
        <f t="shared" si="7"/>
        <v>0</v>
      </c>
      <c r="F83" s="688">
        <f t="shared" si="8"/>
        <v>0</v>
      </c>
      <c r="G83" s="687">
        <v>0</v>
      </c>
      <c r="H83" s="275">
        <v>0</v>
      </c>
      <c r="I83" s="689">
        <f t="shared" si="9"/>
        <v>0</v>
      </c>
      <c r="J83" s="690">
        <f t="shared" si="10"/>
        <v>0</v>
      </c>
      <c r="K83" s="275">
        <f t="shared" si="11"/>
        <v>0</v>
      </c>
      <c r="L83" s="286">
        <f t="shared" si="12"/>
        <v>0</v>
      </c>
      <c r="M83" s="691" t="e">
        <f t="shared" si="13"/>
        <v>#DIV/0!</v>
      </c>
    </row>
    <row r="84" spans="1:13" ht="24" x14ac:dyDescent="0.5">
      <c r="A84" s="273">
        <v>77</v>
      </c>
      <c r="B84" s="74" t="s">
        <v>203</v>
      </c>
      <c r="C84" s="75" t="s">
        <v>204</v>
      </c>
      <c r="D84" s="687">
        <v>0</v>
      </c>
      <c r="E84" s="275">
        <f t="shared" si="7"/>
        <v>0</v>
      </c>
      <c r="F84" s="688">
        <f t="shared" si="8"/>
        <v>0</v>
      </c>
      <c r="G84" s="687">
        <v>0</v>
      </c>
      <c r="H84" s="275">
        <v>0</v>
      </c>
      <c r="I84" s="689">
        <f t="shared" si="9"/>
        <v>0</v>
      </c>
      <c r="J84" s="690">
        <f t="shared" si="10"/>
        <v>0</v>
      </c>
      <c r="K84" s="275">
        <f t="shared" si="11"/>
        <v>0</v>
      </c>
      <c r="L84" s="286">
        <f t="shared" si="12"/>
        <v>0</v>
      </c>
      <c r="M84" s="691" t="e">
        <f t="shared" si="13"/>
        <v>#DIV/0!</v>
      </c>
    </row>
    <row r="85" spans="1:13" ht="24" x14ac:dyDescent="0.5">
      <c r="A85" s="273">
        <v>78</v>
      </c>
      <c r="B85" s="74" t="s">
        <v>203</v>
      </c>
      <c r="C85" s="75" t="s">
        <v>49</v>
      </c>
      <c r="D85" s="687">
        <v>0</v>
      </c>
      <c r="E85" s="275">
        <f t="shared" si="7"/>
        <v>0</v>
      </c>
      <c r="F85" s="688">
        <f t="shared" si="8"/>
        <v>0</v>
      </c>
      <c r="G85" s="687">
        <v>0</v>
      </c>
      <c r="H85" s="275">
        <v>0</v>
      </c>
      <c r="I85" s="689">
        <f t="shared" si="9"/>
        <v>0</v>
      </c>
      <c r="J85" s="690">
        <f t="shared" si="10"/>
        <v>0</v>
      </c>
      <c r="K85" s="275">
        <f t="shared" si="11"/>
        <v>0</v>
      </c>
      <c r="L85" s="286">
        <f t="shared" si="12"/>
        <v>0</v>
      </c>
      <c r="M85" s="691" t="e">
        <f t="shared" si="13"/>
        <v>#DIV/0!</v>
      </c>
    </row>
    <row r="86" spans="1:13" ht="24" x14ac:dyDescent="0.5">
      <c r="A86" s="273">
        <v>79</v>
      </c>
      <c r="B86" s="74" t="s">
        <v>203</v>
      </c>
      <c r="C86" s="75" t="s">
        <v>50</v>
      </c>
      <c r="D86" s="687">
        <v>0</v>
      </c>
      <c r="E86" s="275">
        <f t="shared" si="7"/>
        <v>0</v>
      </c>
      <c r="F86" s="688">
        <f t="shared" si="8"/>
        <v>0</v>
      </c>
      <c r="G86" s="687">
        <v>0</v>
      </c>
      <c r="H86" s="275">
        <v>0</v>
      </c>
      <c r="I86" s="689">
        <f t="shared" si="9"/>
        <v>0</v>
      </c>
      <c r="J86" s="690">
        <f t="shared" si="10"/>
        <v>0</v>
      </c>
      <c r="K86" s="275">
        <f t="shared" si="11"/>
        <v>0</v>
      </c>
      <c r="L86" s="286">
        <f t="shared" si="12"/>
        <v>0</v>
      </c>
      <c r="M86" s="691" t="e">
        <f t="shared" si="13"/>
        <v>#DIV/0!</v>
      </c>
    </row>
    <row r="87" spans="1:13" ht="24" x14ac:dyDescent="0.5">
      <c r="A87" s="273">
        <v>80</v>
      </c>
      <c r="B87" s="74" t="s">
        <v>203</v>
      </c>
      <c r="C87" s="75" t="s">
        <v>155</v>
      </c>
      <c r="D87" s="687">
        <v>0</v>
      </c>
      <c r="E87" s="275">
        <f t="shared" si="7"/>
        <v>0</v>
      </c>
      <c r="F87" s="688">
        <f t="shared" si="8"/>
        <v>0</v>
      </c>
      <c r="G87" s="687">
        <v>0</v>
      </c>
      <c r="H87" s="275">
        <v>0</v>
      </c>
      <c r="I87" s="689">
        <f t="shared" si="9"/>
        <v>0</v>
      </c>
      <c r="J87" s="690">
        <f t="shared" si="10"/>
        <v>0</v>
      </c>
      <c r="K87" s="275">
        <f t="shared" si="11"/>
        <v>0</v>
      </c>
      <c r="L87" s="286">
        <f t="shared" si="12"/>
        <v>0</v>
      </c>
      <c r="M87" s="691" t="e">
        <f t="shared" si="13"/>
        <v>#DIV/0!</v>
      </c>
    </row>
    <row r="88" spans="1:13" ht="24" x14ac:dyDescent="0.5">
      <c r="A88" s="273">
        <v>81</v>
      </c>
      <c r="B88" s="74" t="s">
        <v>203</v>
      </c>
      <c r="C88" s="75" t="s">
        <v>51</v>
      </c>
      <c r="D88" s="687">
        <v>0</v>
      </c>
      <c r="E88" s="275">
        <f t="shared" si="7"/>
        <v>0</v>
      </c>
      <c r="F88" s="688">
        <f t="shared" si="8"/>
        <v>0</v>
      </c>
      <c r="G88" s="687">
        <v>0</v>
      </c>
      <c r="H88" s="275">
        <v>0</v>
      </c>
      <c r="I88" s="689">
        <f t="shared" si="9"/>
        <v>0</v>
      </c>
      <c r="J88" s="690">
        <f t="shared" si="10"/>
        <v>0</v>
      </c>
      <c r="K88" s="275">
        <f t="shared" si="11"/>
        <v>0</v>
      </c>
      <c r="L88" s="286">
        <f t="shared" si="12"/>
        <v>0</v>
      </c>
      <c r="M88" s="691" t="e">
        <f t="shared" si="13"/>
        <v>#DIV/0!</v>
      </c>
    </row>
    <row r="89" spans="1:13" ht="24" x14ac:dyDescent="0.5">
      <c r="A89" s="273">
        <v>82</v>
      </c>
      <c r="B89" s="74" t="s">
        <v>203</v>
      </c>
      <c r="C89" s="75" t="s">
        <v>156</v>
      </c>
      <c r="D89" s="687">
        <v>0</v>
      </c>
      <c r="E89" s="275">
        <f t="shared" si="7"/>
        <v>0</v>
      </c>
      <c r="F89" s="688">
        <f t="shared" si="8"/>
        <v>0</v>
      </c>
      <c r="G89" s="687">
        <v>0</v>
      </c>
      <c r="H89" s="275">
        <v>0</v>
      </c>
      <c r="I89" s="689">
        <f t="shared" si="9"/>
        <v>0</v>
      </c>
      <c r="J89" s="690">
        <f t="shared" si="10"/>
        <v>0</v>
      </c>
      <c r="K89" s="275">
        <f t="shared" si="11"/>
        <v>0</v>
      </c>
      <c r="L89" s="286">
        <f t="shared" si="12"/>
        <v>0</v>
      </c>
      <c r="M89" s="691" t="e">
        <f t="shared" si="13"/>
        <v>#DIV/0!</v>
      </c>
    </row>
    <row r="90" spans="1:13" ht="24" x14ac:dyDescent="0.5">
      <c r="A90" s="273">
        <v>83</v>
      </c>
      <c r="B90" s="74" t="s">
        <v>203</v>
      </c>
      <c r="C90" s="75" t="s">
        <v>157</v>
      </c>
      <c r="D90" s="687">
        <v>0</v>
      </c>
      <c r="E90" s="275">
        <f t="shared" si="7"/>
        <v>0</v>
      </c>
      <c r="F90" s="688">
        <f t="shared" si="8"/>
        <v>0</v>
      </c>
      <c r="G90" s="687">
        <v>0</v>
      </c>
      <c r="H90" s="275">
        <v>0</v>
      </c>
      <c r="I90" s="689">
        <f t="shared" si="9"/>
        <v>0</v>
      </c>
      <c r="J90" s="690">
        <f t="shared" si="10"/>
        <v>0</v>
      </c>
      <c r="K90" s="275">
        <f t="shared" si="11"/>
        <v>0</v>
      </c>
      <c r="L90" s="286">
        <f t="shared" si="12"/>
        <v>0</v>
      </c>
      <c r="M90" s="691" t="e">
        <f t="shared" si="13"/>
        <v>#DIV/0!</v>
      </c>
    </row>
    <row r="91" spans="1:13" ht="24" x14ac:dyDescent="0.5">
      <c r="A91" s="273">
        <v>84</v>
      </c>
      <c r="B91" s="74" t="s">
        <v>203</v>
      </c>
      <c r="C91" s="75" t="s">
        <v>158</v>
      </c>
      <c r="D91" s="687">
        <v>0</v>
      </c>
      <c r="E91" s="275">
        <f t="shared" si="7"/>
        <v>0</v>
      </c>
      <c r="F91" s="688">
        <f t="shared" si="8"/>
        <v>0</v>
      </c>
      <c r="G91" s="687">
        <v>0</v>
      </c>
      <c r="H91" s="275">
        <v>0</v>
      </c>
      <c r="I91" s="689">
        <f t="shared" si="9"/>
        <v>0</v>
      </c>
      <c r="J91" s="690">
        <f t="shared" si="10"/>
        <v>0</v>
      </c>
      <c r="K91" s="275">
        <f t="shared" si="11"/>
        <v>0</v>
      </c>
      <c r="L91" s="286">
        <f t="shared" si="12"/>
        <v>0</v>
      </c>
      <c r="M91" s="691" t="e">
        <f t="shared" si="13"/>
        <v>#DIV/0!</v>
      </c>
    </row>
    <row r="92" spans="1:13" ht="24" x14ac:dyDescent="0.5">
      <c r="A92" s="273">
        <v>85</v>
      </c>
      <c r="B92" s="74" t="s">
        <v>203</v>
      </c>
      <c r="C92" s="75" t="s">
        <v>52</v>
      </c>
      <c r="D92" s="687">
        <v>0</v>
      </c>
      <c r="E92" s="275">
        <f t="shared" si="7"/>
        <v>0</v>
      </c>
      <c r="F92" s="688">
        <f t="shared" si="8"/>
        <v>0</v>
      </c>
      <c r="G92" s="687">
        <v>0</v>
      </c>
      <c r="H92" s="275">
        <v>0</v>
      </c>
      <c r="I92" s="689">
        <f t="shared" si="9"/>
        <v>0</v>
      </c>
      <c r="J92" s="690">
        <f t="shared" si="10"/>
        <v>0</v>
      </c>
      <c r="K92" s="275">
        <f t="shared" si="11"/>
        <v>0</v>
      </c>
      <c r="L92" s="286">
        <f t="shared" si="12"/>
        <v>0</v>
      </c>
      <c r="M92" s="691" t="e">
        <f t="shared" si="13"/>
        <v>#DIV/0!</v>
      </c>
    </row>
    <row r="93" spans="1:13" ht="24" x14ac:dyDescent="0.5">
      <c r="A93" s="273">
        <v>86</v>
      </c>
      <c r="B93" s="74" t="s">
        <v>203</v>
      </c>
      <c r="C93" s="75" t="s">
        <v>53</v>
      </c>
      <c r="D93" s="687">
        <v>0</v>
      </c>
      <c r="E93" s="275">
        <f t="shared" si="7"/>
        <v>0</v>
      </c>
      <c r="F93" s="688">
        <f t="shared" si="8"/>
        <v>0</v>
      </c>
      <c r="G93" s="687">
        <v>0</v>
      </c>
      <c r="H93" s="275">
        <v>0</v>
      </c>
      <c r="I93" s="689">
        <f t="shared" si="9"/>
        <v>0</v>
      </c>
      <c r="J93" s="690">
        <f t="shared" si="10"/>
        <v>0</v>
      </c>
      <c r="K93" s="275">
        <f t="shared" si="11"/>
        <v>0</v>
      </c>
      <c r="L93" s="286">
        <f t="shared" si="12"/>
        <v>0</v>
      </c>
      <c r="M93" s="691" t="e">
        <f t="shared" si="13"/>
        <v>#DIV/0!</v>
      </c>
    </row>
    <row r="94" spans="1:13" ht="24" x14ac:dyDescent="0.5">
      <c r="A94" s="273">
        <v>87</v>
      </c>
      <c r="B94" s="74" t="s">
        <v>203</v>
      </c>
      <c r="C94" s="75" t="s">
        <v>159</v>
      </c>
      <c r="D94" s="687">
        <v>0</v>
      </c>
      <c r="E94" s="275">
        <f t="shared" si="7"/>
        <v>0</v>
      </c>
      <c r="F94" s="688">
        <f t="shared" si="8"/>
        <v>0</v>
      </c>
      <c r="G94" s="687">
        <v>0</v>
      </c>
      <c r="H94" s="275">
        <v>0</v>
      </c>
      <c r="I94" s="689">
        <f t="shared" si="9"/>
        <v>0</v>
      </c>
      <c r="J94" s="690">
        <f t="shared" si="10"/>
        <v>0</v>
      </c>
      <c r="K94" s="275">
        <f t="shared" si="11"/>
        <v>0</v>
      </c>
      <c r="L94" s="286">
        <f t="shared" si="12"/>
        <v>0</v>
      </c>
      <c r="M94" s="691" t="e">
        <f t="shared" si="13"/>
        <v>#DIV/0!</v>
      </c>
    </row>
    <row r="95" spans="1:13" ht="24" x14ac:dyDescent="0.5">
      <c r="A95" s="273">
        <v>88</v>
      </c>
      <c r="B95" s="74" t="s">
        <v>203</v>
      </c>
      <c r="C95" s="75" t="s">
        <v>160</v>
      </c>
      <c r="D95" s="687">
        <v>0</v>
      </c>
      <c r="E95" s="275">
        <f t="shared" si="7"/>
        <v>0</v>
      </c>
      <c r="F95" s="688">
        <f t="shared" si="8"/>
        <v>0</v>
      </c>
      <c r="G95" s="687">
        <v>0</v>
      </c>
      <c r="H95" s="275">
        <v>0</v>
      </c>
      <c r="I95" s="689">
        <f t="shared" si="9"/>
        <v>0</v>
      </c>
      <c r="J95" s="690">
        <f t="shared" si="10"/>
        <v>0</v>
      </c>
      <c r="K95" s="275">
        <f t="shared" si="11"/>
        <v>0</v>
      </c>
      <c r="L95" s="286">
        <f t="shared" si="12"/>
        <v>0</v>
      </c>
      <c r="M95" s="691" t="e">
        <f t="shared" si="13"/>
        <v>#DIV/0!</v>
      </c>
    </row>
    <row r="96" spans="1:13" ht="24" x14ac:dyDescent="0.5">
      <c r="A96" s="273">
        <v>89</v>
      </c>
      <c r="B96" s="74" t="s">
        <v>203</v>
      </c>
      <c r="C96" s="75" t="s">
        <v>161</v>
      </c>
      <c r="D96" s="687">
        <v>0</v>
      </c>
      <c r="E96" s="275">
        <f t="shared" si="7"/>
        <v>0</v>
      </c>
      <c r="F96" s="688">
        <f t="shared" si="8"/>
        <v>0</v>
      </c>
      <c r="G96" s="687">
        <v>0</v>
      </c>
      <c r="H96" s="275">
        <v>0</v>
      </c>
      <c r="I96" s="689">
        <f t="shared" si="9"/>
        <v>0</v>
      </c>
      <c r="J96" s="690">
        <f t="shared" si="10"/>
        <v>0</v>
      </c>
      <c r="K96" s="275">
        <f t="shared" si="11"/>
        <v>0</v>
      </c>
      <c r="L96" s="286">
        <f t="shared" si="12"/>
        <v>0</v>
      </c>
      <c r="M96" s="691" t="e">
        <f t="shared" si="13"/>
        <v>#DIV/0!</v>
      </c>
    </row>
    <row r="97" spans="1:13" ht="24" x14ac:dyDescent="0.5">
      <c r="A97" s="273">
        <v>90</v>
      </c>
      <c r="B97" s="74" t="s">
        <v>203</v>
      </c>
      <c r="C97" s="75" t="s">
        <v>54</v>
      </c>
      <c r="D97" s="687">
        <v>0</v>
      </c>
      <c r="E97" s="275">
        <f t="shared" si="7"/>
        <v>0</v>
      </c>
      <c r="F97" s="688">
        <f t="shared" si="8"/>
        <v>0</v>
      </c>
      <c r="G97" s="687">
        <v>0</v>
      </c>
      <c r="H97" s="275">
        <v>0</v>
      </c>
      <c r="I97" s="689">
        <f t="shared" si="9"/>
        <v>0</v>
      </c>
      <c r="J97" s="690">
        <f t="shared" si="10"/>
        <v>0</v>
      </c>
      <c r="K97" s="275">
        <f t="shared" si="11"/>
        <v>0</v>
      </c>
      <c r="L97" s="286">
        <f t="shared" si="12"/>
        <v>0</v>
      </c>
      <c r="M97" s="691" t="e">
        <f t="shared" si="13"/>
        <v>#DIV/0!</v>
      </c>
    </row>
    <row r="98" spans="1:13" ht="24" x14ac:dyDescent="0.5">
      <c r="A98" s="273">
        <v>91</v>
      </c>
      <c r="B98" s="74" t="s">
        <v>203</v>
      </c>
      <c r="C98" s="75" t="s">
        <v>55</v>
      </c>
      <c r="D98" s="687">
        <v>0</v>
      </c>
      <c r="E98" s="275">
        <f t="shared" si="7"/>
        <v>0</v>
      </c>
      <c r="F98" s="688">
        <f t="shared" si="8"/>
        <v>0</v>
      </c>
      <c r="G98" s="687">
        <v>0</v>
      </c>
      <c r="H98" s="275">
        <v>0</v>
      </c>
      <c r="I98" s="689">
        <f t="shared" si="9"/>
        <v>0</v>
      </c>
      <c r="J98" s="690">
        <f t="shared" si="10"/>
        <v>0</v>
      </c>
      <c r="K98" s="275">
        <f t="shared" si="11"/>
        <v>0</v>
      </c>
      <c r="L98" s="286">
        <f t="shared" si="12"/>
        <v>0</v>
      </c>
      <c r="M98" s="691" t="e">
        <f t="shared" si="13"/>
        <v>#DIV/0!</v>
      </c>
    </row>
    <row r="99" spans="1:13" ht="24" x14ac:dyDescent="0.5">
      <c r="A99" s="273">
        <v>92</v>
      </c>
      <c r="B99" s="74" t="s">
        <v>194</v>
      </c>
      <c r="C99" s="75" t="s">
        <v>20</v>
      </c>
      <c r="D99" s="687">
        <v>0</v>
      </c>
      <c r="E99" s="275">
        <f t="shared" si="7"/>
        <v>0</v>
      </c>
      <c r="F99" s="688">
        <f t="shared" si="8"/>
        <v>0</v>
      </c>
      <c r="G99" s="687">
        <v>0</v>
      </c>
      <c r="H99" s="275">
        <v>0</v>
      </c>
      <c r="I99" s="689">
        <f t="shared" si="9"/>
        <v>0</v>
      </c>
      <c r="J99" s="690">
        <f t="shared" si="10"/>
        <v>0</v>
      </c>
      <c r="K99" s="275">
        <f t="shared" si="11"/>
        <v>0</v>
      </c>
      <c r="L99" s="286">
        <f t="shared" si="12"/>
        <v>0</v>
      </c>
      <c r="M99" s="691" t="e">
        <f t="shared" si="13"/>
        <v>#DIV/0!</v>
      </c>
    </row>
    <row r="100" spans="1:13" ht="24" x14ac:dyDescent="0.5">
      <c r="A100" s="273">
        <v>93</v>
      </c>
      <c r="B100" s="74" t="s">
        <v>194</v>
      </c>
      <c r="C100" s="75" t="s">
        <v>162</v>
      </c>
      <c r="D100" s="687">
        <v>0</v>
      </c>
      <c r="E100" s="275">
        <f t="shared" si="7"/>
        <v>0</v>
      </c>
      <c r="F100" s="688">
        <f t="shared" si="8"/>
        <v>0</v>
      </c>
      <c r="G100" s="687">
        <v>0</v>
      </c>
      <c r="H100" s="275">
        <v>0</v>
      </c>
      <c r="I100" s="689">
        <f t="shared" si="9"/>
        <v>0</v>
      </c>
      <c r="J100" s="690">
        <f t="shared" si="10"/>
        <v>0</v>
      </c>
      <c r="K100" s="275">
        <f t="shared" si="11"/>
        <v>0</v>
      </c>
      <c r="L100" s="286">
        <f t="shared" si="12"/>
        <v>0</v>
      </c>
      <c r="M100" s="691" t="e">
        <f t="shared" si="13"/>
        <v>#DIV/0!</v>
      </c>
    </row>
    <row r="101" spans="1:13" ht="24" x14ac:dyDescent="0.5">
      <c r="A101" s="273">
        <v>94</v>
      </c>
      <c r="B101" s="74" t="s">
        <v>203</v>
      </c>
      <c r="C101" s="75" t="s">
        <v>89</v>
      </c>
      <c r="D101" s="687">
        <v>0</v>
      </c>
      <c r="E101" s="275">
        <f t="shared" si="7"/>
        <v>0</v>
      </c>
      <c r="F101" s="688">
        <f t="shared" si="8"/>
        <v>0</v>
      </c>
      <c r="G101" s="687">
        <v>0</v>
      </c>
      <c r="H101" s="275">
        <v>0</v>
      </c>
      <c r="I101" s="689">
        <f t="shared" si="9"/>
        <v>0</v>
      </c>
      <c r="J101" s="690">
        <f t="shared" si="10"/>
        <v>0</v>
      </c>
      <c r="K101" s="275">
        <f t="shared" si="11"/>
        <v>0</v>
      </c>
      <c r="L101" s="286">
        <f t="shared" si="12"/>
        <v>0</v>
      </c>
      <c r="M101" s="691" t="e">
        <f t="shared" si="13"/>
        <v>#DIV/0!</v>
      </c>
    </row>
    <row r="102" spans="1:13" ht="24" x14ac:dyDescent="0.5">
      <c r="A102" s="273">
        <v>95</v>
      </c>
      <c r="B102" s="74" t="s">
        <v>202</v>
      </c>
      <c r="C102" s="75" t="s">
        <v>43</v>
      </c>
      <c r="D102" s="687">
        <v>0</v>
      </c>
      <c r="E102" s="275">
        <f t="shared" si="7"/>
        <v>0</v>
      </c>
      <c r="F102" s="688">
        <f t="shared" si="8"/>
        <v>0</v>
      </c>
      <c r="G102" s="687">
        <v>0</v>
      </c>
      <c r="H102" s="275">
        <v>0</v>
      </c>
      <c r="I102" s="689">
        <f t="shared" si="9"/>
        <v>0</v>
      </c>
      <c r="J102" s="690">
        <f t="shared" si="10"/>
        <v>0</v>
      </c>
      <c r="K102" s="275">
        <f t="shared" si="11"/>
        <v>0</v>
      </c>
      <c r="L102" s="286">
        <f t="shared" si="12"/>
        <v>0</v>
      </c>
      <c r="M102" s="691" t="e">
        <f t="shared" si="13"/>
        <v>#DIV/0!</v>
      </c>
    </row>
    <row r="103" spans="1:13" ht="24.75" thickBot="1" x14ac:dyDescent="0.55000000000000004">
      <c r="A103" s="273">
        <v>96</v>
      </c>
      <c r="B103" s="74" t="s">
        <v>194</v>
      </c>
      <c r="C103" s="75" t="s">
        <v>222</v>
      </c>
      <c r="D103" s="687">
        <v>0</v>
      </c>
      <c r="E103" s="275">
        <f t="shared" si="7"/>
        <v>0</v>
      </c>
      <c r="F103" s="688">
        <f t="shared" si="8"/>
        <v>0</v>
      </c>
      <c r="G103" s="687">
        <v>0</v>
      </c>
      <c r="H103" s="275">
        <v>0</v>
      </c>
      <c r="I103" s="689">
        <f t="shared" si="9"/>
        <v>0</v>
      </c>
      <c r="J103" s="690">
        <f t="shared" si="10"/>
        <v>0</v>
      </c>
      <c r="K103" s="275">
        <f t="shared" si="11"/>
        <v>0</v>
      </c>
      <c r="L103" s="286">
        <f t="shared" si="12"/>
        <v>0</v>
      </c>
      <c r="M103" s="691" t="e">
        <f t="shared" si="13"/>
        <v>#DIV/0!</v>
      </c>
    </row>
    <row r="104" spans="1:13" s="298" customFormat="1" ht="30.75" customHeight="1" thickBot="1" x14ac:dyDescent="0.5">
      <c r="A104" s="1183" t="s">
        <v>164</v>
      </c>
      <c r="B104" s="1184"/>
      <c r="C104" s="1185"/>
      <c r="D104" s="692">
        <f>SUM(D8:D103)</f>
        <v>0</v>
      </c>
      <c r="E104" s="692">
        <f t="shared" ref="E104:F104" si="14">SUM(E8:E103)</f>
        <v>0</v>
      </c>
      <c r="F104" s="810">
        <f t="shared" si="14"/>
        <v>0</v>
      </c>
      <c r="G104" s="809">
        <f>SUM(G8:G103)</f>
        <v>0</v>
      </c>
      <c r="H104" s="692">
        <f t="shared" ref="H104" si="15">SUM(H8:H103)</f>
        <v>0</v>
      </c>
      <c r="I104" s="810">
        <f t="shared" ref="I104" si="16">SUM(I8:I103)</f>
        <v>0</v>
      </c>
      <c r="J104" s="809">
        <f>SUM(J8:J103)</f>
        <v>0</v>
      </c>
      <c r="K104" s="692">
        <f t="shared" ref="K104" si="17">SUM(K8:K103)</f>
        <v>0</v>
      </c>
      <c r="L104" s="692">
        <f t="shared" ref="L104" si="18">SUM(L8:L103)</f>
        <v>0</v>
      </c>
      <c r="M104" s="693" t="e">
        <f>+K104*100/J104</f>
        <v>#DIV/0!</v>
      </c>
    </row>
    <row r="105" spans="1:13" s="500" customFormat="1" ht="30.75" hidden="1" customHeight="1" thickTop="1" thickBot="1" x14ac:dyDescent="0.55000000000000004">
      <c r="A105" s="1182" t="s">
        <v>298</v>
      </c>
      <c r="B105" s="1182"/>
      <c r="C105" s="1182"/>
      <c r="D105" s="191">
        <f>+D104-D8</f>
        <v>0</v>
      </c>
      <c r="E105" s="191">
        <f t="shared" ref="E105:L105" si="19">+E104-E8</f>
        <v>0</v>
      </c>
      <c r="F105" s="193">
        <f t="shared" si="19"/>
        <v>0</v>
      </c>
      <c r="G105" s="194">
        <f t="shared" si="19"/>
        <v>0</v>
      </c>
      <c r="H105" s="191">
        <f t="shared" si="19"/>
        <v>0</v>
      </c>
      <c r="I105" s="193">
        <f t="shared" si="19"/>
        <v>0</v>
      </c>
      <c r="J105" s="294">
        <f t="shared" si="19"/>
        <v>0</v>
      </c>
      <c r="K105" s="191">
        <f t="shared" si="19"/>
        <v>0</v>
      </c>
      <c r="L105" s="191">
        <f t="shared" si="19"/>
        <v>0</v>
      </c>
      <c r="M105" s="192" t="e">
        <f>+K105*100/J105</f>
        <v>#DIV/0!</v>
      </c>
    </row>
    <row r="106" spans="1:13" s="132" customFormat="1" ht="24" hidden="1" thickTop="1" x14ac:dyDescent="0.5">
      <c r="A106" s="132" t="s">
        <v>463</v>
      </c>
      <c r="C106" s="267"/>
      <c r="D106" s="268"/>
      <c r="E106" s="268"/>
      <c r="F106" s="268"/>
      <c r="J106" s="295"/>
      <c r="M106" s="269"/>
    </row>
    <row r="107" spans="1:13" s="132" customFormat="1" ht="23.25" hidden="1" x14ac:dyDescent="0.5">
      <c r="A107" s="132" t="s">
        <v>464</v>
      </c>
      <c r="C107" s="267"/>
      <c r="D107" s="268"/>
      <c r="E107" s="268"/>
      <c r="F107" s="268"/>
      <c r="G107" s="270"/>
      <c r="J107" s="295"/>
      <c r="M107" s="269"/>
    </row>
    <row r="108" spans="1:13" hidden="1" x14ac:dyDescent="0.5"/>
    <row r="109" spans="1:13" hidden="1" x14ac:dyDescent="0.5">
      <c r="C109" s="500" t="s">
        <v>183</v>
      </c>
      <c r="D109" s="501">
        <v>4320000</v>
      </c>
      <c r="G109" s="296">
        <v>619500</v>
      </c>
    </row>
    <row r="110" spans="1:13" hidden="1" x14ac:dyDescent="0.5">
      <c r="D110" s="501">
        <f>+D104-D109</f>
        <v>-4320000</v>
      </c>
    </row>
    <row r="111" spans="1:13" ht="22.5" thickTop="1" x14ac:dyDescent="0.5">
      <c r="I111" s="301"/>
    </row>
    <row r="112" spans="1:13" s="271" customFormat="1" ht="26.25" hidden="1" x14ac:dyDescent="0.55000000000000004">
      <c r="A112" s="271" t="s">
        <v>165</v>
      </c>
      <c r="C112" s="1177"/>
      <c r="D112" s="1177"/>
      <c r="E112" s="1177"/>
      <c r="F112" s="1177"/>
      <c r="G112" s="1177"/>
      <c r="H112" s="1177"/>
      <c r="I112" s="1177"/>
      <c r="J112" s="1177"/>
      <c r="K112" s="1177"/>
      <c r="L112" s="1177"/>
      <c r="M112" s="1177"/>
    </row>
    <row r="113" spans="3:13" ht="26.25" hidden="1" x14ac:dyDescent="0.55000000000000004">
      <c r="C113" s="1177"/>
      <c r="D113" s="1177"/>
      <c r="E113" s="1177"/>
      <c r="F113" s="1177"/>
      <c r="G113" s="1177"/>
      <c r="H113" s="1177"/>
      <c r="I113" s="1177"/>
      <c r="J113" s="1177"/>
      <c r="K113" s="1177"/>
      <c r="L113" s="1177"/>
      <c r="M113" s="1177"/>
    </row>
    <row r="114" spans="3:13" ht="26.25" hidden="1" x14ac:dyDescent="0.55000000000000004">
      <c r="C114" s="1177"/>
      <c r="D114" s="1177"/>
      <c r="E114" s="1177"/>
      <c r="F114" s="1177"/>
      <c r="G114" s="1177"/>
      <c r="H114" s="1177"/>
      <c r="I114" s="1177"/>
      <c r="J114" s="1177"/>
      <c r="K114" s="1177"/>
      <c r="L114" s="1177"/>
      <c r="M114" s="1177"/>
    </row>
    <row r="115" spans="3:13" ht="26.25" hidden="1" x14ac:dyDescent="0.55000000000000004">
      <c r="C115" s="1177"/>
      <c r="D115" s="1177"/>
      <c r="E115" s="1177"/>
      <c r="F115" s="1177"/>
      <c r="G115" s="1177"/>
      <c r="H115" s="1177"/>
      <c r="I115" s="1177"/>
      <c r="J115" s="1177"/>
      <c r="K115" s="1177"/>
      <c r="L115" s="1177"/>
      <c r="M115" s="1177"/>
    </row>
    <row r="116" spans="3:13" ht="26.25" hidden="1" x14ac:dyDescent="0.55000000000000004">
      <c r="C116" s="1177"/>
      <c r="D116" s="1177"/>
      <c r="E116" s="1177"/>
      <c r="F116" s="1177"/>
      <c r="G116" s="1177"/>
      <c r="H116" s="1177"/>
      <c r="I116" s="1177"/>
      <c r="J116" s="1177"/>
      <c r="K116" s="1177"/>
      <c r="L116" s="1177"/>
      <c r="M116" s="1177"/>
    </row>
    <row r="117" spans="3:13" ht="26.25" hidden="1" x14ac:dyDescent="0.55000000000000004">
      <c r="C117" s="1177"/>
      <c r="D117" s="1177"/>
      <c r="E117" s="1177"/>
      <c r="F117" s="1177"/>
      <c r="G117" s="1177"/>
      <c r="H117" s="1177"/>
      <c r="I117" s="1177"/>
      <c r="J117" s="1177"/>
      <c r="K117" s="1177"/>
      <c r="L117" s="1177"/>
      <c r="M117" s="1177"/>
    </row>
    <row r="118" spans="3:13" ht="26.25" hidden="1" x14ac:dyDescent="0.55000000000000004">
      <c r="C118" s="1177"/>
      <c r="D118" s="1177"/>
      <c r="E118" s="1177"/>
      <c r="F118" s="1177"/>
      <c r="G118" s="1177"/>
      <c r="H118" s="1177"/>
      <c r="I118" s="1177"/>
      <c r="J118" s="1177"/>
      <c r="K118" s="1177"/>
      <c r="L118" s="1177"/>
      <c r="M118" s="1177"/>
    </row>
    <row r="119" spans="3:13" ht="26.25" hidden="1" x14ac:dyDescent="0.55000000000000004">
      <c r="C119" s="1177"/>
      <c r="D119" s="1177"/>
      <c r="E119" s="1177"/>
      <c r="F119" s="1177"/>
      <c r="G119" s="1177"/>
      <c r="H119" s="1177"/>
      <c r="I119" s="1177"/>
      <c r="J119" s="1177"/>
      <c r="K119" s="1177"/>
      <c r="L119" s="1177"/>
      <c r="M119" s="1177"/>
    </row>
    <row r="120" spans="3:13" ht="26.25" hidden="1" x14ac:dyDescent="0.55000000000000004">
      <c r="C120" s="1177"/>
      <c r="D120" s="1177"/>
      <c r="E120" s="1177"/>
      <c r="F120" s="1177"/>
      <c r="G120" s="1177"/>
      <c r="H120" s="1177"/>
      <c r="I120" s="1177"/>
      <c r="J120" s="1177"/>
      <c r="K120" s="1177"/>
      <c r="L120" s="1177"/>
      <c r="M120" s="1177"/>
    </row>
    <row r="121" spans="3:13" x14ac:dyDescent="0.5">
      <c r="K121" s="301"/>
    </row>
    <row r="122" spans="3:13" x14ac:dyDescent="0.5">
      <c r="J122" s="301"/>
      <c r="K122" s="301"/>
    </row>
    <row r="123" spans="3:13" x14ac:dyDescent="0.5">
      <c r="J123" s="301"/>
      <c r="L123" s="506"/>
    </row>
  </sheetData>
  <mergeCells count="21">
    <mergeCell ref="G6:I6"/>
    <mergeCell ref="J6:L6"/>
    <mergeCell ref="A105:C105"/>
    <mergeCell ref="A104:C104"/>
    <mergeCell ref="A1:M1"/>
    <mergeCell ref="A2:M2"/>
    <mergeCell ref="A3:M3"/>
    <mergeCell ref="A4:M4"/>
    <mergeCell ref="A5:M5"/>
    <mergeCell ref="A6:A7"/>
    <mergeCell ref="B6:C7"/>
    <mergeCell ref="D6:F6"/>
    <mergeCell ref="C117:M117"/>
    <mergeCell ref="C118:M118"/>
    <mergeCell ref="C119:M119"/>
    <mergeCell ref="C120:M120"/>
    <mergeCell ref="C112:M112"/>
    <mergeCell ref="C113:M113"/>
    <mergeCell ref="C114:M114"/>
    <mergeCell ref="C115:M115"/>
    <mergeCell ref="C116:M116"/>
  </mergeCells>
  <pageMargins left="0.35433070866141736" right="0.35433070866141736" top="0.47" bottom="0.51181102362204722" header="0.31496062992125984" footer="0.19685039370078741"/>
  <pageSetup paperSize="9" scale="82" orientation="landscape" r:id="rId1"/>
  <headerFooter>
    <oddFooter>&amp;Lกลุ่มบริหารงานบัญชีและงบประมาณ&amp;Rหน้าที่ &amp;P จาก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K99"/>
  <sheetViews>
    <sheetView workbookViewId="0">
      <selection activeCell="G20" sqref="G20"/>
    </sheetView>
  </sheetViews>
  <sheetFormatPr defaultRowHeight="21.75" x14ac:dyDescent="0.5"/>
  <cols>
    <col min="1" max="1" width="9.140625" style="449"/>
    <col min="2" max="2" width="29.28515625" style="449" bestFit="1" customWidth="1"/>
    <col min="3" max="3" width="18.7109375" style="449" bestFit="1" customWidth="1"/>
    <col min="4" max="4" width="18.140625" style="449" customWidth="1"/>
    <col min="5" max="5" width="27.7109375" style="449" bestFit="1" customWidth="1"/>
    <col min="6" max="6" width="11.85546875" style="449" hidden="1" customWidth="1"/>
    <col min="7" max="7" width="9.140625" style="449"/>
    <col min="8" max="8" width="11" style="449" bestFit="1" customWidth="1"/>
    <col min="9" max="9" width="9.140625" style="449"/>
    <col min="10" max="10" width="10.140625" style="449" customWidth="1"/>
    <col min="11" max="35" width="0" style="449" hidden="1" customWidth="1"/>
    <col min="36" max="16384" width="9.140625" style="449"/>
  </cols>
  <sheetData>
    <row r="1" spans="1:11" ht="30.75" x14ac:dyDescent="0.7">
      <c r="A1" s="1190" t="str">
        <f>+รายงานผู้บริหาร!A1</f>
        <v>กรมพินิจและคุ้มครองเด็กและเยาวชน   กระทรวงยุติธรรม</v>
      </c>
      <c r="B1" s="1190"/>
      <c r="C1" s="1190"/>
      <c r="D1" s="1190"/>
      <c r="E1" s="1190"/>
      <c r="F1" s="1190"/>
      <c r="G1" s="1190"/>
      <c r="H1" s="1190"/>
      <c r="I1" s="1190"/>
      <c r="J1" s="1190"/>
      <c r="K1" s="1190"/>
    </row>
    <row r="2" spans="1:11" ht="30.75" x14ac:dyDescent="0.7">
      <c r="A2" s="1190" t="str">
        <f>+รายงานผู้บริหาร!A2</f>
        <v>สรุปรายละเอียดการเบิกจ่ายเงินงบประมาณประจำปีงบประมาณ พ.ศ. 2565</v>
      </c>
      <c r="B2" s="1190"/>
      <c r="C2" s="1190"/>
      <c r="D2" s="1190"/>
      <c r="E2" s="1190"/>
      <c r="F2" s="1190"/>
      <c r="G2" s="1190"/>
      <c r="H2" s="1190"/>
      <c r="I2" s="1190"/>
      <c r="J2" s="1190"/>
      <c r="K2" s="1190"/>
    </row>
    <row r="3" spans="1:11" ht="30.75" x14ac:dyDescent="0.7">
      <c r="A3" s="1190" t="str">
        <f>+รายงานผู้บริหาร!A3</f>
        <v>ตั้งแต่วันที่ 1  ตุลาคม 2564 ถึงวันที่ 31 ตุลาคม 2564</v>
      </c>
      <c r="B3" s="1190"/>
      <c r="C3" s="1190"/>
      <c r="D3" s="1190"/>
      <c r="E3" s="1190"/>
      <c r="F3" s="1190"/>
      <c r="G3" s="1190"/>
      <c r="H3" s="1190"/>
      <c r="I3" s="1190"/>
      <c r="J3" s="1190"/>
      <c r="K3" s="1190"/>
    </row>
    <row r="7" spans="1:11" ht="24" x14ac:dyDescent="0.55000000000000004">
      <c r="B7" s="508" t="s">
        <v>764</v>
      </c>
      <c r="C7" s="508" t="s">
        <v>59</v>
      </c>
      <c r="D7" s="508" t="s">
        <v>805</v>
      </c>
      <c r="E7" s="508" t="s">
        <v>110</v>
      </c>
      <c r="F7" s="442" t="s">
        <v>66</v>
      </c>
    </row>
    <row r="8" spans="1:11" ht="24" x14ac:dyDescent="0.55000000000000004">
      <c r="B8" s="107" t="s">
        <v>13</v>
      </c>
      <c r="C8" s="285">
        <f>+รายงานผู้บริหาร!D7</f>
        <v>695026000</v>
      </c>
      <c r="D8" s="285">
        <f>1397262100-100</f>
        <v>1397262000</v>
      </c>
      <c r="E8" s="440">
        <f>+รายงานผู้บริหาร!F7</f>
        <v>109106629.47</v>
      </c>
      <c r="F8" s="695">
        <f>+E8*100/C8</f>
        <v>15.698208336091025</v>
      </c>
    </row>
    <row r="9" spans="1:11" ht="24" x14ac:dyDescent="0.55000000000000004">
      <c r="B9" s="107" t="s">
        <v>14</v>
      </c>
      <c r="C9" s="285">
        <f>+รายงานผู้บริหาร!D8</f>
        <v>216270500</v>
      </c>
      <c r="D9" s="285">
        <f>+C9</f>
        <v>216270500</v>
      </c>
      <c r="E9" s="440">
        <f>+รายงานผู้บริหาร!F8</f>
        <v>8016568.5899999999</v>
      </c>
      <c r="F9" s="695">
        <f>+E9*100/C9</f>
        <v>3.7067323513840305</v>
      </c>
    </row>
    <row r="10" spans="1:11" ht="24" x14ac:dyDescent="0.55000000000000004">
      <c r="B10" s="107" t="s">
        <v>15</v>
      </c>
      <c r="C10" s="285">
        <f>+รายงานผู้บริหาร!D9</f>
        <v>68223500</v>
      </c>
      <c r="D10" s="285">
        <f>+C10</f>
        <v>68223500</v>
      </c>
      <c r="E10" s="440">
        <f>+รายงานผู้บริหาร!F9</f>
        <v>1322506.5</v>
      </c>
      <c r="F10" s="695">
        <f>+E10*100/C10</f>
        <v>1.9384911357523433</v>
      </c>
    </row>
    <row r="11" spans="1:11" ht="24" x14ac:dyDescent="0.55000000000000004">
      <c r="B11" s="107" t="s">
        <v>16</v>
      </c>
      <c r="C11" s="285">
        <f>+รายงานผู้บริหาร!D12</f>
        <v>14396800</v>
      </c>
      <c r="D11" s="285">
        <f>+C11</f>
        <v>14396800</v>
      </c>
      <c r="E11" s="440">
        <f>+รายงานผู้บริหาร!F12</f>
        <v>0</v>
      </c>
      <c r="F11" s="695">
        <f>+E11*100/C11</f>
        <v>0</v>
      </c>
    </row>
    <row r="12" spans="1:11" s="450" customFormat="1" ht="24" x14ac:dyDescent="0.55000000000000004">
      <c r="B12" s="441" t="s">
        <v>75</v>
      </c>
      <c r="C12" s="465">
        <f>SUM(C8:C11)</f>
        <v>993916800</v>
      </c>
      <c r="D12" s="465">
        <f>SUM(D8:D11)</f>
        <v>1696152800</v>
      </c>
      <c r="E12" s="465">
        <f>SUM(E8:E11)</f>
        <v>118445704.56</v>
      </c>
      <c r="F12" s="696">
        <f>+E12*100/C12</f>
        <v>11.917064341804062</v>
      </c>
    </row>
    <row r="20" spans="1:10" s="639" customFormat="1" ht="27.75" x14ac:dyDescent="0.65">
      <c r="A20" s="639" t="s">
        <v>1025</v>
      </c>
    </row>
    <row r="21" spans="1:10" s="272" customFormat="1" ht="24" hidden="1" x14ac:dyDescent="0.55000000000000004">
      <c r="E21" s="697">
        <f>1608984157*100/2160480400</f>
        <v>74.473443822957151</v>
      </c>
    </row>
    <row r="22" spans="1:10" hidden="1" x14ac:dyDescent="0.5"/>
    <row r="23" spans="1:10" hidden="1" x14ac:dyDescent="0.5"/>
    <row r="24" spans="1:10" hidden="1" x14ac:dyDescent="0.5"/>
    <row r="25" spans="1:10" hidden="1" x14ac:dyDescent="0.5"/>
    <row r="26" spans="1:10" hidden="1" x14ac:dyDescent="0.5"/>
    <row r="27" spans="1:10" ht="27.75" hidden="1" x14ac:dyDescent="0.65">
      <c r="B27" s="1193">
        <f>+รายงานผู้บริหาร!A1:I1</f>
        <v>0</v>
      </c>
      <c r="C27" s="1193"/>
      <c r="D27" s="1193"/>
      <c r="E27" s="1193"/>
      <c r="F27" s="1193"/>
      <c r="G27" s="1193"/>
      <c r="H27" s="1193"/>
      <c r="I27" s="1193"/>
      <c r="J27" s="1193"/>
    </row>
    <row r="28" spans="1:10" ht="27.75" hidden="1" x14ac:dyDescent="0.65">
      <c r="B28" s="1193">
        <f>+รายงานผู้บริหาร!A2:I2</f>
        <v>0</v>
      </c>
      <c r="C28" s="1193"/>
      <c r="D28" s="1193"/>
      <c r="E28" s="1193"/>
      <c r="F28" s="1193"/>
      <c r="G28" s="1193"/>
      <c r="H28" s="1193"/>
      <c r="I28" s="1193"/>
      <c r="J28" s="1193"/>
    </row>
    <row r="29" spans="1:10" ht="27.75" hidden="1" x14ac:dyDescent="0.65">
      <c r="B29" s="1193">
        <f>+รายงานผู้บริหาร!A3:I3</f>
        <v>0</v>
      </c>
      <c r="C29" s="1193"/>
      <c r="D29" s="1193"/>
      <c r="E29" s="1193"/>
      <c r="F29" s="1193"/>
      <c r="G29" s="1193"/>
      <c r="H29" s="1193"/>
      <c r="I29" s="1193"/>
      <c r="J29" s="1193"/>
    </row>
    <row r="30" spans="1:10" hidden="1" x14ac:dyDescent="0.5"/>
    <row r="31" spans="1:10" hidden="1" x14ac:dyDescent="0.5"/>
    <row r="32" spans="1:10" hidden="1" x14ac:dyDescent="0.5"/>
    <row r="33" spans="2:11" hidden="1" x14ac:dyDescent="0.5"/>
    <row r="34" spans="2:11" ht="24" hidden="1" x14ac:dyDescent="0.55000000000000004">
      <c r="B34" s="439" t="str">
        <f>+รายงานผู้บริหาร!A22</f>
        <v>*หมายเหตุ :   1. กรมพินิจฯ ได้รับงบประมาณ ตาม พรบ. เป็นเงินจำนวน 1,969,681,900.- บาท แต่ ปัจจุบันได้รับจัดสรรในเบื้องต้น(ในระบบ GFMIS)</v>
      </c>
      <c r="C34" s="438"/>
      <c r="D34" s="438"/>
      <c r="E34" s="438"/>
      <c r="F34" s="438"/>
      <c r="G34" s="438"/>
      <c r="H34" s="438"/>
      <c r="I34" s="438"/>
      <c r="J34" s="438"/>
      <c r="K34" s="438"/>
    </row>
    <row r="35" spans="2:11" ht="24" hidden="1" x14ac:dyDescent="0.55000000000000004">
      <c r="B35" s="439" t="e">
        <f>+รายงานผู้บริหาร!#REF!</f>
        <v>#REF!</v>
      </c>
      <c r="C35" s="438"/>
      <c r="D35" s="438"/>
      <c r="E35" s="438"/>
      <c r="F35" s="438"/>
      <c r="G35" s="438"/>
      <c r="H35" s="438"/>
      <c r="I35" s="438"/>
      <c r="J35" s="438"/>
      <c r="K35" s="438"/>
    </row>
    <row r="36" spans="2:11" ht="24" hidden="1" x14ac:dyDescent="0.55000000000000004">
      <c r="B36" s="439" t="e">
        <f>+รายงานผู้บริหาร!#REF!</f>
        <v>#REF!</v>
      </c>
      <c r="C36" s="438"/>
      <c r="D36" s="438"/>
      <c r="E36" s="438"/>
      <c r="F36" s="438"/>
      <c r="G36" s="438"/>
      <c r="H36" s="438"/>
      <c r="I36" s="438"/>
      <c r="J36" s="438"/>
      <c r="K36" s="438"/>
    </row>
    <row r="37" spans="2:11" hidden="1" x14ac:dyDescent="0.5"/>
    <row r="38" spans="2:11" hidden="1" x14ac:dyDescent="0.5"/>
    <row r="39" spans="2:11" hidden="1" x14ac:dyDescent="0.5"/>
    <row r="40" spans="2:11" hidden="1" x14ac:dyDescent="0.5"/>
    <row r="41" spans="2:11" hidden="1" x14ac:dyDescent="0.5"/>
    <row r="42" spans="2:11" hidden="1" x14ac:dyDescent="0.5"/>
    <row r="43" spans="2:11" hidden="1" x14ac:dyDescent="0.5"/>
    <row r="44" spans="2:11" hidden="1" x14ac:dyDescent="0.5"/>
    <row r="45" spans="2:11" hidden="1" x14ac:dyDescent="0.5"/>
    <row r="46" spans="2:11" hidden="1" x14ac:dyDescent="0.5"/>
    <row r="47" spans="2:11" hidden="1" x14ac:dyDescent="0.5"/>
    <row r="48" spans="2:11" hidden="1" x14ac:dyDescent="0.5"/>
    <row r="49" hidden="1" x14ac:dyDescent="0.5"/>
    <row r="50" hidden="1" x14ac:dyDescent="0.5"/>
    <row r="51" hidden="1" x14ac:dyDescent="0.5"/>
    <row r="52" hidden="1" x14ac:dyDescent="0.5"/>
    <row r="53" hidden="1" x14ac:dyDescent="0.5"/>
    <row r="54" hidden="1" x14ac:dyDescent="0.5"/>
    <row r="55" hidden="1" x14ac:dyDescent="0.5"/>
    <row r="56" hidden="1" x14ac:dyDescent="0.5"/>
    <row r="57" hidden="1" x14ac:dyDescent="0.5"/>
    <row r="58" hidden="1" x14ac:dyDescent="0.5"/>
    <row r="59" hidden="1" x14ac:dyDescent="0.5"/>
    <row r="60" hidden="1" x14ac:dyDescent="0.5"/>
    <row r="61" hidden="1" x14ac:dyDescent="0.5"/>
    <row r="62" hidden="1" x14ac:dyDescent="0.5"/>
    <row r="63" hidden="1" x14ac:dyDescent="0.5"/>
    <row r="64" hidden="1" x14ac:dyDescent="0.5"/>
    <row r="65" hidden="1" x14ac:dyDescent="0.5"/>
    <row r="66" hidden="1" x14ac:dyDescent="0.5"/>
    <row r="67" hidden="1" x14ac:dyDescent="0.5"/>
    <row r="68" hidden="1" x14ac:dyDescent="0.5"/>
    <row r="69" hidden="1" x14ac:dyDescent="0.5"/>
    <row r="70" hidden="1" x14ac:dyDescent="0.5"/>
    <row r="71" hidden="1" x14ac:dyDescent="0.5"/>
    <row r="72" hidden="1" x14ac:dyDescent="0.5"/>
    <row r="73" hidden="1" x14ac:dyDescent="0.5"/>
    <row r="74" hidden="1" x14ac:dyDescent="0.5"/>
    <row r="75" hidden="1" x14ac:dyDescent="0.5"/>
    <row r="76" hidden="1" x14ac:dyDescent="0.5"/>
    <row r="77" hidden="1" x14ac:dyDescent="0.5"/>
    <row r="78" hidden="1" x14ac:dyDescent="0.5"/>
    <row r="79" hidden="1" x14ac:dyDescent="0.5"/>
    <row r="80" hidden="1" x14ac:dyDescent="0.5"/>
    <row r="81" hidden="1" x14ac:dyDescent="0.5"/>
    <row r="82" hidden="1" x14ac:dyDescent="0.5"/>
    <row r="83" hidden="1" x14ac:dyDescent="0.5"/>
    <row r="84" hidden="1" x14ac:dyDescent="0.5"/>
    <row r="85" hidden="1" x14ac:dyDescent="0.5"/>
    <row r="86" hidden="1" x14ac:dyDescent="0.5"/>
    <row r="87" hidden="1" x14ac:dyDescent="0.5"/>
    <row r="88" hidden="1" x14ac:dyDescent="0.5"/>
    <row r="89" hidden="1" x14ac:dyDescent="0.5"/>
    <row r="90" hidden="1" x14ac:dyDescent="0.5"/>
    <row r="91" hidden="1" x14ac:dyDescent="0.5"/>
    <row r="92" hidden="1" x14ac:dyDescent="0.5"/>
    <row r="93" hidden="1" x14ac:dyDescent="0.5"/>
    <row r="94" hidden="1" x14ac:dyDescent="0.5"/>
    <row r="95" hidden="1" x14ac:dyDescent="0.5"/>
    <row r="96" hidden="1" x14ac:dyDescent="0.5"/>
    <row r="97" spans="1:10" hidden="1" x14ac:dyDescent="0.5"/>
    <row r="98" spans="1:10" ht="27.75" x14ac:dyDescent="0.65">
      <c r="A98" s="1191" t="s">
        <v>1026</v>
      </c>
      <c r="B98" s="1191"/>
      <c r="C98" s="1191"/>
      <c r="D98" s="1191"/>
      <c r="E98" s="1191"/>
      <c r="F98" s="1191"/>
      <c r="G98" s="1191"/>
      <c r="H98" s="1191"/>
      <c r="I98" s="1191"/>
      <c r="J98" s="1191"/>
    </row>
    <row r="99" spans="1:10" ht="27.75" x14ac:dyDescent="0.65">
      <c r="A99" s="1192"/>
      <c r="B99" s="1192"/>
      <c r="C99" s="1192"/>
      <c r="D99" s="1192"/>
      <c r="E99" s="1192"/>
      <c r="F99" s="1192"/>
      <c r="G99" s="1192"/>
      <c r="H99" s="1192"/>
      <c r="I99" s="1192"/>
      <c r="J99" s="1192"/>
    </row>
  </sheetData>
  <mergeCells count="8">
    <mergeCell ref="A1:K1"/>
    <mergeCell ref="A2:K2"/>
    <mergeCell ref="A3:K3"/>
    <mergeCell ref="A98:J98"/>
    <mergeCell ref="A99:J99"/>
    <mergeCell ref="B29:J29"/>
    <mergeCell ref="B28:J28"/>
    <mergeCell ref="B27:J27"/>
  </mergeCells>
  <pageMargins left="0.70866141732283472" right="0.70866141732283472" top="0.55118110236220474" bottom="0.55118110236220474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8"/>
  <sheetViews>
    <sheetView topLeftCell="A7" workbookViewId="0">
      <selection activeCell="J17" sqref="J17"/>
    </sheetView>
  </sheetViews>
  <sheetFormatPr defaultRowHeight="21.75" x14ac:dyDescent="0.5"/>
  <cols>
    <col min="1" max="1" width="6.85546875" style="449" customWidth="1"/>
    <col min="2" max="2" width="16.28515625" style="449" customWidth="1"/>
    <col min="3" max="4" width="18.7109375" style="449" bestFit="1" customWidth="1"/>
    <col min="5" max="5" width="16.85546875" style="449" bestFit="1" customWidth="1"/>
    <col min="6" max="6" width="15.28515625" style="449" bestFit="1" customWidth="1"/>
    <col min="7" max="7" width="16.85546875" style="449" bestFit="1" customWidth="1"/>
    <col min="8" max="8" width="7.5703125" style="449" bestFit="1" customWidth="1"/>
    <col min="9" max="9" width="17.85546875" style="449" bestFit="1" customWidth="1"/>
    <col min="10" max="10" width="8.28515625" style="449" bestFit="1" customWidth="1"/>
    <col min="11" max="16384" width="9.140625" style="449"/>
  </cols>
  <sheetData>
    <row r="1" spans="1:10" ht="33" x14ac:dyDescent="0.5">
      <c r="A1" s="1195" t="s">
        <v>57</v>
      </c>
      <c r="B1" s="1195"/>
      <c r="C1" s="1195"/>
      <c r="D1" s="1195"/>
      <c r="E1" s="1195"/>
      <c r="F1" s="1195"/>
      <c r="G1" s="1195"/>
      <c r="H1" s="1195"/>
      <c r="I1" s="1195"/>
      <c r="J1" s="1195"/>
    </row>
    <row r="2" spans="1:10" ht="33" x14ac:dyDescent="0.5">
      <c r="A2" s="1195" t="s">
        <v>705</v>
      </c>
      <c r="B2" s="1195"/>
      <c r="C2" s="1195"/>
      <c r="D2" s="1195"/>
      <c r="E2" s="1195"/>
      <c r="F2" s="1195"/>
      <c r="G2" s="1195"/>
      <c r="H2" s="1195"/>
      <c r="I2" s="1195"/>
      <c r="J2" s="1195"/>
    </row>
    <row r="3" spans="1:10" ht="33" x14ac:dyDescent="0.5">
      <c r="A3" s="1202" t="str">
        <f>+รายจ่ายจริง!A3:P3</f>
        <v>ตั้งแต่วันที่ 1  ตุลาคม 2564 ถึงวันที่ 31 ตุลาคม 2564</v>
      </c>
      <c r="B3" s="1202"/>
      <c r="C3" s="1202"/>
      <c r="D3" s="1202"/>
      <c r="E3" s="1202"/>
      <c r="F3" s="1202"/>
      <c r="G3" s="1202"/>
      <c r="H3" s="1202"/>
      <c r="I3" s="1202"/>
      <c r="J3" s="1202"/>
    </row>
    <row r="4" spans="1:10" ht="24" x14ac:dyDescent="0.5">
      <c r="A4" s="1203" t="s">
        <v>58</v>
      </c>
      <c r="B4" s="1204"/>
      <c r="C4" s="451" t="s">
        <v>772</v>
      </c>
      <c r="D4" s="451" t="s">
        <v>774</v>
      </c>
      <c r="E4" s="451" t="s">
        <v>110</v>
      </c>
      <c r="F4" s="452" t="s">
        <v>775</v>
      </c>
      <c r="G4" s="1200" t="s">
        <v>777</v>
      </c>
      <c r="H4" s="1201"/>
      <c r="I4" s="453" t="s">
        <v>779</v>
      </c>
      <c r="J4" s="451" t="s">
        <v>83</v>
      </c>
    </row>
    <row r="5" spans="1:10" ht="24" x14ac:dyDescent="0.5">
      <c r="A5" s="1205"/>
      <c r="B5" s="1206"/>
      <c r="C5" s="454" t="s">
        <v>773</v>
      </c>
      <c r="D5" s="454" t="s">
        <v>739</v>
      </c>
      <c r="E5" s="454"/>
      <c r="F5" s="477" t="s">
        <v>776</v>
      </c>
      <c r="G5" s="455" t="s">
        <v>778</v>
      </c>
      <c r="H5" s="456" t="s">
        <v>83</v>
      </c>
      <c r="I5" s="457" t="s">
        <v>780</v>
      </c>
      <c r="J5" s="454"/>
    </row>
    <row r="6" spans="1:10" ht="24" x14ac:dyDescent="0.55000000000000004">
      <c r="A6" s="1196" t="s">
        <v>13</v>
      </c>
      <c r="B6" s="1197"/>
      <c r="C6" s="285">
        <f>+รายงานผู้บริหาร!B7</f>
        <v>1390052000</v>
      </c>
      <c r="D6" s="285">
        <f>+รายงานผู้บริหาร!D7</f>
        <v>695026000</v>
      </c>
      <c r="E6" s="285">
        <f>+รายงานผู้บริหาร!F7</f>
        <v>109106629.47</v>
      </c>
      <c r="F6" s="458">
        <f>+E6*100/C6</f>
        <v>7.8491041680455123</v>
      </c>
      <c r="G6" s="459">
        <f>+รายงานผู้บริหาร!E7+รายงานผู้บริหาร!F7</f>
        <v>109106629.47</v>
      </c>
      <c r="H6" s="458">
        <f>+G6*100/C6</f>
        <v>7.8491041680455123</v>
      </c>
      <c r="I6" s="460">
        <f>+C6-G6</f>
        <v>1280945370.53</v>
      </c>
      <c r="J6" s="461">
        <f>+I6*100/C6</f>
        <v>92.150895831954486</v>
      </c>
    </row>
    <row r="7" spans="1:10" ht="24" x14ac:dyDescent="0.55000000000000004">
      <c r="A7" s="1196" t="s">
        <v>14</v>
      </c>
      <c r="B7" s="1197"/>
      <c r="C7" s="285">
        <f>+รายงานผู้บริหาร!B8</f>
        <v>432541700</v>
      </c>
      <c r="D7" s="285">
        <f>+รายงานผู้บริหาร!D8</f>
        <v>216270500</v>
      </c>
      <c r="E7" s="285">
        <f>+รายงานผู้บริหาร!F8</f>
        <v>8016568.5899999999</v>
      </c>
      <c r="F7" s="462">
        <f t="shared" ref="F7:F14" si="0">+E7*100/C7</f>
        <v>1.8533631763134051</v>
      </c>
      <c r="G7" s="459">
        <f>+รายงานผู้บริหาร!E8+รายงานผู้บริหาร!F8</f>
        <v>19037316.550000001</v>
      </c>
      <c r="H7" s="462">
        <f t="shared" ref="H7:H12" si="1">+G7*100/C7</f>
        <v>4.4012673344558459</v>
      </c>
      <c r="I7" s="463">
        <f t="shared" ref="I7:I12" si="2">+C7-G7</f>
        <v>413504383.44999999</v>
      </c>
      <c r="J7" s="461">
        <f t="shared" ref="J7:J14" si="3">+I7*100/C7</f>
        <v>95.598732665544148</v>
      </c>
    </row>
    <row r="8" spans="1:10" ht="24" x14ac:dyDescent="0.55000000000000004">
      <c r="A8" s="1196" t="s">
        <v>15</v>
      </c>
      <c r="B8" s="1197"/>
      <c r="C8" s="285">
        <f>+รายงานผู้บริหาร!B9</f>
        <v>118294300</v>
      </c>
      <c r="D8" s="285">
        <f>+รายงานผู้บริหาร!D9</f>
        <v>68223500</v>
      </c>
      <c r="E8" s="285">
        <f>+รายงานผู้บริหาร!F9</f>
        <v>1322506.5</v>
      </c>
      <c r="F8" s="462">
        <f t="shared" si="0"/>
        <v>1.1179799026664852</v>
      </c>
      <c r="G8" s="459">
        <f>+รายงานผู้บริหาร!E9+รายงานผู้บริหาร!F9</f>
        <v>8909916.5</v>
      </c>
      <c r="H8" s="462">
        <f t="shared" si="1"/>
        <v>7.5319913977258413</v>
      </c>
      <c r="I8" s="463">
        <f t="shared" si="2"/>
        <v>109384383.5</v>
      </c>
      <c r="J8" s="461">
        <f t="shared" si="3"/>
        <v>92.468008602274153</v>
      </c>
    </row>
    <row r="9" spans="1:10" ht="24" x14ac:dyDescent="0.55000000000000004">
      <c r="A9" s="119"/>
      <c r="B9" s="475" t="s">
        <v>212</v>
      </c>
      <c r="C9" s="285">
        <f>+รายงานผู้บริหาร!B10</f>
        <v>19128700</v>
      </c>
      <c r="D9" s="285">
        <f>+รายงานผู้บริหาร!D10</f>
        <v>19128700</v>
      </c>
      <c r="E9" s="285">
        <f>+รายงานผู้บริหาร!F10</f>
        <v>1322506.5</v>
      </c>
      <c r="F9" s="462">
        <f t="shared" si="0"/>
        <v>6.913729108616895</v>
      </c>
      <c r="G9" s="459">
        <f>+รายงานผู้บริหาร!E10+รายงานผู้บริหาร!F10</f>
        <v>2674116.5</v>
      </c>
      <c r="H9" s="462">
        <f t="shared" si="1"/>
        <v>13.979603945903277</v>
      </c>
      <c r="I9" s="463">
        <f t="shared" si="2"/>
        <v>16454583.5</v>
      </c>
      <c r="J9" s="461">
        <f t="shared" si="3"/>
        <v>86.020396054096722</v>
      </c>
    </row>
    <row r="10" spans="1:10" ht="24" x14ac:dyDescent="0.55000000000000004">
      <c r="A10" s="464"/>
      <c r="B10" s="476" t="s">
        <v>214</v>
      </c>
      <c r="C10" s="285">
        <f>+รายงานผู้บริหาร!B11</f>
        <v>99165600</v>
      </c>
      <c r="D10" s="285">
        <f>+รายงานผู้บริหาร!D11</f>
        <v>49094800</v>
      </c>
      <c r="E10" s="285">
        <f>+รายงานผู้บริหาร!F11</f>
        <v>0</v>
      </c>
      <c r="F10" s="462">
        <f t="shared" si="0"/>
        <v>0</v>
      </c>
      <c r="G10" s="459">
        <f>+รายงานผู้บริหาร!E11+รายงานผู้บริหาร!F11</f>
        <v>6235800</v>
      </c>
      <c r="H10" s="462">
        <f t="shared" si="1"/>
        <v>6.2882693191993999</v>
      </c>
      <c r="I10" s="463">
        <f t="shared" si="2"/>
        <v>92929800</v>
      </c>
      <c r="J10" s="461">
        <f t="shared" si="3"/>
        <v>93.711730680800599</v>
      </c>
    </row>
    <row r="11" spans="1:10" ht="24" x14ac:dyDescent="0.55000000000000004">
      <c r="A11" s="1196" t="s">
        <v>16</v>
      </c>
      <c r="B11" s="1197"/>
      <c r="C11" s="285">
        <f>+รายงานผู้บริหาร!B12</f>
        <v>28793900</v>
      </c>
      <c r="D11" s="285">
        <f>+รายงานผู้บริหาร!D12</f>
        <v>14396800</v>
      </c>
      <c r="E11" s="285">
        <f>+รายงานผู้บริหาร!F12</f>
        <v>0</v>
      </c>
      <c r="F11" s="462">
        <f t="shared" si="0"/>
        <v>0</v>
      </c>
      <c r="G11" s="459">
        <f>+รายงานผู้บริหาร!E12+รายงานผู้บริหาร!F12</f>
        <v>0</v>
      </c>
      <c r="H11" s="462">
        <f t="shared" si="1"/>
        <v>0</v>
      </c>
      <c r="I11" s="463">
        <f t="shared" si="2"/>
        <v>28793900</v>
      </c>
      <c r="J11" s="461">
        <f t="shared" si="3"/>
        <v>100</v>
      </c>
    </row>
    <row r="12" spans="1:10" s="450" customFormat="1" ht="24" x14ac:dyDescent="0.55000000000000004">
      <c r="A12" s="1198" t="s">
        <v>781</v>
      </c>
      <c r="B12" s="1199"/>
      <c r="C12" s="465">
        <f>+รายงานผู้บริหาร!B13</f>
        <v>1969681900</v>
      </c>
      <c r="D12" s="465">
        <f>+รายงานผู้บริหาร!D13</f>
        <v>993916800</v>
      </c>
      <c r="E12" s="465">
        <f>+รายงานผู้บริหาร!F13</f>
        <v>118445704.56</v>
      </c>
      <c r="F12" s="466">
        <f t="shared" si="0"/>
        <v>6.0134433158978613</v>
      </c>
      <c r="G12" s="467">
        <f>+รายงานผู้บริหาร!E13+รายงานผู้บริหาร!F13</f>
        <v>137053862.52000001</v>
      </c>
      <c r="H12" s="466">
        <f t="shared" si="1"/>
        <v>6.958172409463681</v>
      </c>
      <c r="I12" s="468">
        <f t="shared" si="2"/>
        <v>1832628037.48</v>
      </c>
      <c r="J12" s="469">
        <f t="shared" si="3"/>
        <v>93.041827590536315</v>
      </c>
    </row>
    <row r="13" spans="1:10" ht="24" x14ac:dyDescent="0.55000000000000004">
      <c r="A13" s="1194" t="s">
        <v>287</v>
      </c>
      <c r="B13" s="1194"/>
      <c r="C13" s="461">
        <f>+C6+C7+C11</f>
        <v>1851387600</v>
      </c>
      <c r="D13" s="461">
        <f>+D6+D7+D11</f>
        <v>925693300</v>
      </c>
      <c r="E13" s="461">
        <f>+E6+E7+E11</f>
        <v>117123198.06</v>
      </c>
      <c r="F13" s="458">
        <f t="shared" si="0"/>
        <v>6.3262386579665977</v>
      </c>
      <c r="G13" s="470">
        <f>+G6+G7+G11</f>
        <v>128143946.02</v>
      </c>
      <c r="H13" s="458">
        <f>+H6+H7+H11</f>
        <v>12.250371502501359</v>
      </c>
      <c r="I13" s="460">
        <f>+I6+I7+I11</f>
        <v>1723243653.98</v>
      </c>
      <c r="J13" s="461">
        <f t="shared" si="3"/>
        <v>93.078491720480358</v>
      </c>
    </row>
    <row r="14" spans="1:10" ht="24" x14ac:dyDescent="0.55000000000000004">
      <c r="A14" s="1194" t="s">
        <v>288</v>
      </c>
      <c r="B14" s="1194"/>
      <c r="C14" s="471">
        <f>+C8</f>
        <v>118294300</v>
      </c>
      <c r="D14" s="471">
        <f>+D8</f>
        <v>68223500</v>
      </c>
      <c r="E14" s="471">
        <f>+E8</f>
        <v>1322506.5</v>
      </c>
      <c r="F14" s="472">
        <f t="shared" si="0"/>
        <v>1.1179799026664852</v>
      </c>
      <c r="G14" s="473">
        <f>+G8</f>
        <v>8909916.5</v>
      </c>
      <c r="H14" s="472">
        <f>+H8</f>
        <v>7.5319913977258413</v>
      </c>
      <c r="I14" s="474">
        <f>+I8</f>
        <v>109384383.5</v>
      </c>
      <c r="J14" s="471">
        <f t="shared" si="3"/>
        <v>92.468008602274153</v>
      </c>
    </row>
    <row r="15" spans="1:10" ht="24" x14ac:dyDescent="0.5">
      <c r="A15" s="88" t="s">
        <v>740</v>
      </c>
    </row>
    <row r="16" spans="1:10" ht="24" x14ac:dyDescent="0.5">
      <c r="A16" s="88" t="s">
        <v>782</v>
      </c>
    </row>
    <row r="17" spans="1:1" ht="24" x14ac:dyDescent="0.5">
      <c r="A17" s="88" t="s">
        <v>766</v>
      </c>
    </row>
    <row r="18" spans="1:1" ht="24" x14ac:dyDescent="0.5">
      <c r="A18" s="88" t="s">
        <v>783</v>
      </c>
    </row>
  </sheetData>
  <mergeCells count="12">
    <mergeCell ref="A14:B14"/>
    <mergeCell ref="A1:J1"/>
    <mergeCell ref="A8:B8"/>
    <mergeCell ref="A11:B11"/>
    <mergeCell ref="A12:B12"/>
    <mergeCell ref="G4:H4"/>
    <mergeCell ref="A13:B13"/>
    <mergeCell ref="A2:J2"/>
    <mergeCell ref="A3:J3"/>
    <mergeCell ref="A4:B5"/>
    <mergeCell ref="A6:B6"/>
    <mergeCell ref="A7:B7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00000"/>
  </sheetPr>
  <dimension ref="A1:M52"/>
  <sheetViews>
    <sheetView topLeftCell="A4" zoomScale="85" zoomScaleNormal="85" workbookViewId="0">
      <pane ySplit="975" topLeftCell="A25" activePane="bottomLeft"/>
      <selection activeCell="A4" sqref="A4:A6"/>
      <selection pane="bottomLeft" activeCell="J29" sqref="J29"/>
    </sheetView>
  </sheetViews>
  <sheetFormatPr defaultRowHeight="36" customHeight="1" x14ac:dyDescent="0.5"/>
  <cols>
    <col min="1" max="1" width="7.85546875" style="25" bestFit="1" customWidth="1"/>
    <col min="2" max="2" width="24.28515625" style="70" customWidth="1"/>
    <col min="3" max="3" width="11.7109375" style="26" customWidth="1"/>
    <col min="4" max="4" width="15.7109375" style="26" customWidth="1"/>
    <col min="5" max="5" width="10.28515625" style="26" bestFit="1" customWidth="1"/>
    <col min="6" max="6" width="13.140625" style="26" customWidth="1"/>
    <col min="7" max="7" width="18.42578125" style="27" customWidth="1"/>
    <col min="8" max="8" width="46.28515625" style="95" customWidth="1"/>
    <col min="9" max="9" width="19.85546875" style="26" bestFit="1" customWidth="1"/>
    <col min="10" max="10" width="19.42578125" style="26" customWidth="1"/>
    <col min="11" max="11" width="19.85546875" style="72" bestFit="1" customWidth="1"/>
    <col min="12" max="12" width="13.42578125" style="26" customWidth="1"/>
    <col min="13" max="13" width="22.140625" style="28" customWidth="1"/>
    <col min="14" max="14" width="17.85546875" style="26" customWidth="1"/>
    <col min="15" max="16384" width="9.140625" style="26"/>
  </cols>
  <sheetData>
    <row r="1" spans="1:13" s="73" customFormat="1" ht="36" customHeight="1" x14ac:dyDescent="0.5">
      <c r="A1" s="1207" t="s">
        <v>82</v>
      </c>
      <c r="B1" s="1207"/>
      <c r="C1" s="1207"/>
      <c r="D1" s="1207"/>
      <c r="E1" s="1207"/>
      <c r="F1" s="1207"/>
      <c r="G1" s="1207"/>
      <c r="H1" s="1207"/>
      <c r="I1" s="1207"/>
      <c r="J1" s="1207"/>
      <c r="K1" s="1207"/>
      <c r="L1" s="1207"/>
      <c r="M1" s="1207"/>
    </row>
    <row r="2" spans="1:13" s="73" customFormat="1" ht="36" customHeight="1" x14ac:dyDescent="0.5">
      <c r="A2" s="1207" t="s">
        <v>312</v>
      </c>
      <c r="B2" s="1207"/>
      <c r="C2" s="1207"/>
      <c r="D2" s="1207"/>
      <c r="E2" s="1207"/>
      <c r="F2" s="1207"/>
      <c r="G2" s="1207"/>
      <c r="H2" s="1207"/>
      <c r="I2" s="1207"/>
      <c r="J2" s="1207"/>
      <c r="K2" s="1207"/>
      <c r="L2" s="1207"/>
      <c r="M2" s="1207"/>
    </row>
    <row r="3" spans="1:13" s="73" customFormat="1" ht="36" customHeight="1" x14ac:dyDescent="0.5">
      <c r="A3" s="1208" t="str">
        <f>+ไม่ใช้แล้วไม่ต้องเปิด!A3:I3</f>
        <v>ตั้งแต่วันที่ 1  ตุลาคม 2564 ถึงวันที่ 31 ตุลาคม 2564</v>
      </c>
      <c r="B3" s="1208"/>
      <c r="C3" s="1208"/>
      <c r="D3" s="1208"/>
      <c r="E3" s="1208"/>
      <c r="F3" s="1208"/>
      <c r="G3" s="1208"/>
      <c r="H3" s="1208"/>
      <c r="I3" s="1208"/>
      <c r="J3" s="1208"/>
      <c r="K3" s="1208"/>
      <c r="L3" s="1208"/>
      <c r="M3" s="1208"/>
    </row>
    <row r="4" spans="1:13" s="19" customFormat="1" ht="36" customHeight="1" x14ac:dyDescent="0.5">
      <c r="A4" s="24" t="s">
        <v>0</v>
      </c>
      <c r="B4" s="40" t="s">
        <v>1</v>
      </c>
      <c r="C4" s="23" t="s">
        <v>177</v>
      </c>
      <c r="D4" s="23" t="s">
        <v>178</v>
      </c>
      <c r="E4" s="23" t="s">
        <v>300</v>
      </c>
      <c r="F4" s="23" t="s">
        <v>105</v>
      </c>
      <c r="G4" s="29" t="s">
        <v>179</v>
      </c>
      <c r="H4" s="92" t="s">
        <v>58</v>
      </c>
      <c r="I4" s="23" t="s">
        <v>180</v>
      </c>
      <c r="J4" s="23" t="s">
        <v>17</v>
      </c>
      <c r="K4" s="23" t="s">
        <v>60</v>
      </c>
      <c r="L4" s="23" t="s">
        <v>66</v>
      </c>
      <c r="M4" s="23" t="s">
        <v>165</v>
      </c>
    </row>
    <row r="5" spans="1:13" ht="23.25" x14ac:dyDescent="0.5">
      <c r="A5" s="20">
        <v>1</v>
      </c>
      <c r="B5" s="81" t="s">
        <v>112</v>
      </c>
      <c r="C5" s="1" t="s">
        <v>301</v>
      </c>
      <c r="D5" s="65" t="s">
        <v>302</v>
      </c>
      <c r="E5" s="65" t="s">
        <v>313</v>
      </c>
      <c r="F5" s="64">
        <v>7012296365</v>
      </c>
      <c r="G5" s="21" t="s">
        <v>314</v>
      </c>
      <c r="H5" s="93" t="s">
        <v>315</v>
      </c>
      <c r="I5" s="1">
        <f>124500*2</f>
        <v>249000</v>
      </c>
      <c r="J5" s="1">
        <v>249000</v>
      </c>
      <c r="K5" s="22">
        <f t="shared" ref="K5:K10" si="0">+I5-J5</f>
        <v>0</v>
      </c>
      <c r="L5" s="1">
        <f t="shared" ref="L5:L10" si="1">+J5*100/I5</f>
        <v>100</v>
      </c>
      <c r="M5" s="71" t="s">
        <v>363</v>
      </c>
    </row>
    <row r="6" spans="1:13" ht="23.25" x14ac:dyDescent="0.5">
      <c r="A6" s="20">
        <v>2</v>
      </c>
      <c r="B6" s="81" t="s">
        <v>112</v>
      </c>
      <c r="C6" s="1" t="s">
        <v>301</v>
      </c>
      <c r="D6" s="65" t="s">
        <v>302</v>
      </c>
      <c r="E6" s="65" t="s">
        <v>313</v>
      </c>
      <c r="F6" s="64">
        <v>7012439351</v>
      </c>
      <c r="G6" s="21" t="s">
        <v>314</v>
      </c>
      <c r="H6" s="93" t="s">
        <v>303</v>
      </c>
      <c r="I6" s="1">
        <v>141240</v>
      </c>
      <c r="J6" s="1">
        <v>141240</v>
      </c>
      <c r="K6" s="22">
        <f t="shared" si="0"/>
        <v>0</v>
      </c>
      <c r="L6" s="1">
        <f t="shared" si="1"/>
        <v>100</v>
      </c>
      <c r="M6" s="71" t="s">
        <v>363</v>
      </c>
    </row>
    <row r="7" spans="1:13" ht="23.25" x14ac:dyDescent="0.5">
      <c r="A7" s="20">
        <v>3</v>
      </c>
      <c r="B7" s="81" t="s">
        <v>112</v>
      </c>
      <c r="C7" s="1" t="s">
        <v>301</v>
      </c>
      <c r="D7" s="65" t="s">
        <v>302</v>
      </c>
      <c r="E7" s="65" t="s">
        <v>313</v>
      </c>
      <c r="F7" s="64">
        <v>7013021323</v>
      </c>
      <c r="G7" s="21" t="s">
        <v>316</v>
      </c>
      <c r="H7" s="93" t="s">
        <v>305</v>
      </c>
      <c r="I7" s="1">
        <v>41000</v>
      </c>
      <c r="J7" s="1">
        <v>41000</v>
      </c>
      <c r="K7" s="22">
        <f t="shared" si="0"/>
        <v>0</v>
      </c>
      <c r="L7" s="1">
        <f t="shared" si="1"/>
        <v>100</v>
      </c>
      <c r="M7" s="71" t="s">
        <v>363</v>
      </c>
    </row>
    <row r="8" spans="1:13" ht="23.25" x14ac:dyDescent="0.5">
      <c r="A8" s="20">
        <v>4</v>
      </c>
      <c r="B8" s="69" t="s">
        <v>317</v>
      </c>
      <c r="C8" s="1" t="s">
        <v>301</v>
      </c>
      <c r="D8" s="65" t="s">
        <v>302</v>
      </c>
      <c r="E8" s="65" t="s">
        <v>313</v>
      </c>
      <c r="F8" s="64">
        <v>7013640718</v>
      </c>
      <c r="G8" s="21" t="s">
        <v>316</v>
      </c>
      <c r="H8" s="93" t="s">
        <v>304</v>
      </c>
      <c r="I8" s="1">
        <v>163843.5</v>
      </c>
      <c r="J8" s="1">
        <v>163843.5</v>
      </c>
      <c r="K8" s="22">
        <f t="shared" si="0"/>
        <v>0</v>
      </c>
      <c r="L8" s="1">
        <f t="shared" si="1"/>
        <v>100</v>
      </c>
      <c r="M8" s="71" t="s">
        <v>363</v>
      </c>
    </row>
    <row r="9" spans="1:13" ht="69.75" x14ac:dyDescent="0.5">
      <c r="A9" s="20">
        <v>5</v>
      </c>
      <c r="B9" s="81" t="s">
        <v>318</v>
      </c>
      <c r="C9" s="1" t="s">
        <v>301</v>
      </c>
      <c r="D9" s="65" t="s">
        <v>302</v>
      </c>
      <c r="E9" s="65" t="s">
        <v>313</v>
      </c>
      <c r="F9" s="64">
        <v>7013491322</v>
      </c>
      <c r="G9" s="21" t="s">
        <v>316</v>
      </c>
      <c r="H9" s="93" t="s">
        <v>319</v>
      </c>
      <c r="I9" s="1">
        <v>5250</v>
      </c>
      <c r="J9" s="1"/>
      <c r="K9" s="22">
        <f t="shared" si="0"/>
        <v>5250</v>
      </c>
      <c r="L9" s="1">
        <f t="shared" si="1"/>
        <v>0</v>
      </c>
      <c r="M9" s="214" t="s">
        <v>461</v>
      </c>
    </row>
    <row r="10" spans="1:13" ht="23.25" x14ac:dyDescent="0.5">
      <c r="A10" s="20">
        <v>6</v>
      </c>
      <c r="B10" s="81" t="s">
        <v>318</v>
      </c>
      <c r="C10" s="1" t="s">
        <v>301</v>
      </c>
      <c r="D10" s="65" t="s">
        <v>302</v>
      </c>
      <c r="E10" s="65" t="s">
        <v>313</v>
      </c>
      <c r="F10" s="64">
        <v>2000394011</v>
      </c>
      <c r="G10" s="21" t="s">
        <v>316</v>
      </c>
      <c r="H10" s="93" t="s">
        <v>304</v>
      </c>
      <c r="I10" s="1">
        <v>174928</v>
      </c>
      <c r="J10" s="1">
        <v>174928</v>
      </c>
      <c r="K10" s="22">
        <f t="shared" si="0"/>
        <v>0</v>
      </c>
      <c r="L10" s="1">
        <f t="shared" si="1"/>
        <v>100</v>
      </c>
      <c r="M10" s="71" t="s">
        <v>363</v>
      </c>
    </row>
    <row r="11" spans="1:13" s="200" customFormat="1" ht="30" customHeight="1" x14ac:dyDescent="0.55000000000000004">
      <c r="A11" s="1215" t="s">
        <v>306</v>
      </c>
      <c r="B11" s="1216"/>
      <c r="C11" s="1216"/>
      <c r="D11" s="1216"/>
      <c r="E11" s="1216"/>
      <c r="F11" s="1216"/>
      <c r="G11" s="1216"/>
      <c r="H11" s="1217"/>
      <c r="I11" s="23">
        <f>SUM(I5:I10)</f>
        <v>775261.5</v>
      </c>
      <c r="J11" s="23">
        <f>SUM(J5:J10)</f>
        <v>770011.5</v>
      </c>
      <c r="K11" s="23">
        <f>SUM(K5:K10)</f>
        <v>5250</v>
      </c>
      <c r="L11" s="23"/>
      <c r="M11" s="24">
        <f>775261.5-I11</f>
        <v>0</v>
      </c>
    </row>
    <row r="12" spans="1:13" ht="69.75" x14ac:dyDescent="0.5">
      <c r="A12" s="20">
        <v>7</v>
      </c>
      <c r="B12" s="81" t="s">
        <v>112</v>
      </c>
      <c r="C12" s="1" t="s">
        <v>15</v>
      </c>
      <c r="D12" s="65" t="s">
        <v>302</v>
      </c>
      <c r="E12" s="65" t="s">
        <v>313</v>
      </c>
      <c r="F12" s="64">
        <v>7012793929</v>
      </c>
      <c r="G12" s="21" t="s">
        <v>320</v>
      </c>
      <c r="H12" s="98" t="s">
        <v>321</v>
      </c>
      <c r="I12" s="1">
        <v>2187000</v>
      </c>
      <c r="J12" s="1">
        <v>2187000</v>
      </c>
      <c r="K12" s="22">
        <f>+I12-J12</f>
        <v>0</v>
      </c>
      <c r="L12" s="1">
        <f>+J12*100/I12</f>
        <v>100</v>
      </c>
      <c r="M12" s="71" t="s">
        <v>363</v>
      </c>
    </row>
    <row r="13" spans="1:13" ht="46.5" x14ac:dyDescent="0.5">
      <c r="A13" s="20">
        <v>8</v>
      </c>
      <c r="B13" s="81" t="s">
        <v>112</v>
      </c>
      <c r="C13" s="1" t="s">
        <v>15</v>
      </c>
      <c r="D13" s="65" t="s">
        <v>302</v>
      </c>
      <c r="E13" s="65" t="s">
        <v>313</v>
      </c>
      <c r="F13" s="64">
        <v>7013310974</v>
      </c>
      <c r="G13" s="21" t="s">
        <v>322</v>
      </c>
      <c r="H13" s="201" t="s">
        <v>323</v>
      </c>
      <c r="I13" s="1">
        <v>12733</v>
      </c>
      <c r="J13" s="1">
        <v>12733</v>
      </c>
      <c r="K13" s="22">
        <f t="shared" ref="K13:K33" si="2">+I13-J13</f>
        <v>0</v>
      </c>
      <c r="L13" s="1">
        <f t="shared" ref="L13:L34" si="3">+J13*100/I13</f>
        <v>100</v>
      </c>
      <c r="M13" s="71" t="s">
        <v>363</v>
      </c>
    </row>
    <row r="14" spans="1:13" ht="93" x14ac:dyDescent="0.5">
      <c r="A14" s="20">
        <v>9</v>
      </c>
      <c r="B14" s="81" t="s">
        <v>112</v>
      </c>
      <c r="C14" s="1" t="s">
        <v>15</v>
      </c>
      <c r="D14" s="65" t="s">
        <v>302</v>
      </c>
      <c r="E14" s="65" t="s">
        <v>313</v>
      </c>
      <c r="F14" s="64">
        <v>7013310974</v>
      </c>
      <c r="G14" s="21" t="s">
        <v>324</v>
      </c>
      <c r="H14" s="202" t="s">
        <v>325</v>
      </c>
      <c r="I14" s="1">
        <v>110103</v>
      </c>
      <c r="J14" s="1">
        <v>110103</v>
      </c>
      <c r="K14" s="22">
        <f t="shared" si="2"/>
        <v>0</v>
      </c>
      <c r="L14" s="1">
        <f t="shared" si="3"/>
        <v>100</v>
      </c>
      <c r="M14" s="71" t="s">
        <v>363</v>
      </c>
    </row>
    <row r="15" spans="1:13" ht="46.5" x14ac:dyDescent="0.5">
      <c r="A15" s="20">
        <v>10</v>
      </c>
      <c r="B15" s="81" t="s">
        <v>112</v>
      </c>
      <c r="C15" s="1" t="s">
        <v>15</v>
      </c>
      <c r="D15" s="65" t="s">
        <v>302</v>
      </c>
      <c r="E15" s="65" t="s">
        <v>313</v>
      </c>
      <c r="F15" s="64">
        <v>7013310974</v>
      </c>
      <c r="G15" s="203" t="s">
        <v>326</v>
      </c>
      <c r="H15" s="202" t="s">
        <v>327</v>
      </c>
      <c r="I15" s="1">
        <v>165529</v>
      </c>
      <c r="J15" s="1">
        <v>165529</v>
      </c>
      <c r="K15" s="22">
        <f t="shared" si="2"/>
        <v>0</v>
      </c>
      <c r="L15" s="1">
        <f t="shared" si="3"/>
        <v>100</v>
      </c>
      <c r="M15" s="71" t="s">
        <v>363</v>
      </c>
    </row>
    <row r="16" spans="1:13" ht="23.25" x14ac:dyDescent="0.5">
      <c r="A16" s="20">
        <v>11</v>
      </c>
      <c r="B16" s="81" t="s">
        <v>112</v>
      </c>
      <c r="C16" s="1" t="s">
        <v>15</v>
      </c>
      <c r="D16" s="65" t="s">
        <v>302</v>
      </c>
      <c r="E16" s="65" t="s">
        <v>313</v>
      </c>
      <c r="F16" s="64">
        <v>7013310974</v>
      </c>
      <c r="G16" s="203" t="s">
        <v>328</v>
      </c>
      <c r="H16" s="202" t="s">
        <v>329</v>
      </c>
      <c r="I16" s="1">
        <v>41409</v>
      </c>
      <c r="J16" s="1">
        <v>41409</v>
      </c>
      <c r="K16" s="22">
        <f t="shared" si="2"/>
        <v>0</v>
      </c>
      <c r="L16" s="1">
        <f t="shared" si="3"/>
        <v>100</v>
      </c>
      <c r="M16" s="71" t="s">
        <v>363</v>
      </c>
    </row>
    <row r="17" spans="1:13" ht="46.5" x14ac:dyDescent="0.5">
      <c r="A17" s="20">
        <v>12</v>
      </c>
      <c r="B17" s="81" t="s">
        <v>112</v>
      </c>
      <c r="C17" s="1" t="s">
        <v>15</v>
      </c>
      <c r="D17" s="65" t="s">
        <v>302</v>
      </c>
      <c r="E17" s="65" t="s">
        <v>313</v>
      </c>
      <c r="F17" s="64">
        <v>7013310974</v>
      </c>
      <c r="G17" s="203" t="s">
        <v>330</v>
      </c>
      <c r="H17" s="202" t="s">
        <v>331</v>
      </c>
      <c r="I17" s="1">
        <v>17013</v>
      </c>
      <c r="J17" s="1">
        <v>17013</v>
      </c>
      <c r="K17" s="22">
        <f t="shared" si="2"/>
        <v>0</v>
      </c>
      <c r="L17" s="1">
        <f t="shared" si="3"/>
        <v>100</v>
      </c>
      <c r="M17" s="71" t="s">
        <v>363</v>
      </c>
    </row>
    <row r="18" spans="1:13" ht="23.25" x14ac:dyDescent="0.5">
      <c r="A18" s="20">
        <v>13</v>
      </c>
      <c r="B18" s="81" t="s">
        <v>112</v>
      </c>
      <c r="C18" s="1" t="s">
        <v>15</v>
      </c>
      <c r="D18" s="65" t="s">
        <v>302</v>
      </c>
      <c r="E18" s="65" t="s">
        <v>313</v>
      </c>
      <c r="F18" s="64">
        <v>7013611158</v>
      </c>
      <c r="G18" s="203" t="s">
        <v>332</v>
      </c>
      <c r="H18" s="202" t="s">
        <v>333</v>
      </c>
      <c r="I18" s="1">
        <v>19980</v>
      </c>
      <c r="J18" s="1">
        <v>19980</v>
      </c>
      <c r="K18" s="22">
        <f t="shared" si="2"/>
        <v>0</v>
      </c>
      <c r="L18" s="1">
        <f t="shared" si="3"/>
        <v>100</v>
      </c>
      <c r="M18" s="71" t="s">
        <v>363</v>
      </c>
    </row>
    <row r="19" spans="1:13" ht="46.5" x14ac:dyDescent="0.5">
      <c r="A19" s="20">
        <v>14</v>
      </c>
      <c r="B19" s="81" t="s">
        <v>112</v>
      </c>
      <c r="C19" s="1" t="s">
        <v>15</v>
      </c>
      <c r="D19" s="65" t="s">
        <v>302</v>
      </c>
      <c r="E19" s="65" t="s">
        <v>313</v>
      </c>
      <c r="F19" s="64">
        <v>7013611158</v>
      </c>
      <c r="G19" s="203" t="s">
        <v>334</v>
      </c>
      <c r="H19" s="202" t="s">
        <v>335</v>
      </c>
      <c r="I19" s="1">
        <v>68000</v>
      </c>
      <c r="J19" s="1">
        <v>68000</v>
      </c>
      <c r="K19" s="22">
        <f t="shared" si="2"/>
        <v>0</v>
      </c>
      <c r="L19" s="1">
        <f t="shared" si="3"/>
        <v>100</v>
      </c>
      <c r="M19" s="71" t="s">
        <v>363</v>
      </c>
    </row>
    <row r="20" spans="1:13" ht="46.5" x14ac:dyDescent="0.5">
      <c r="A20" s="20">
        <v>15</v>
      </c>
      <c r="B20" s="81" t="s">
        <v>112</v>
      </c>
      <c r="C20" s="1" t="s">
        <v>15</v>
      </c>
      <c r="D20" s="65" t="s">
        <v>302</v>
      </c>
      <c r="E20" s="65" t="s">
        <v>313</v>
      </c>
      <c r="F20" s="64">
        <v>7013620086</v>
      </c>
      <c r="G20" s="203" t="s">
        <v>336</v>
      </c>
      <c r="H20" s="201" t="s">
        <v>337</v>
      </c>
      <c r="I20" s="1">
        <v>4066</v>
      </c>
      <c r="J20" s="1">
        <v>4066</v>
      </c>
      <c r="K20" s="22">
        <f t="shared" si="2"/>
        <v>0</v>
      </c>
      <c r="L20" s="1">
        <f t="shared" si="3"/>
        <v>100</v>
      </c>
      <c r="M20" s="71" t="s">
        <v>363</v>
      </c>
    </row>
    <row r="21" spans="1:13" ht="23.25" x14ac:dyDescent="0.5">
      <c r="A21" s="20">
        <v>16</v>
      </c>
      <c r="B21" s="81" t="s">
        <v>112</v>
      </c>
      <c r="C21" s="1" t="s">
        <v>15</v>
      </c>
      <c r="D21" s="65" t="s">
        <v>302</v>
      </c>
      <c r="E21" s="65" t="s">
        <v>313</v>
      </c>
      <c r="F21" s="64">
        <v>7013620086</v>
      </c>
      <c r="G21" s="203" t="s">
        <v>338</v>
      </c>
      <c r="H21" s="204" t="s">
        <v>339</v>
      </c>
      <c r="I21" s="1">
        <v>158039</v>
      </c>
      <c r="J21" s="1">
        <v>158039</v>
      </c>
      <c r="K21" s="22">
        <f t="shared" si="2"/>
        <v>0</v>
      </c>
      <c r="L21" s="1">
        <f t="shared" si="3"/>
        <v>100</v>
      </c>
      <c r="M21" s="71" t="s">
        <v>363</v>
      </c>
    </row>
    <row r="22" spans="1:13" ht="46.5" x14ac:dyDescent="0.5">
      <c r="A22" s="20">
        <v>17</v>
      </c>
      <c r="B22" s="81" t="s">
        <v>112</v>
      </c>
      <c r="C22" s="1" t="s">
        <v>15</v>
      </c>
      <c r="D22" s="65" t="s">
        <v>302</v>
      </c>
      <c r="E22" s="65" t="s">
        <v>313</v>
      </c>
      <c r="F22" s="64">
        <v>7013620086</v>
      </c>
      <c r="G22" s="203" t="s">
        <v>340</v>
      </c>
      <c r="H22" s="202" t="s">
        <v>341</v>
      </c>
      <c r="I22" s="1">
        <v>40660</v>
      </c>
      <c r="J22" s="1">
        <v>40660</v>
      </c>
      <c r="K22" s="22">
        <f t="shared" si="2"/>
        <v>0</v>
      </c>
      <c r="L22" s="1">
        <f t="shared" si="3"/>
        <v>100</v>
      </c>
      <c r="M22" s="71" t="s">
        <v>363</v>
      </c>
    </row>
    <row r="23" spans="1:13" ht="23.25" x14ac:dyDescent="0.5">
      <c r="A23" s="20">
        <v>18</v>
      </c>
      <c r="B23" s="81" t="s">
        <v>112</v>
      </c>
      <c r="C23" s="1" t="s">
        <v>15</v>
      </c>
      <c r="D23" s="65" t="s">
        <v>302</v>
      </c>
      <c r="E23" s="65" t="s">
        <v>313</v>
      </c>
      <c r="F23" s="64">
        <v>7013620086</v>
      </c>
      <c r="G23" s="203" t="s">
        <v>342</v>
      </c>
      <c r="H23" s="202" t="s">
        <v>343</v>
      </c>
      <c r="I23" s="1">
        <v>19260</v>
      </c>
      <c r="J23" s="1">
        <v>19260</v>
      </c>
      <c r="K23" s="22">
        <f t="shared" si="2"/>
        <v>0</v>
      </c>
      <c r="L23" s="1">
        <f t="shared" si="3"/>
        <v>100</v>
      </c>
      <c r="M23" s="71" t="s">
        <v>363</v>
      </c>
    </row>
    <row r="24" spans="1:13" ht="23.25" x14ac:dyDescent="0.5">
      <c r="A24" s="20">
        <v>19</v>
      </c>
      <c r="B24" s="81" t="s">
        <v>112</v>
      </c>
      <c r="C24" s="1" t="s">
        <v>15</v>
      </c>
      <c r="D24" s="65" t="s">
        <v>302</v>
      </c>
      <c r="E24" s="65" t="s">
        <v>313</v>
      </c>
      <c r="F24" s="64">
        <v>7013620907</v>
      </c>
      <c r="G24" s="203" t="s">
        <v>344</v>
      </c>
      <c r="H24" s="201" t="s">
        <v>345</v>
      </c>
      <c r="I24" s="1">
        <v>9832.23</v>
      </c>
      <c r="J24" s="1">
        <v>9832.23</v>
      </c>
      <c r="K24" s="22">
        <f t="shared" si="2"/>
        <v>0</v>
      </c>
      <c r="L24" s="1">
        <f t="shared" si="3"/>
        <v>100</v>
      </c>
      <c r="M24" s="71" t="s">
        <v>363</v>
      </c>
    </row>
    <row r="25" spans="1:13" ht="23.25" x14ac:dyDescent="0.5">
      <c r="A25" s="20">
        <v>20</v>
      </c>
      <c r="B25" s="81" t="s">
        <v>112</v>
      </c>
      <c r="C25" s="1" t="s">
        <v>15</v>
      </c>
      <c r="D25" s="65" t="s">
        <v>302</v>
      </c>
      <c r="E25" s="65" t="s">
        <v>313</v>
      </c>
      <c r="F25" s="64">
        <v>7013620907</v>
      </c>
      <c r="G25" s="203" t="s">
        <v>346</v>
      </c>
      <c r="H25" s="202" t="s">
        <v>347</v>
      </c>
      <c r="I25" s="1">
        <v>186812.37</v>
      </c>
      <c r="J25" s="1">
        <v>186812.37</v>
      </c>
      <c r="K25" s="22">
        <f t="shared" si="2"/>
        <v>0</v>
      </c>
      <c r="L25" s="1">
        <f t="shared" si="3"/>
        <v>100</v>
      </c>
      <c r="M25" s="71" t="s">
        <v>363</v>
      </c>
    </row>
    <row r="26" spans="1:13" ht="23.25" x14ac:dyDescent="0.5">
      <c r="A26" s="20">
        <v>21</v>
      </c>
      <c r="B26" s="81" t="s">
        <v>112</v>
      </c>
      <c r="C26" s="1" t="s">
        <v>15</v>
      </c>
      <c r="D26" s="65" t="s">
        <v>302</v>
      </c>
      <c r="E26" s="65" t="s">
        <v>313</v>
      </c>
      <c r="F26" s="64">
        <v>7013632852</v>
      </c>
      <c r="G26" s="203" t="s">
        <v>348</v>
      </c>
      <c r="H26" s="202" t="s">
        <v>349</v>
      </c>
      <c r="I26" s="1">
        <v>481000</v>
      </c>
      <c r="J26" s="1">
        <v>481000</v>
      </c>
      <c r="K26" s="22">
        <f t="shared" si="2"/>
        <v>0</v>
      </c>
      <c r="L26" s="1">
        <f t="shared" si="3"/>
        <v>100</v>
      </c>
      <c r="M26" s="71" t="s">
        <v>363</v>
      </c>
    </row>
    <row r="27" spans="1:13" s="200" customFormat="1" ht="30.75" customHeight="1" x14ac:dyDescent="0.55000000000000004">
      <c r="A27" s="1215" t="s">
        <v>350</v>
      </c>
      <c r="B27" s="1216"/>
      <c r="C27" s="1216"/>
      <c r="D27" s="1216"/>
      <c r="E27" s="1216"/>
      <c r="F27" s="1216"/>
      <c r="G27" s="1216"/>
      <c r="H27" s="1217"/>
      <c r="I27" s="23">
        <f>SUM(I12:I26)</f>
        <v>3521436.6</v>
      </c>
      <c r="J27" s="23">
        <f>SUM(J12:J26)</f>
        <v>3521436.6</v>
      </c>
      <c r="K27" s="23">
        <f>SUM(K12:K26)</f>
        <v>0</v>
      </c>
      <c r="L27" s="23">
        <f t="shared" si="3"/>
        <v>100</v>
      </c>
      <c r="M27" s="24"/>
    </row>
    <row r="28" spans="1:13" ht="69.75" x14ac:dyDescent="0.5">
      <c r="A28" s="20">
        <v>22</v>
      </c>
      <c r="B28" s="81" t="s">
        <v>112</v>
      </c>
      <c r="C28" s="1" t="s">
        <v>15</v>
      </c>
      <c r="D28" s="65" t="s">
        <v>302</v>
      </c>
      <c r="E28" s="65" t="s">
        <v>313</v>
      </c>
      <c r="F28" s="64">
        <v>2000349008</v>
      </c>
      <c r="G28" s="21" t="s">
        <v>351</v>
      </c>
      <c r="H28" s="94" t="s">
        <v>310</v>
      </c>
      <c r="I28" s="1">
        <v>6165920</v>
      </c>
      <c r="J28" s="1">
        <f>+I28-128007</f>
        <v>6037913</v>
      </c>
      <c r="K28" s="22">
        <f t="shared" si="2"/>
        <v>128007</v>
      </c>
      <c r="L28" s="1">
        <f t="shared" si="3"/>
        <v>97.923959441575633</v>
      </c>
      <c r="M28" s="99" t="s">
        <v>499</v>
      </c>
    </row>
    <row r="29" spans="1:13" ht="46.5" x14ac:dyDescent="0.5">
      <c r="A29" s="20">
        <v>23</v>
      </c>
      <c r="B29" s="81" t="s">
        <v>112</v>
      </c>
      <c r="C29" s="1" t="s">
        <v>15</v>
      </c>
      <c r="D29" s="65" t="s">
        <v>302</v>
      </c>
      <c r="E29" s="65" t="s">
        <v>313</v>
      </c>
      <c r="F29" s="64">
        <v>2000381536</v>
      </c>
      <c r="G29" s="21" t="s">
        <v>352</v>
      </c>
      <c r="H29" s="315" t="s">
        <v>307</v>
      </c>
      <c r="I29" s="313">
        <v>12769378</v>
      </c>
      <c r="J29" s="313">
        <f>12769378-1917017.69</f>
        <v>10852360.310000001</v>
      </c>
      <c r="K29" s="312">
        <f>+I29-J29</f>
        <v>1917017.6899999995</v>
      </c>
      <c r="L29" s="313">
        <f>+J29*100/I29</f>
        <v>84.987383958717487</v>
      </c>
      <c r="M29" s="314" t="s">
        <v>498</v>
      </c>
    </row>
    <row r="30" spans="1:13" ht="46.5" x14ac:dyDescent="0.5">
      <c r="A30" s="20">
        <v>24</v>
      </c>
      <c r="B30" s="81" t="s">
        <v>112</v>
      </c>
      <c r="C30" s="1" t="s">
        <v>15</v>
      </c>
      <c r="D30" s="65" t="s">
        <v>302</v>
      </c>
      <c r="E30" s="65" t="s">
        <v>313</v>
      </c>
      <c r="F30" s="64">
        <v>2000384794</v>
      </c>
      <c r="G30" s="21" t="s">
        <v>353</v>
      </c>
      <c r="H30" s="315" t="s">
        <v>308</v>
      </c>
      <c r="I30" s="313">
        <v>15503800</v>
      </c>
      <c r="J30" s="313">
        <f>15503800-8051800</f>
        <v>7452000</v>
      </c>
      <c r="K30" s="312">
        <f t="shared" si="2"/>
        <v>8051800</v>
      </c>
      <c r="L30" s="313">
        <f t="shared" si="3"/>
        <v>48.065635521614055</v>
      </c>
      <c r="M30" s="314" t="s">
        <v>498</v>
      </c>
    </row>
    <row r="31" spans="1:13" ht="46.5" x14ac:dyDescent="0.5">
      <c r="A31" s="20">
        <v>25</v>
      </c>
      <c r="B31" s="81" t="s">
        <v>112</v>
      </c>
      <c r="C31" s="1" t="s">
        <v>15</v>
      </c>
      <c r="D31" s="65" t="s">
        <v>302</v>
      </c>
      <c r="E31" s="65" t="s">
        <v>313</v>
      </c>
      <c r="F31" s="64">
        <v>2000349047</v>
      </c>
      <c r="G31" s="21" t="s">
        <v>354</v>
      </c>
      <c r="H31" s="94" t="s">
        <v>309</v>
      </c>
      <c r="I31" s="1">
        <v>9373500</v>
      </c>
      <c r="J31" s="1">
        <v>9373500</v>
      </c>
      <c r="K31" s="22">
        <f t="shared" si="2"/>
        <v>0</v>
      </c>
      <c r="L31" s="1">
        <f t="shared" si="3"/>
        <v>100</v>
      </c>
      <c r="M31" s="71" t="s">
        <v>363</v>
      </c>
    </row>
    <row r="32" spans="1:13" ht="46.5" x14ac:dyDescent="0.5">
      <c r="A32" s="20">
        <v>26</v>
      </c>
      <c r="B32" s="81" t="s">
        <v>112</v>
      </c>
      <c r="C32" s="1" t="s">
        <v>15</v>
      </c>
      <c r="D32" s="65" t="s">
        <v>302</v>
      </c>
      <c r="E32" s="65" t="s">
        <v>313</v>
      </c>
      <c r="F32" s="64">
        <v>2000386727</v>
      </c>
      <c r="G32" s="21" t="s">
        <v>355</v>
      </c>
      <c r="H32" s="94" t="s">
        <v>356</v>
      </c>
      <c r="I32" s="1">
        <v>7200000</v>
      </c>
      <c r="J32" s="1">
        <v>7200000</v>
      </c>
      <c r="K32" s="22">
        <f>+I32-J32</f>
        <v>0</v>
      </c>
      <c r="L32" s="1">
        <f t="shared" si="3"/>
        <v>100</v>
      </c>
      <c r="M32" s="71" t="s">
        <v>363</v>
      </c>
    </row>
    <row r="33" spans="1:13" ht="46.5" x14ac:dyDescent="0.5">
      <c r="A33" s="20">
        <v>27</v>
      </c>
      <c r="B33" s="81" t="s">
        <v>112</v>
      </c>
      <c r="C33" s="1" t="s">
        <v>15</v>
      </c>
      <c r="D33" s="65" t="s">
        <v>302</v>
      </c>
      <c r="E33" s="65" t="s">
        <v>313</v>
      </c>
      <c r="F33" s="64">
        <v>2000368090</v>
      </c>
      <c r="G33" s="21" t="s">
        <v>357</v>
      </c>
      <c r="H33" s="161" t="s">
        <v>248</v>
      </c>
      <c r="I33" s="1">
        <v>31411176</v>
      </c>
      <c r="J33" s="1">
        <v>31411176</v>
      </c>
      <c r="K33" s="22">
        <f t="shared" si="2"/>
        <v>0</v>
      </c>
      <c r="L33" s="1">
        <f t="shared" si="3"/>
        <v>100</v>
      </c>
      <c r="M33" s="71" t="s">
        <v>363</v>
      </c>
    </row>
    <row r="34" spans="1:13" s="200" customFormat="1" ht="26.25" x14ac:dyDescent="0.55000000000000004">
      <c r="A34" s="1215" t="s">
        <v>358</v>
      </c>
      <c r="B34" s="1216"/>
      <c r="C34" s="1216"/>
      <c r="D34" s="1216"/>
      <c r="E34" s="1216"/>
      <c r="F34" s="1216"/>
      <c r="G34" s="1216"/>
      <c r="H34" s="1217"/>
      <c r="I34" s="23">
        <f>SUM(I28:I33)</f>
        <v>82423774</v>
      </c>
      <c r="J34" s="23">
        <f>SUM(J28:J33)</f>
        <v>72326949.310000002</v>
      </c>
      <c r="K34" s="23">
        <f>SUM(K28:K33)</f>
        <v>10096824.689999999</v>
      </c>
      <c r="L34" s="23">
        <f t="shared" si="3"/>
        <v>87.750106310346823</v>
      </c>
      <c r="M34" s="24"/>
    </row>
    <row r="35" spans="1:13" s="200" customFormat="1" ht="26.25" x14ac:dyDescent="0.55000000000000004">
      <c r="A35" s="1215" t="s">
        <v>104</v>
      </c>
      <c r="B35" s="1216"/>
      <c r="C35" s="1216"/>
      <c r="D35" s="1216"/>
      <c r="E35" s="1216"/>
      <c r="F35" s="1216"/>
      <c r="G35" s="1216"/>
      <c r="H35" s="1217"/>
      <c r="I35" s="23">
        <f>+I27+I34</f>
        <v>85945210.599999994</v>
      </c>
      <c r="J35" s="23">
        <f>+J27+J34</f>
        <v>75848385.909999996</v>
      </c>
      <c r="K35" s="23">
        <f>+K27+K34</f>
        <v>10096824.689999999</v>
      </c>
      <c r="L35" s="23">
        <f t="shared" ref="L35:L40" si="4">+J35*100/I35</f>
        <v>88.252021701369827</v>
      </c>
      <c r="M35" s="24"/>
    </row>
    <row r="36" spans="1:13" ht="23.25" x14ac:dyDescent="0.5">
      <c r="A36" s="20">
        <v>28</v>
      </c>
      <c r="B36" s="69" t="s">
        <v>112</v>
      </c>
      <c r="C36" s="1" t="s">
        <v>311</v>
      </c>
      <c r="D36" s="65" t="s">
        <v>302</v>
      </c>
      <c r="E36" s="65" t="s">
        <v>313</v>
      </c>
      <c r="F36" s="64">
        <v>7013609237</v>
      </c>
      <c r="G36" s="21" t="s">
        <v>245</v>
      </c>
      <c r="H36" s="93" t="s">
        <v>359</v>
      </c>
      <c r="I36" s="1">
        <v>120000</v>
      </c>
      <c r="J36" s="1">
        <v>120000</v>
      </c>
      <c r="K36" s="22">
        <f>+I36-J36</f>
        <v>0</v>
      </c>
      <c r="L36" s="1">
        <f t="shared" si="4"/>
        <v>100</v>
      </c>
      <c r="M36" s="71" t="s">
        <v>363</v>
      </c>
    </row>
    <row r="37" spans="1:13" ht="23.25" x14ac:dyDescent="0.5">
      <c r="A37" s="20">
        <v>29</v>
      </c>
      <c r="B37" s="69" t="s">
        <v>112</v>
      </c>
      <c r="C37" s="1" t="s">
        <v>311</v>
      </c>
      <c r="D37" s="65" t="s">
        <v>302</v>
      </c>
      <c r="E37" s="65" t="s">
        <v>313</v>
      </c>
      <c r="F37" s="64">
        <v>7013674128</v>
      </c>
      <c r="G37" s="21" t="s">
        <v>246</v>
      </c>
      <c r="H37" s="93" t="s">
        <v>360</v>
      </c>
      <c r="I37" s="1">
        <f>113720+682320+227440+113720</f>
        <v>1137200</v>
      </c>
      <c r="J37" s="1">
        <v>1137200</v>
      </c>
      <c r="K37" s="22">
        <f>+I37-J37</f>
        <v>0</v>
      </c>
      <c r="L37" s="1">
        <f t="shared" si="4"/>
        <v>100</v>
      </c>
      <c r="M37" s="71" t="s">
        <v>363</v>
      </c>
    </row>
    <row r="38" spans="1:13" ht="23.25" x14ac:dyDescent="0.5">
      <c r="A38" s="20">
        <v>30</v>
      </c>
      <c r="B38" s="69" t="s">
        <v>112</v>
      </c>
      <c r="C38" s="1" t="s">
        <v>311</v>
      </c>
      <c r="D38" s="65" t="s">
        <v>302</v>
      </c>
      <c r="E38" s="65" t="s">
        <v>313</v>
      </c>
      <c r="F38" s="64">
        <v>7013201627</v>
      </c>
      <c r="G38" s="21" t="s">
        <v>247</v>
      </c>
      <c r="H38" s="93" t="s">
        <v>361</v>
      </c>
      <c r="I38" s="1">
        <f>160000+96000</f>
        <v>256000</v>
      </c>
      <c r="J38" s="1">
        <v>256000</v>
      </c>
      <c r="K38" s="22">
        <f>+I38-J38</f>
        <v>0</v>
      </c>
      <c r="L38" s="1">
        <f t="shared" si="4"/>
        <v>100</v>
      </c>
      <c r="M38" s="71" t="s">
        <v>363</v>
      </c>
    </row>
    <row r="39" spans="1:13" s="200" customFormat="1" ht="26.25" x14ac:dyDescent="0.55000000000000004">
      <c r="A39" s="1209" t="s">
        <v>362</v>
      </c>
      <c r="B39" s="1210"/>
      <c r="C39" s="1210"/>
      <c r="D39" s="1210"/>
      <c r="E39" s="1210"/>
      <c r="F39" s="1210"/>
      <c r="G39" s="1210"/>
      <c r="H39" s="1211"/>
      <c r="I39" s="23">
        <f>SUM(I36:I38)</f>
        <v>1513200</v>
      </c>
      <c r="J39" s="23">
        <f>SUM(J36:J38)</f>
        <v>1513200</v>
      </c>
      <c r="K39" s="23">
        <f>SUM(K36:K38)</f>
        <v>0</v>
      </c>
      <c r="L39" s="23">
        <f t="shared" si="4"/>
        <v>100</v>
      </c>
      <c r="M39" s="24"/>
    </row>
    <row r="40" spans="1:13" s="80" customFormat="1" ht="31.5" x14ac:dyDescent="0.65">
      <c r="A40" s="1212" t="s">
        <v>495</v>
      </c>
      <c r="B40" s="1213"/>
      <c r="C40" s="1213"/>
      <c r="D40" s="1213"/>
      <c r="E40" s="1213"/>
      <c r="F40" s="1213"/>
      <c r="G40" s="1213"/>
      <c r="H40" s="1214"/>
      <c r="I40" s="77">
        <f>+I11+I35+I39</f>
        <v>88233672.099999994</v>
      </c>
      <c r="J40" s="77">
        <f>+J11+J35+J39</f>
        <v>78131597.409999996</v>
      </c>
      <c r="K40" s="77">
        <f>+K11+K35+K39</f>
        <v>10102074.689999999</v>
      </c>
      <c r="L40" s="78">
        <f t="shared" si="4"/>
        <v>88.550771548359947</v>
      </c>
      <c r="M40" s="79"/>
    </row>
    <row r="42" spans="1:13" ht="36" hidden="1" customHeight="1" x14ac:dyDescent="0.5">
      <c r="K42" s="72">
        <v>12469732.42</v>
      </c>
    </row>
    <row r="43" spans="1:13" ht="36" hidden="1" customHeight="1" x14ac:dyDescent="0.5">
      <c r="K43" s="72">
        <v>8051800</v>
      </c>
    </row>
    <row r="44" spans="1:13" ht="36" hidden="1" customHeight="1" x14ac:dyDescent="0.5">
      <c r="K44" s="72">
        <v>4375695.79</v>
      </c>
    </row>
    <row r="45" spans="1:13" ht="36" hidden="1" customHeight="1" x14ac:dyDescent="0.5">
      <c r="K45" s="72">
        <v>2948214</v>
      </c>
    </row>
    <row r="46" spans="1:13" ht="36" hidden="1" customHeight="1" x14ac:dyDescent="0.5"/>
    <row r="47" spans="1:13" ht="36" hidden="1" customHeight="1" x14ac:dyDescent="0.5"/>
    <row r="48" spans="1:13" ht="36" hidden="1" customHeight="1" x14ac:dyDescent="0.5"/>
    <row r="49" ht="36" hidden="1" customHeight="1" x14ac:dyDescent="0.5"/>
    <row r="50" ht="36" hidden="1" customHeight="1" x14ac:dyDescent="0.5"/>
    <row r="51" ht="36" hidden="1" customHeight="1" x14ac:dyDescent="0.5"/>
    <row r="52" ht="36" hidden="1" customHeight="1" x14ac:dyDescent="0.5"/>
  </sheetData>
  <mergeCells count="9">
    <mergeCell ref="A1:M1"/>
    <mergeCell ref="A2:M2"/>
    <mergeCell ref="A3:M3"/>
    <mergeCell ref="A39:H39"/>
    <mergeCell ref="A40:H40"/>
    <mergeCell ref="A11:H11"/>
    <mergeCell ref="A27:H27"/>
    <mergeCell ref="A35:H35"/>
    <mergeCell ref="A34:H34"/>
  </mergeCells>
  <pageMargins left="0" right="0.23622047244094499" top="0.511811023622047" bottom="0.47244094488188998" header="0.31496062992126" footer="0.15748031496063"/>
  <pageSetup paperSize="9" scale="64" orientation="landscape" r:id="rId1"/>
  <headerFooter scaleWithDoc="0" alignWithMargins="0">
    <oddFooter>&amp;Lกลุ่มบริหารงานบัญชีและงบประมาณ&amp;Rหน้าที่ &amp;P จาก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V391"/>
  <sheetViews>
    <sheetView topLeftCell="A22" zoomScaleNormal="100" workbookViewId="0">
      <selection activeCell="A24" sqref="A24:I24"/>
    </sheetView>
  </sheetViews>
  <sheetFormatPr defaultRowHeight="24" x14ac:dyDescent="0.5"/>
  <cols>
    <col min="1" max="1" width="15.5703125" style="84" customWidth="1"/>
    <col min="2" max="2" width="21.42578125" style="84" customWidth="1"/>
    <col min="3" max="3" width="21.28515625" style="84" customWidth="1"/>
    <col min="4" max="4" width="18.85546875" style="91" bestFit="1" customWidth="1"/>
    <col min="5" max="5" width="21.140625" style="84" customWidth="1"/>
    <col min="6" max="6" width="18.85546875" style="84" customWidth="1"/>
    <col min="7" max="7" width="19.85546875" style="84" bestFit="1" customWidth="1"/>
    <col min="8" max="8" width="20.140625" style="84" customWidth="1"/>
    <col min="9" max="9" width="15.85546875" style="84" customWidth="1"/>
    <col min="10" max="12" width="0" style="83" hidden="1" customWidth="1"/>
    <col min="13" max="13" width="14.140625" style="83" hidden="1" customWidth="1"/>
    <col min="14" max="17" width="0" style="83" hidden="1" customWidth="1"/>
    <col min="18" max="48" width="0" style="84" hidden="1" customWidth="1"/>
    <col min="49" max="16384" width="9.140625" style="84"/>
  </cols>
  <sheetData>
    <row r="1" spans="1:22" ht="29.25" customHeight="1" x14ac:dyDescent="0.5">
      <c r="A1" s="1195" t="s">
        <v>57</v>
      </c>
      <c r="B1" s="1195"/>
      <c r="C1" s="1195"/>
      <c r="D1" s="1195"/>
      <c r="E1" s="1195"/>
      <c r="F1" s="1195"/>
      <c r="G1" s="1195"/>
      <c r="H1" s="1195"/>
      <c r="I1" s="1195"/>
    </row>
    <row r="2" spans="1:22" ht="29.25" customHeight="1" x14ac:dyDescent="0.5">
      <c r="A2" s="1195" t="s">
        <v>372</v>
      </c>
      <c r="B2" s="1195"/>
      <c r="C2" s="1195"/>
      <c r="D2" s="1195"/>
      <c r="E2" s="1195"/>
      <c r="F2" s="1195"/>
      <c r="G2" s="1195"/>
      <c r="H2" s="1195"/>
      <c r="I2" s="1195"/>
    </row>
    <row r="3" spans="1:22" ht="29.25" customHeight="1" x14ac:dyDescent="0.5">
      <c r="A3" s="1231" t="str">
        <f>+รายจ่ายจริง!A3:P3</f>
        <v>ตั้งแต่วันที่ 1  ตุลาคม 2564 ถึงวันที่ 31 ตุลาคม 2564</v>
      </c>
      <c r="B3" s="1231"/>
      <c r="C3" s="1195"/>
      <c r="D3" s="1195"/>
      <c r="E3" s="1195"/>
      <c r="F3" s="1195"/>
      <c r="G3" s="1195"/>
      <c r="H3" s="1195"/>
      <c r="I3" s="1195"/>
    </row>
    <row r="4" spans="1:22" s="114" customFormat="1" ht="27.75" hidden="1" x14ac:dyDescent="0.5">
      <c r="A4" s="1220" t="s">
        <v>257</v>
      </c>
      <c r="B4" s="1220"/>
      <c r="C4" s="1220"/>
      <c r="D4" s="1220"/>
      <c r="E4" s="1220"/>
      <c r="F4" s="1220"/>
      <c r="G4" s="1220"/>
      <c r="H4" s="1220"/>
      <c r="I4" s="1220"/>
      <c r="J4" s="113"/>
      <c r="K4" s="113"/>
      <c r="L4" s="113"/>
      <c r="M4" s="113"/>
      <c r="N4" s="113"/>
      <c r="O4" s="113"/>
      <c r="P4" s="113"/>
      <c r="Q4" s="113"/>
    </row>
    <row r="5" spans="1:22" s="86" customFormat="1" ht="29.25" customHeight="1" x14ac:dyDescent="0.5">
      <c r="A5" s="181" t="s">
        <v>210</v>
      </c>
      <c r="B5" s="238" t="s">
        <v>391</v>
      </c>
      <c r="C5" s="226" t="s">
        <v>381</v>
      </c>
      <c r="D5" s="182" t="s">
        <v>211</v>
      </c>
      <c r="E5" s="182" t="s">
        <v>209</v>
      </c>
      <c r="F5" s="182" t="s">
        <v>166</v>
      </c>
      <c r="G5" s="182" t="s">
        <v>17</v>
      </c>
      <c r="H5" s="182" t="s">
        <v>60</v>
      </c>
      <c r="I5" s="182" t="s">
        <v>66</v>
      </c>
      <c r="J5" s="85"/>
      <c r="K5" s="85"/>
      <c r="L5" s="85"/>
      <c r="M5" s="85"/>
      <c r="N5" s="85"/>
      <c r="O5" s="85"/>
      <c r="P5" s="85"/>
      <c r="Q5" s="85"/>
    </row>
    <row r="6" spans="1:22" ht="29.25" customHeight="1" x14ac:dyDescent="0.5">
      <c r="A6" s="133" t="s">
        <v>13</v>
      </c>
      <c r="B6" s="133">
        <v>1401598200</v>
      </c>
      <c r="C6" s="134">
        <f>+รายจ่ายจริง!G79</f>
        <v>1390052000</v>
      </c>
      <c r="D6" s="135">
        <f>+E6-C6</f>
        <v>-695026000</v>
      </c>
      <c r="E6" s="134">
        <f>+รายจ่ายจริง!G80</f>
        <v>695026000</v>
      </c>
      <c r="F6" s="134">
        <f>+รายจ่ายจริง!G81</f>
        <v>0</v>
      </c>
      <c r="G6" s="134">
        <f>+รายจ่ายจริง!G82</f>
        <v>109106629.47</v>
      </c>
      <c r="H6" s="134">
        <f>+E6-F6-G6</f>
        <v>585919370.52999997</v>
      </c>
      <c r="I6" s="136">
        <f>+G6*100/E6</f>
        <v>15.698208336091025</v>
      </c>
    </row>
    <row r="7" spans="1:22" ht="29.25" customHeight="1" x14ac:dyDescent="0.5">
      <c r="A7" s="133" t="s">
        <v>14</v>
      </c>
      <c r="B7" s="133">
        <v>545544900</v>
      </c>
      <c r="C7" s="134">
        <f>+รายจ่ายจริง!J79</f>
        <v>432541700</v>
      </c>
      <c r="D7" s="135">
        <f>+E7-C7</f>
        <v>-216271200</v>
      </c>
      <c r="E7" s="134">
        <f>+รายจ่ายจริง!J80</f>
        <v>216270500</v>
      </c>
      <c r="F7" s="137">
        <f>+รายจ่ายจริง!J81</f>
        <v>11020747.960000001</v>
      </c>
      <c r="G7" s="134">
        <f>+รายจ่ายจริง!J82</f>
        <v>8016568.5899999999</v>
      </c>
      <c r="H7" s="134">
        <f>+E7-F7-G7</f>
        <v>197233183.44999999</v>
      </c>
      <c r="I7" s="136">
        <f>+G7*100/E7</f>
        <v>3.7067323513840305</v>
      </c>
    </row>
    <row r="8" spans="1:22" s="88" customFormat="1" ht="29.25" customHeight="1" x14ac:dyDescent="0.5">
      <c r="A8" s="141" t="s">
        <v>15</v>
      </c>
      <c r="B8" s="138">
        <f t="shared" ref="B8:H8" si="0">SUM(B9:B10)</f>
        <v>212436800</v>
      </c>
      <c r="C8" s="138">
        <f t="shared" si="0"/>
        <v>118294300</v>
      </c>
      <c r="D8" s="138">
        <f t="shared" si="0"/>
        <v>-50070800</v>
      </c>
      <c r="E8" s="138">
        <f>SUM(E9:E10)</f>
        <v>68223500</v>
      </c>
      <c r="F8" s="138">
        <f t="shared" si="0"/>
        <v>7587410</v>
      </c>
      <c r="G8" s="138">
        <f t="shared" si="0"/>
        <v>1322506.5</v>
      </c>
      <c r="H8" s="138">
        <f t="shared" si="0"/>
        <v>59313583.5</v>
      </c>
      <c r="I8" s="142">
        <f>+G8*100/E8</f>
        <v>1.9384911357523433</v>
      </c>
      <c r="J8" s="87"/>
      <c r="K8" s="87"/>
      <c r="L8" s="87"/>
      <c r="M8" s="87"/>
      <c r="N8" s="87"/>
      <c r="O8" s="87"/>
      <c r="P8" s="87"/>
      <c r="Q8" s="87"/>
    </row>
    <row r="9" spans="1:22" ht="29.25" customHeight="1" x14ac:dyDescent="0.5">
      <c r="A9" s="133" t="s">
        <v>212</v>
      </c>
      <c r="B9" s="133">
        <v>28842200</v>
      </c>
      <c r="C9" s="134">
        <f>+รายจ่ายจริง!K79</f>
        <v>19128700</v>
      </c>
      <c r="D9" s="135">
        <f>+E9-C9</f>
        <v>0</v>
      </c>
      <c r="E9" s="134">
        <f>+รายจ่ายจริง!K80</f>
        <v>19128700</v>
      </c>
      <c r="F9" s="134">
        <f>+รายจ่ายจริง!K81</f>
        <v>1351610</v>
      </c>
      <c r="G9" s="134">
        <f>+รายจ่ายจริง!K82</f>
        <v>1322506.5</v>
      </c>
      <c r="H9" s="134">
        <f>+E9-F9-G9</f>
        <v>16454583.5</v>
      </c>
      <c r="I9" s="134">
        <v>0</v>
      </c>
    </row>
    <row r="10" spans="1:22" ht="29.25" customHeight="1" x14ac:dyDescent="0.5">
      <c r="A10" s="139" t="s">
        <v>214</v>
      </c>
      <c r="B10" s="139">
        <v>183594600</v>
      </c>
      <c r="C10" s="134">
        <f>+รายจ่ายจริง!L79</f>
        <v>99165600</v>
      </c>
      <c r="D10" s="135">
        <f>+E10-C10</f>
        <v>-50070800</v>
      </c>
      <c r="E10" s="134">
        <f>+รายจ่ายจริง!L80</f>
        <v>49094800</v>
      </c>
      <c r="F10" s="134">
        <f>+รายจ่ายจริง!L81</f>
        <v>6235800</v>
      </c>
      <c r="G10" s="134">
        <f>+รายจ่ายจริง!L82</f>
        <v>0</v>
      </c>
      <c r="H10" s="134">
        <f>+E10-F10-G10</f>
        <v>42859000</v>
      </c>
      <c r="I10" s="136">
        <f>+G10*100/E10</f>
        <v>0</v>
      </c>
      <c r="V10" s="84" t="s">
        <v>183</v>
      </c>
    </row>
    <row r="11" spans="1:22" ht="29.25" customHeight="1" x14ac:dyDescent="0.5">
      <c r="A11" s="133" t="s">
        <v>16</v>
      </c>
      <c r="B11" s="133">
        <v>35360100</v>
      </c>
      <c r="C11" s="134">
        <f>+รายจ่ายจริง!O79</f>
        <v>28793900</v>
      </c>
      <c r="D11" s="135">
        <f>+E11-C11</f>
        <v>-14397100</v>
      </c>
      <c r="E11" s="134">
        <f>+รายจ่ายจริง!O80</f>
        <v>14396800</v>
      </c>
      <c r="F11" s="134">
        <f>+รายจ่ายจริง!O81</f>
        <v>0</v>
      </c>
      <c r="G11" s="134">
        <f>+รายจ่ายจริง!O82</f>
        <v>0</v>
      </c>
      <c r="H11" s="134">
        <f>+E11-F11-G11</f>
        <v>14396800</v>
      </c>
      <c r="I11" s="136">
        <f>+G11*100/E11</f>
        <v>0</v>
      </c>
      <c r="M11" s="89"/>
    </row>
    <row r="12" spans="1:22" s="90" customFormat="1" ht="36.75" customHeight="1" x14ac:dyDescent="0.5">
      <c r="A12" s="162" t="s">
        <v>289</v>
      </c>
      <c r="B12" s="140">
        <f t="shared" ref="B12:H12" si="1">+B6+B7+B8+B11</f>
        <v>2194940000</v>
      </c>
      <c r="C12" s="140">
        <f t="shared" si="1"/>
        <v>1969681900</v>
      </c>
      <c r="D12" s="140">
        <f t="shared" si="1"/>
        <v>-975765100</v>
      </c>
      <c r="E12" s="140">
        <f t="shared" si="1"/>
        <v>993916800</v>
      </c>
      <c r="F12" s="140">
        <f t="shared" si="1"/>
        <v>18608157.960000001</v>
      </c>
      <c r="G12" s="140">
        <f t="shared" si="1"/>
        <v>118445704.56</v>
      </c>
      <c r="H12" s="140">
        <f t="shared" si="1"/>
        <v>856862937.48000002</v>
      </c>
      <c r="I12" s="172">
        <f>+G12*100/E12</f>
        <v>11.917064341804062</v>
      </c>
      <c r="J12" s="76"/>
      <c r="K12" s="76"/>
      <c r="L12" s="76"/>
      <c r="M12" s="76"/>
      <c r="N12" s="76"/>
      <c r="O12" s="76"/>
      <c r="P12" s="76"/>
      <c r="Q12" s="76"/>
    </row>
    <row r="13" spans="1:22" s="114" customFormat="1" ht="37.5" hidden="1" customHeight="1" x14ac:dyDescent="0.5">
      <c r="A13" s="1220" t="s">
        <v>251</v>
      </c>
      <c r="B13" s="1220"/>
      <c r="C13" s="1220"/>
      <c r="D13" s="1220"/>
      <c r="E13" s="1220"/>
      <c r="F13" s="1220"/>
      <c r="G13" s="1220"/>
      <c r="H13" s="1220"/>
      <c r="I13" s="1220"/>
      <c r="J13" s="113"/>
      <c r="K13" s="113"/>
      <c r="L13" s="113"/>
      <c r="M13" s="113"/>
      <c r="N13" s="113"/>
      <c r="O13" s="113"/>
      <c r="P13" s="113"/>
      <c r="Q13" s="113"/>
    </row>
    <row r="14" spans="1:22" s="86" customFormat="1" ht="37.5" hidden="1" customHeight="1" x14ac:dyDescent="0.5">
      <c r="A14" s="101" t="s">
        <v>210</v>
      </c>
      <c r="B14" s="101"/>
      <c r="C14" s="102" t="s">
        <v>250</v>
      </c>
      <c r="D14" s="102" t="s">
        <v>211</v>
      </c>
      <c r="E14" s="102" t="s">
        <v>209</v>
      </c>
      <c r="F14" s="102" t="s">
        <v>166</v>
      </c>
      <c r="G14" s="102" t="s">
        <v>17</v>
      </c>
      <c r="H14" s="102" t="s">
        <v>60</v>
      </c>
      <c r="I14" s="102" t="s">
        <v>66</v>
      </c>
      <c r="J14" s="85"/>
      <c r="K14" s="85"/>
      <c r="L14" s="85"/>
      <c r="M14" s="85"/>
      <c r="N14" s="85"/>
      <c r="O14" s="85"/>
      <c r="P14" s="85"/>
      <c r="Q14" s="85"/>
    </row>
    <row r="15" spans="1:22" ht="37.5" hidden="1" customHeight="1" x14ac:dyDescent="0.5">
      <c r="A15" s="103" t="s">
        <v>13</v>
      </c>
      <c r="B15" s="103"/>
      <c r="C15" s="104">
        <f>+รายจ่ายจริง!G80</f>
        <v>695026000</v>
      </c>
      <c r="D15" s="105">
        <v>0</v>
      </c>
      <c r="E15" s="104">
        <f>SUM(C15:D15)</f>
        <v>695026000</v>
      </c>
      <c r="F15" s="104">
        <f>+รายจ่ายจริง!G81</f>
        <v>0</v>
      </c>
      <c r="G15" s="104">
        <f>+รายจ่ายจริง!G82</f>
        <v>109106629.47</v>
      </c>
      <c r="H15" s="104">
        <f>+E15-F15-G15</f>
        <v>585919370.52999997</v>
      </c>
      <c r="I15" s="106">
        <f t="shared" ref="I15:I23" si="2">+G15*100/E15</f>
        <v>15.698208336091025</v>
      </c>
    </row>
    <row r="16" spans="1:22" ht="37.5" hidden="1" customHeight="1" x14ac:dyDescent="0.5">
      <c r="A16" s="103" t="s">
        <v>14</v>
      </c>
      <c r="B16" s="103"/>
      <c r="C16" s="104">
        <f>+รายจ่ายจริง!J80</f>
        <v>216270500</v>
      </c>
      <c r="D16" s="105">
        <v>0</v>
      </c>
      <c r="E16" s="104">
        <f>SUM(C16:D16)</f>
        <v>216270500</v>
      </c>
      <c r="F16" s="104">
        <f>+รายจ่ายจริง!J81</f>
        <v>11020747.960000001</v>
      </c>
      <c r="G16" s="104">
        <f>+รายจ่ายจริง!J82</f>
        <v>8016568.5899999999</v>
      </c>
      <c r="H16" s="104">
        <f>+E16-F16-G16</f>
        <v>197233183.44999999</v>
      </c>
      <c r="I16" s="106">
        <f t="shared" si="2"/>
        <v>3.7067323513840305</v>
      </c>
    </row>
    <row r="17" spans="1:17" s="88" customFormat="1" ht="37.5" hidden="1" customHeight="1" x14ac:dyDescent="0.5">
      <c r="A17" s="107" t="s">
        <v>15</v>
      </c>
      <c r="B17" s="107"/>
      <c r="C17" s="108">
        <f t="shared" ref="C17:H17" si="3">SUM(C18:C19)</f>
        <v>68223500</v>
      </c>
      <c r="D17" s="108">
        <f t="shared" si="3"/>
        <v>0</v>
      </c>
      <c r="E17" s="108">
        <f t="shared" si="3"/>
        <v>68223500</v>
      </c>
      <c r="F17" s="108">
        <f t="shared" si="3"/>
        <v>7587410</v>
      </c>
      <c r="G17" s="108">
        <f t="shared" si="3"/>
        <v>1322506.5</v>
      </c>
      <c r="H17" s="108">
        <f t="shared" si="3"/>
        <v>59313583.5</v>
      </c>
      <c r="I17" s="109">
        <f t="shared" si="2"/>
        <v>1.9384911357523433</v>
      </c>
      <c r="J17" s="87"/>
      <c r="K17" s="87"/>
      <c r="L17" s="87"/>
      <c r="M17" s="87"/>
      <c r="N17" s="87"/>
      <c r="O17" s="87"/>
      <c r="P17" s="87"/>
      <c r="Q17" s="87"/>
    </row>
    <row r="18" spans="1:17" ht="37.5" hidden="1" customHeight="1" x14ac:dyDescent="0.5">
      <c r="A18" s="103" t="s">
        <v>212</v>
      </c>
      <c r="B18" s="103"/>
      <c r="C18" s="104">
        <f>+รายจ่ายจริง!K80</f>
        <v>19128700</v>
      </c>
      <c r="D18" s="105">
        <v>0</v>
      </c>
      <c r="E18" s="104">
        <f>SUM(C18:D18)</f>
        <v>19128700</v>
      </c>
      <c r="F18" s="104">
        <f>+รายจ่ายจริง!K81</f>
        <v>1351610</v>
      </c>
      <c r="G18" s="104">
        <f>+รายจ่ายจริง!K82</f>
        <v>1322506.5</v>
      </c>
      <c r="H18" s="104">
        <f>+E18-F18-G18</f>
        <v>16454583.5</v>
      </c>
      <c r="I18" s="106">
        <f t="shared" si="2"/>
        <v>6.913729108616895</v>
      </c>
    </row>
    <row r="19" spans="1:17" ht="37.5" hidden="1" customHeight="1" x14ac:dyDescent="0.5">
      <c r="A19" s="110" t="s">
        <v>214</v>
      </c>
      <c r="B19" s="110"/>
      <c r="C19" s="104">
        <f>+รายจ่ายจริง!L80</f>
        <v>49094800</v>
      </c>
      <c r="D19" s="105">
        <v>0</v>
      </c>
      <c r="E19" s="104">
        <f>SUM(C19:D19)</f>
        <v>49094800</v>
      </c>
      <c r="F19" s="104">
        <f>+รายจ่ายจริง!L81</f>
        <v>6235800</v>
      </c>
      <c r="G19" s="104">
        <f>+รายจ่ายจริง!L82</f>
        <v>0</v>
      </c>
      <c r="H19" s="104">
        <f>+E19-F19-G19</f>
        <v>42859000</v>
      </c>
      <c r="I19" s="106">
        <f t="shared" si="2"/>
        <v>0</v>
      </c>
    </row>
    <row r="20" spans="1:17" ht="37.5" hidden="1" customHeight="1" x14ac:dyDescent="0.5">
      <c r="A20" s="103" t="s">
        <v>16</v>
      </c>
      <c r="B20" s="103"/>
      <c r="C20" s="104">
        <f>+รายจ่ายจริง!O80</f>
        <v>14396800</v>
      </c>
      <c r="D20" s="105">
        <v>0</v>
      </c>
      <c r="E20" s="104">
        <f>SUM(C20:D20)</f>
        <v>14396800</v>
      </c>
      <c r="F20" s="104">
        <f>+รายจ่ายจริง!O81</f>
        <v>0</v>
      </c>
      <c r="G20" s="104">
        <f>+รายจ่ายจริง!O82</f>
        <v>0</v>
      </c>
      <c r="H20" s="104">
        <f>+E20-F20-G20</f>
        <v>14396800</v>
      </c>
      <c r="I20" s="106">
        <f t="shared" si="2"/>
        <v>0</v>
      </c>
      <c r="M20" s="89"/>
    </row>
    <row r="21" spans="1:17" s="90" customFormat="1" ht="37.5" hidden="1" customHeight="1" x14ac:dyDescent="0.5">
      <c r="A21" s="125" t="s">
        <v>75</v>
      </c>
      <c r="B21" s="125"/>
      <c r="C21" s="111">
        <f t="shared" ref="C21:H21" si="4">+C15+C16+C17+C20</f>
        <v>993916800</v>
      </c>
      <c r="D21" s="111">
        <f t="shared" si="4"/>
        <v>0</v>
      </c>
      <c r="E21" s="111">
        <f t="shared" si="4"/>
        <v>993916800</v>
      </c>
      <c r="F21" s="111">
        <f t="shared" si="4"/>
        <v>18608157.960000001</v>
      </c>
      <c r="G21" s="111">
        <f t="shared" si="4"/>
        <v>118445704.56</v>
      </c>
      <c r="H21" s="111">
        <f t="shared" si="4"/>
        <v>856862937.48000002</v>
      </c>
      <c r="I21" s="112">
        <f t="shared" si="2"/>
        <v>11.917064341804062</v>
      </c>
      <c r="J21" s="76"/>
      <c r="K21" s="76"/>
      <c r="L21" s="76"/>
      <c r="M21" s="115"/>
      <c r="N21" s="76"/>
      <c r="O21" s="76"/>
      <c r="P21" s="76"/>
      <c r="Q21" s="76"/>
    </row>
    <row r="22" spans="1:17" s="90" customFormat="1" ht="32.25" customHeight="1" x14ac:dyDescent="0.5">
      <c r="A22" s="174" t="s">
        <v>287</v>
      </c>
      <c r="B22" s="111">
        <f t="shared" ref="B22:H22" si="5">+B12-B8</f>
        <v>1982503200</v>
      </c>
      <c r="C22" s="111">
        <f t="shared" si="5"/>
        <v>1851387600</v>
      </c>
      <c r="D22" s="111">
        <f t="shared" si="5"/>
        <v>-925694300</v>
      </c>
      <c r="E22" s="111">
        <f t="shared" si="5"/>
        <v>925693300</v>
      </c>
      <c r="F22" s="111">
        <f t="shared" si="5"/>
        <v>11020747.960000001</v>
      </c>
      <c r="G22" s="111">
        <f t="shared" si="5"/>
        <v>117123198.06</v>
      </c>
      <c r="H22" s="111">
        <f t="shared" si="5"/>
        <v>797549353.98000002</v>
      </c>
      <c r="I22" s="172">
        <f t="shared" si="2"/>
        <v>12.652484149987906</v>
      </c>
      <c r="J22" s="76"/>
      <c r="K22" s="76"/>
      <c r="L22" s="76"/>
      <c r="M22" s="115"/>
      <c r="N22" s="76"/>
      <c r="O22" s="76"/>
      <c r="P22" s="76"/>
      <c r="Q22" s="76"/>
    </row>
    <row r="23" spans="1:17" s="90" customFormat="1" ht="32.25" customHeight="1" x14ac:dyDescent="0.5">
      <c r="A23" s="174" t="s">
        <v>288</v>
      </c>
      <c r="B23" s="111">
        <f t="shared" ref="B23:H23" si="6">+B8</f>
        <v>212436800</v>
      </c>
      <c r="C23" s="111">
        <f t="shared" si="6"/>
        <v>118294300</v>
      </c>
      <c r="D23" s="111">
        <f t="shared" si="6"/>
        <v>-50070800</v>
      </c>
      <c r="E23" s="111">
        <f t="shared" si="6"/>
        <v>68223500</v>
      </c>
      <c r="F23" s="111">
        <f t="shared" si="6"/>
        <v>7587410</v>
      </c>
      <c r="G23" s="111">
        <f t="shared" si="6"/>
        <v>1322506.5</v>
      </c>
      <c r="H23" s="111">
        <f t="shared" si="6"/>
        <v>59313583.5</v>
      </c>
      <c r="I23" s="172">
        <f t="shared" si="2"/>
        <v>1.9384911357523433</v>
      </c>
      <c r="J23" s="76"/>
      <c r="K23" s="76"/>
      <c r="L23" s="76"/>
      <c r="M23" s="115"/>
      <c r="N23" s="76"/>
      <c r="O23" s="76"/>
      <c r="P23" s="76"/>
      <c r="Q23" s="76"/>
    </row>
    <row r="24" spans="1:17" s="90" customFormat="1" ht="34.5" customHeight="1" x14ac:dyDescent="0.5">
      <c r="A24" s="1221" t="s">
        <v>373</v>
      </c>
      <c r="B24" s="1221"/>
      <c r="C24" s="1221"/>
      <c r="D24" s="1221"/>
      <c r="E24" s="1221"/>
      <c r="F24" s="1221"/>
      <c r="G24" s="1221"/>
      <c r="H24" s="1221"/>
      <c r="I24" s="1221"/>
      <c r="J24" s="76"/>
      <c r="K24" s="76"/>
      <c r="L24" s="76"/>
      <c r="M24" s="115"/>
      <c r="N24" s="76"/>
      <c r="O24" s="76"/>
      <c r="P24" s="76"/>
      <c r="Q24" s="76"/>
    </row>
    <row r="25" spans="1:17" s="90" customFormat="1" ht="48" customHeight="1" x14ac:dyDescent="0.5">
      <c r="A25" s="1222" t="s">
        <v>264</v>
      </c>
      <c r="B25" s="1222"/>
      <c r="C25" s="1222"/>
      <c r="D25" s="1222"/>
      <c r="E25" s="182" t="s">
        <v>171</v>
      </c>
      <c r="F25" s="197" t="s">
        <v>172</v>
      </c>
      <c r="G25" s="196" t="s">
        <v>173</v>
      </c>
      <c r="H25" s="234" t="s">
        <v>174</v>
      </c>
      <c r="I25" s="183" t="s">
        <v>291</v>
      </c>
      <c r="J25" s="76"/>
      <c r="K25" s="76"/>
      <c r="L25" s="76"/>
      <c r="M25" s="115"/>
      <c r="N25" s="76"/>
      <c r="O25" s="76"/>
      <c r="P25" s="76"/>
      <c r="Q25" s="76"/>
    </row>
    <row r="26" spans="1:17" s="90" customFormat="1" ht="24.75" customHeight="1" x14ac:dyDescent="0.5">
      <c r="A26" s="170" t="s">
        <v>286</v>
      </c>
      <c r="B26" s="239"/>
      <c r="C26" s="171" t="s">
        <v>290</v>
      </c>
      <c r="D26" s="166" t="s">
        <v>83</v>
      </c>
      <c r="E26" s="212">
        <v>32</v>
      </c>
      <c r="F26" s="235">
        <v>54</v>
      </c>
      <c r="G26" s="212">
        <v>77</v>
      </c>
      <c r="H26" s="212">
        <v>100</v>
      </c>
      <c r="I26" s="213">
        <f>+I12-F26</f>
        <v>-42.082935658195936</v>
      </c>
      <c r="J26" s="76"/>
      <c r="K26" s="76"/>
      <c r="L26" s="76"/>
      <c r="M26" s="115"/>
      <c r="N26" s="76"/>
      <c r="O26" s="76"/>
      <c r="P26" s="76"/>
      <c r="Q26" s="76"/>
    </row>
    <row r="27" spans="1:17" s="90" customFormat="1" ht="24.75" customHeight="1" x14ac:dyDescent="0.5">
      <c r="A27" s="170" t="s">
        <v>287</v>
      </c>
      <c r="B27" s="239"/>
      <c r="C27" s="171" t="s">
        <v>290</v>
      </c>
      <c r="D27" s="166" t="s">
        <v>83</v>
      </c>
      <c r="E27" s="212">
        <v>36</v>
      </c>
      <c r="F27" s="235">
        <v>57</v>
      </c>
      <c r="G27" s="212">
        <v>80</v>
      </c>
      <c r="H27" s="212">
        <v>100</v>
      </c>
      <c r="I27" s="213">
        <f>+I22-F27</f>
        <v>-44.347515850012094</v>
      </c>
      <c r="J27" s="76"/>
      <c r="K27" s="76"/>
      <c r="L27" s="76"/>
      <c r="M27" s="115"/>
      <c r="N27" s="76"/>
      <c r="O27" s="76"/>
      <c r="P27" s="76"/>
      <c r="Q27" s="76"/>
    </row>
    <row r="28" spans="1:17" s="90" customFormat="1" ht="24.75" customHeight="1" x14ac:dyDescent="0.5">
      <c r="A28" s="170" t="s">
        <v>288</v>
      </c>
      <c r="B28" s="239"/>
      <c r="C28" s="171" t="s">
        <v>290</v>
      </c>
      <c r="D28" s="166" t="s">
        <v>83</v>
      </c>
      <c r="E28" s="212">
        <v>20</v>
      </c>
      <c r="F28" s="235">
        <v>45</v>
      </c>
      <c r="G28" s="212">
        <v>65</v>
      </c>
      <c r="H28" s="212">
        <v>100</v>
      </c>
      <c r="I28" s="213">
        <f>+I23-F28</f>
        <v>-43.061508864247656</v>
      </c>
      <c r="J28" s="76"/>
      <c r="K28" s="76"/>
      <c r="L28" s="76"/>
      <c r="M28" s="115"/>
      <c r="N28" s="76"/>
      <c r="O28" s="76"/>
      <c r="P28" s="76"/>
      <c r="Q28" s="76"/>
    </row>
    <row r="29" spans="1:17" s="163" customFormat="1" ht="30.75" hidden="1" x14ac:dyDescent="0.5">
      <c r="A29" s="160" t="s">
        <v>252</v>
      </c>
      <c r="B29" s="160"/>
      <c r="C29" s="168" t="s">
        <v>262</v>
      </c>
      <c r="D29" s="169"/>
      <c r="E29" s="169"/>
      <c r="F29" s="169"/>
      <c r="G29" s="169"/>
      <c r="H29" s="169"/>
      <c r="I29" s="169"/>
      <c r="M29" s="164"/>
      <c r="N29" s="165"/>
    </row>
    <row r="30" spans="1:17" s="129" customFormat="1" hidden="1" x14ac:dyDescent="0.5">
      <c r="A30" s="126"/>
      <c r="B30" s="126"/>
      <c r="C30" s="127" t="s">
        <v>258</v>
      </c>
      <c r="D30" s="128"/>
      <c r="E30" s="128"/>
      <c r="F30" s="128"/>
      <c r="G30" s="128"/>
      <c r="H30" s="128"/>
      <c r="I30" s="128"/>
      <c r="M30" s="130"/>
      <c r="N30" s="131"/>
    </row>
    <row r="31" spans="1:17" ht="36" hidden="1" x14ac:dyDescent="0.45">
      <c r="A31" s="1224" t="str">
        <f>+A1</f>
        <v>กรมพินิจและคุ้มครองเด็กและเยาวชน   กระทรวงยุติธรรม</v>
      </c>
      <c r="B31" s="1224"/>
      <c r="C31" s="1224"/>
      <c r="D31" s="1224"/>
      <c r="E31" s="1224"/>
      <c r="F31" s="1224"/>
      <c r="G31" s="1224"/>
      <c r="H31" s="1224"/>
      <c r="I31" s="1224"/>
      <c r="J31" s="100"/>
      <c r="K31" s="100"/>
      <c r="L31" s="100"/>
    </row>
    <row r="32" spans="1:17" ht="33" hidden="1" x14ac:dyDescent="0.45">
      <c r="A32" s="1232" t="s">
        <v>273</v>
      </c>
      <c r="B32" s="1232"/>
      <c r="C32" s="1232"/>
      <c r="D32" s="1232"/>
      <c r="E32" s="1232"/>
      <c r="F32" s="1232"/>
      <c r="G32" s="1232"/>
      <c r="H32" s="1232"/>
      <c r="I32" s="1232"/>
      <c r="J32" s="100"/>
      <c r="K32" s="100"/>
      <c r="L32" s="100"/>
    </row>
    <row r="33" spans="1:12" s="147" customFormat="1" ht="30.75" hidden="1" x14ac:dyDescent="0.45">
      <c r="A33" s="1229" t="s">
        <v>264</v>
      </c>
      <c r="B33" s="1229"/>
      <c r="C33" s="1229"/>
      <c r="D33" s="1229"/>
      <c r="E33" s="1228" t="s">
        <v>265</v>
      </c>
      <c r="F33" s="1228"/>
      <c r="G33" s="1228"/>
      <c r="H33" s="1228"/>
      <c r="I33" s="145"/>
      <c r="J33" s="146"/>
      <c r="K33" s="146"/>
      <c r="L33" s="146"/>
    </row>
    <row r="34" spans="1:12" s="147" customFormat="1" ht="30.75" hidden="1" x14ac:dyDescent="0.45">
      <c r="A34" s="1229"/>
      <c r="B34" s="1229"/>
      <c r="C34" s="1229"/>
      <c r="D34" s="1229"/>
      <c r="E34" s="151" t="s">
        <v>266</v>
      </c>
      <c r="F34" s="151" t="s">
        <v>267</v>
      </c>
      <c r="G34" s="151" t="s">
        <v>268</v>
      </c>
      <c r="H34" s="151" t="s">
        <v>269</v>
      </c>
      <c r="I34" s="145"/>
      <c r="J34" s="146"/>
      <c r="K34" s="146"/>
      <c r="L34" s="146"/>
    </row>
    <row r="35" spans="1:12" s="153" customFormat="1" ht="27.75" hidden="1" x14ac:dyDescent="0.5">
      <c r="A35" s="1225" t="s">
        <v>270</v>
      </c>
      <c r="B35" s="1226"/>
      <c r="C35" s="1226"/>
      <c r="D35" s="1227"/>
      <c r="E35" s="155">
        <v>0.32</v>
      </c>
      <c r="F35" s="155">
        <v>0.54</v>
      </c>
      <c r="G35" s="155">
        <v>0.77</v>
      </c>
      <c r="H35" s="155">
        <v>1</v>
      </c>
      <c r="I35" s="152"/>
    </row>
    <row r="36" spans="1:12" s="153" customFormat="1" ht="27.75" hidden="1" x14ac:dyDescent="0.5">
      <c r="A36" s="156" t="s">
        <v>274</v>
      </c>
      <c r="B36" s="156"/>
      <c r="C36" s="1218">
        <f>+E12</f>
        <v>993916800</v>
      </c>
      <c r="D36" s="1219"/>
      <c r="E36" s="157">
        <f>+C36*0.32</f>
        <v>318053376</v>
      </c>
      <c r="F36" s="157">
        <f>+C36*0.54</f>
        <v>536715072.00000006</v>
      </c>
      <c r="G36" s="157">
        <f>+C36*0.77</f>
        <v>765315936</v>
      </c>
      <c r="H36" s="157">
        <f>+C36*1</f>
        <v>993916800</v>
      </c>
      <c r="I36" s="152"/>
    </row>
    <row r="37" spans="1:12" s="154" customFormat="1" ht="27.75" hidden="1" x14ac:dyDescent="0.5">
      <c r="A37" s="1225" t="s">
        <v>271</v>
      </c>
      <c r="B37" s="1226"/>
      <c r="C37" s="1226"/>
      <c r="D37" s="1227"/>
      <c r="E37" s="155">
        <v>0.36</v>
      </c>
      <c r="F37" s="155">
        <v>0.56999999999999995</v>
      </c>
      <c r="G37" s="155">
        <v>0.8</v>
      </c>
      <c r="H37" s="155">
        <v>1</v>
      </c>
      <c r="I37" s="152"/>
    </row>
    <row r="38" spans="1:12" s="153" customFormat="1" ht="27.75" hidden="1" x14ac:dyDescent="0.5">
      <c r="A38" s="156" t="s">
        <v>274</v>
      </c>
      <c r="B38" s="156"/>
      <c r="C38" s="1218">
        <f>+E6+E7+E11</f>
        <v>925693300</v>
      </c>
      <c r="D38" s="1219"/>
      <c r="E38" s="157">
        <f>+C38*0.36</f>
        <v>333249588</v>
      </c>
      <c r="F38" s="157">
        <f>+C38*0.57</f>
        <v>527645180.99999994</v>
      </c>
      <c r="G38" s="157">
        <f>+C38*0.8</f>
        <v>740554640</v>
      </c>
      <c r="H38" s="157">
        <f>+C38*1</f>
        <v>925693300</v>
      </c>
      <c r="I38" s="152"/>
    </row>
    <row r="39" spans="1:12" s="153" customFormat="1" ht="27.75" hidden="1" x14ac:dyDescent="0.5">
      <c r="A39" s="1225" t="s">
        <v>272</v>
      </c>
      <c r="B39" s="1226"/>
      <c r="C39" s="1226"/>
      <c r="D39" s="1227"/>
      <c r="E39" s="155">
        <v>0.2</v>
      </c>
      <c r="F39" s="155">
        <v>0.45</v>
      </c>
      <c r="G39" s="155">
        <v>0.65</v>
      </c>
      <c r="H39" s="155">
        <v>1</v>
      </c>
      <c r="I39" s="152"/>
    </row>
    <row r="40" spans="1:12" s="153" customFormat="1" ht="27.75" hidden="1" x14ac:dyDescent="0.5">
      <c r="A40" s="156" t="s">
        <v>274</v>
      </c>
      <c r="B40" s="156"/>
      <c r="C40" s="1218">
        <f>+E8</f>
        <v>68223500</v>
      </c>
      <c r="D40" s="1219"/>
      <c r="E40" s="157">
        <f>+C40*0.2</f>
        <v>13644700</v>
      </c>
      <c r="F40" s="157">
        <f>+C40*0.45</f>
        <v>30700575</v>
      </c>
      <c r="G40" s="157">
        <f>+C40*0.65</f>
        <v>44345275</v>
      </c>
      <c r="H40" s="157">
        <f>+C40*1</f>
        <v>68223500</v>
      </c>
      <c r="I40" s="152"/>
    </row>
    <row r="41" spans="1:12" s="149" customFormat="1" ht="21" hidden="1" customHeight="1" x14ac:dyDescent="0.5">
      <c r="A41" s="1230" t="s">
        <v>275</v>
      </c>
      <c r="B41" s="1230"/>
      <c r="C41" s="1230"/>
      <c r="D41" s="1230"/>
      <c r="E41" s="1230"/>
      <c r="F41" s="1230"/>
      <c r="G41" s="1230"/>
      <c r="H41" s="1230"/>
      <c r="I41" s="1230"/>
    </row>
    <row r="42" spans="1:12" s="148" customFormat="1" ht="21" hidden="1" customHeight="1" x14ac:dyDescent="0.5">
      <c r="A42" s="143" t="s">
        <v>270</v>
      </c>
      <c r="B42" s="143"/>
      <c r="C42" s="144" t="s">
        <v>276</v>
      </c>
      <c r="D42" s="145"/>
      <c r="E42" s="145" t="s">
        <v>277</v>
      </c>
      <c r="F42" s="145" t="s">
        <v>278</v>
      </c>
      <c r="G42" s="145"/>
      <c r="H42" s="145"/>
      <c r="I42" s="145"/>
    </row>
    <row r="43" spans="1:12" s="149" customFormat="1" ht="21" hidden="1" customHeight="1" x14ac:dyDescent="0.5">
      <c r="A43" s="143"/>
      <c r="B43" s="143"/>
      <c r="C43" s="144"/>
      <c r="D43" s="145"/>
      <c r="E43" s="145"/>
      <c r="F43" s="145" t="s">
        <v>279</v>
      </c>
      <c r="G43" s="150"/>
      <c r="H43" s="158"/>
      <c r="I43" s="145"/>
    </row>
    <row r="44" spans="1:12" s="149" customFormat="1" ht="21" hidden="1" customHeight="1" x14ac:dyDescent="0.5">
      <c r="A44" s="143"/>
      <c r="B44" s="143"/>
      <c r="C44" s="144"/>
      <c r="D44" s="145"/>
      <c r="E44" s="145"/>
      <c r="F44" s="145" t="s">
        <v>280</v>
      </c>
      <c r="G44" s="145"/>
      <c r="H44" s="145"/>
      <c r="I44" s="145"/>
    </row>
    <row r="45" spans="1:12" s="149" customFormat="1" ht="21" hidden="1" customHeight="1" x14ac:dyDescent="0.5">
      <c r="A45" s="143"/>
      <c r="B45" s="143"/>
      <c r="C45" s="144"/>
      <c r="D45" s="145"/>
      <c r="E45" s="145"/>
      <c r="F45" s="145"/>
      <c r="G45" s="145"/>
      <c r="H45" s="145"/>
      <c r="I45" s="145"/>
    </row>
    <row r="46" spans="1:12" s="149" customFormat="1" ht="21" hidden="1" customHeight="1" x14ac:dyDescent="0.5">
      <c r="A46" s="143"/>
      <c r="B46" s="143"/>
      <c r="C46" s="144"/>
      <c r="D46" s="145"/>
      <c r="E46" s="145"/>
      <c r="F46" s="145"/>
      <c r="G46" s="145"/>
      <c r="H46" s="145"/>
      <c r="I46" s="145"/>
    </row>
    <row r="47" spans="1:12" s="149" customFormat="1" ht="21" hidden="1" customHeight="1" x14ac:dyDescent="0.5">
      <c r="A47" s="143"/>
      <c r="B47" s="143"/>
      <c r="C47" s="144"/>
      <c r="D47" s="145"/>
      <c r="E47" s="145"/>
      <c r="F47" s="145"/>
      <c r="G47" s="145"/>
      <c r="H47" s="145"/>
      <c r="I47" s="145"/>
    </row>
    <row r="48" spans="1:12" s="149" customFormat="1" ht="21" hidden="1" customHeight="1" x14ac:dyDescent="0.5">
      <c r="A48" s="143"/>
      <c r="B48" s="143"/>
      <c r="C48" s="144"/>
      <c r="D48" s="145"/>
      <c r="E48" s="145"/>
      <c r="F48" s="145"/>
      <c r="G48" s="145"/>
      <c r="H48" s="145"/>
      <c r="I48" s="145"/>
    </row>
    <row r="49" spans="1:17" s="149" customFormat="1" ht="21" hidden="1" customHeight="1" x14ac:dyDescent="0.5">
      <c r="A49" s="143"/>
      <c r="B49" s="143"/>
      <c r="C49" s="144"/>
      <c r="D49" s="145"/>
      <c r="E49" s="145"/>
      <c r="F49" s="145"/>
      <c r="G49" s="145"/>
      <c r="H49" s="145"/>
      <c r="I49" s="145"/>
    </row>
    <row r="50" spans="1:17" s="149" customFormat="1" ht="21" hidden="1" customHeight="1" x14ac:dyDescent="0.5">
      <c r="A50" s="143"/>
      <c r="B50" s="143"/>
      <c r="C50" s="144"/>
      <c r="D50" s="145"/>
      <c r="E50" s="145"/>
      <c r="F50" s="145"/>
      <c r="G50" s="145"/>
      <c r="H50" s="145"/>
      <c r="I50" s="145"/>
    </row>
    <row r="51" spans="1:17" s="149" customFormat="1" ht="21" hidden="1" customHeight="1" x14ac:dyDescent="0.5">
      <c r="A51" s="143"/>
      <c r="B51" s="143"/>
      <c r="C51" s="144"/>
      <c r="D51" s="145"/>
      <c r="E51" s="145"/>
      <c r="F51" s="145"/>
      <c r="G51" s="145"/>
      <c r="H51" s="145"/>
      <c r="I51" s="145"/>
    </row>
    <row r="52" spans="1:17" s="149" customFormat="1" ht="21" hidden="1" customHeight="1" x14ac:dyDescent="0.5">
      <c r="A52" s="143"/>
      <c r="B52" s="143"/>
      <c r="C52" s="144"/>
      <c r="D52" s="145"/>
      <c r="E52" s="145"/>
      <c r="F52" s="145"/>
      <c r="G52" s="145"/>
      <c r="H52" s="145"/>
      <c r="I52" s="145"/>
    </row>
    <row r="53" spans="1:17" s="148" customFormat="1" ht="21" hidden="1" customHeight="1" x14ac:dyDescent="0.5">
      <c r="A53" s="143"/>
      <c r="B53" s="143"/>
      <c r="C53" s="144"/>
      <c r="D53" s="145"/>
      <c r="E53" s="145"/>
      <c r="F53" s="145"/>
      <c r="G53" s="145"/>
      <c r="H53" s="145"/>
      <c r="I53" s="145"/>
    </row>
    <row r="54" spans="1:17" s="148" customFormat="1" ht="21" hidden="1" customHeight="1" x14ac:dyDescent="0.5">
      <c r="A54" s="143"/>
      <c r="B54" s="143"/>
      <c r="C54" s="144"/>
      <c r="D54" s="145"/>
      <c r="E54" s="145"/>
      <c r="F54" s="145"/>
      <c r="G54" s="145"/>
      <c r="H54" s="145"/>
      <c r="I54" s="145"/>
    </row>
    <row r="55" spans="1:17" s="148" customFormat="1" ht="21" hidden="1" customHeight="1" x14ac:dyDescent="0.5">
      <c r="A55" s="143"/>
      <c r="B55" s="143"/>
      <c r="C55" s="144"/>
      <c r="D55" s="145"/>
      <c r="E55" s="145"/>
      <c r="F55" s="145"/>
      <c r="G55" s="145"/>
      <c r="H55" s="145"/>
      <c r="I55" s="145"/>
    </row>
    <row r="56" spans="1:17" s="147" customFormat="1" hidden="1" x14ac:dyDescent="0.5">
      <c r="A56" s="143"/>
      <c r="B56" s="143"/>
      <c r="C56" s="144"/>
      <c r="D56" s="145"/>
      <c r="E56" s="145"/>
      <c r="F56" s="145"/>
      <c r="G56" s="145"/>
      <c r="H56" s="145"/>
      <c r="I56" s="145"/>
    </row>
    <row r="57" spans="1:17" ht="31.5" hidden="1" x14ac:dyDescent="0.65">
      <c r="A57" s="1223" t="s">
        <v>82</v>
      </c>
      <c r="B57" s="1223"/>
      <c r="C57" s="1223"/>
      <c r="D57" s="1223"/>
      <c r="E57" s="1223"/>
      <c r="F57" s="1223"/>
      <c r="G57" s="1223"/>
      <c r="H57" s="1223"/>
      <c r="I57" s="1223"/>
    </row>
    <row r="58" spans="1:17" ht="31.5" hidden="1" x14ac:dyDescent="0.65">
      <c r="A58" s="1223" t="s">
        <v>281</v>
      </c>
      <c r="B58" s="1223"/>
      <c r="C58" s="1223"/>
      <c r="D58" s="1223"/>
      <c r="E58" s="1223"/>
      <c r="F58" s="1223"/>
      <c r="G58" s="1223"/>
      <c r="H58" s="1223"/>
      <c r="I58" s="1223"/>
    </row>
    <row r="59" spans="1:17" ht="31.5" hidden="1" x14ac:dyDescent="0.65">
      <c r="A59" s="1237" t="s">
        <v>255</v>
      </c>
      <c r="B59" s="1237"/>
      <c r="C59" s="1237"/>
      <c r="D59" s="1237"/>
      <c r="E59" s="1237"/>
      <c r="F59" s="1237"/>
      <c r="G59" s="1237"/>
      <c r="H59" s="1237"/>
      <c r="I59" s="1237"/>
    </row>
    <row r="60" spans="1:17" ht="31.5" hidden="1" x14ac:dyDescent="0.65">
      <c r="A60" s="1237" t="str">
        <f>+A69</f>
        <v>ตั้งแต่วันที่ 1  ตุลาคม 2564 ถึงวันที่ 31 ตุลาคม 2564</v>
      </c>
      <c r="B60" s="1237"/>
      <c r="C60" s="1237"/>
      <c r="D60" s="1237"/>
      <c r="E60" s="1237"/>
      <c r="F60" s="1237"/>
      <c r="G60" s="1237"/>
      <c r="H60" s="1237"/>
      <c r="I60" s="1237"/>
    </row>
    <row r="61" spans="1:17" s="180" customFormat="1" ht="27.75" hidden="1" x14ac:dyDescent="0.5">
      <c r="A61" s="1235" t="s">
        <v>254</v>
      </c>
      <c r="B61" s="1235"/>
      <c r="C61" s="1235"/>
      <c r="D61" s="1235"/>
      <c r="E61" s="1235"/>
      <c r="F61" s="181" t="s">
        <v>67</v>
      </c>
      <c r="G61" s="181" t="s">
        <v>17</v>
      </c>
      <c r="H61" s="181" t="s">
        <v>60</v>
      </c>
      <c r="I61" s="182" t="s">
        <v>66</v>
      </c>
      <c r="J61" s="179"/>
      <c r="K61" s="179"/>
      <c r="L61" s="179"/>
      <c r="M61" s="179"/>
      <c r="N61" s="179"/>
      <c r="O61" s="179"/>
      <c r="P61" s="179"/>
      <c r="Q61" s="179"/>
    </row>
    <row r="62" spans="1:17" ht="28.5" hidden="1" customHeight="1" x14ac:dyDescent="0.5">
      <c r="A62" s="167"/>
      <c r="B62" s="167"/>
      <c r="C62" s="167"/>
      <c r="D62" s="167"/>
      <c r="E62" s="167"/>
      <c r="F62" s="167"/>
      <c r="G62" s="167"/>
      <c r="H62" s="167"/>
      <c r="I62" s="167"/>
    </row>
    <row r="63" spans="1:17" ht="28.5" hidden="1" customHeight="1" x14ac:dyDescent="0.5">
      <c r="A63" s="167"/>
      <c r="B63" s="167"/>
      <c r="C63" s="167"/>
      <c r="D63" s="167"/>
      <c r="E63" s="167"/>
      <c r="F63" s="167"/>
      <c r="G63" s="167"/>
      <c r="H63" s="167"/>
      <c r="I63" s="167"/>
    </row>
    <row r="64" spans="1:17" ht="28.5" hidden="1" customHeight="1" x14ac:dyDescent="0.5">
      <c r="A64" s="167"/>
      <c r="B64" s="167"/>
      <c r="C64" s="167"/>
      <c r="D64" s="167"/>
      <c r="E64" s="167"/>
      <c r="F64" s="167"/>
      <c r="G64" s="167"/>
      <c r="H64" s="167"/>
      <c r="I64" s="167"/>
    </row>
    <row r="65" spans="1:9" ht="28.5" hidden="1" customHeight="1" x14ac:dyDescent="0.5">
      <c r="A65" s="167"/>
      <c r="B65" s="167"/>
      <c r="C65" s="167"/>
      <c r="D65" s="167"/>
      <c r="E65" s="167"/>
      <c r="F65" s="167"/>
      <c r="G65" s="167"/>
      <c r="H65" s="167"/>
      <c r="I65" s="167"/>
    </row>
    <row r="66" spans="1:9" ht="30.75" hidden="1" x14ac:dyDescent="0.5">
      <c r="A66" s="1234" t="s">
        <v>57</v>
      </c>
      <c r="B66" s="1234"/>
      <c r="C66" s="1234"/>
      <c r="D66" s="1234"/>
      <c r="E66" s="1234"/>
      <c r="F66" s="1234"/>
      <c r="G66" s="1234"/>
      <c r="H66" s="1234"/>
      <c r="I66" s="1234"/>
    </row>
    <row r="67" spans="1:9" ht="30.75" hidden="1" x14ac:dyDescent="0.5">
      <c r="A67" s="1234" t="s">
        <v>249</v>
      </c>
      <c r="B67" s="1234"/>
      <c r="C67" s="1234"/>
      <c r="D67" s="1234"/>
      <c r="E67" s="1234"/>
      <c r="F67" s="1234"/>
      <c r="G67" s="1234"/>
      <c r="H67" s="1234"/>
      <c r="I67" s="1234"/>
    </row>
    <row r="68" spans="1:9" ht="30.75" hidden="1" x14ac:dyDescent="0.5">
      <c r="A68" s="1236" t="s">
        <v>253</v>
      </c>
      <c r="B68" s="1236"/>
      <c r="C68" s="1234"/>
      <c r="D68" s="1234"/>
      <c r="E68" s="1234"/>
      <c r="F68" s="1234"/>
      <c r="G68" s="1234"/>
      <c r="H68" s="1234"/>
      <c r="I68" s="1234"/>
    </row>
    <row r="69" spans="1:9" ht="30.75" hidden="1" x14ac:dyDescent="0.5">
      <c r="A69" s="1233" t="str">
        <f>+A3</f>
        <v>ตั้งแต่วันที่ 1  ตุลาคม 2564 ถึงวันที่ 31 ตุลาคม 2564</v>
      </c>
      <c r="B69" s="1233"/>
      <c r="C69" s="1233"/>
      <c r="D69" s="1233"/>
      <c r="E69" s="1233"/>
      <c r="F69" s="1233"/>
      <c r="G69" s="1233"/>
      <c r="H69" s="1233"/>
      <c r="I69" s="1233"/>
    </row>
    <row r="70" spans="1:9" ht="30.75" hidden="1" customHeight="1" x14ac:dyDescent="0.5">
      <c r="A70" s="1240" t="s">
        <v>254</v>
      </c>
      <c r="B70" s="1240"/>
      <c r="C70" s="1240"/>
      <c r="D70" s="1240"/>
      <c r="E70" s="1240"/>
      <c r="F70" s="184" t="s">
        <v>67</v>
      </c>
      <c r="G70" s="184" t="s">
        <v>17</v>
      </c>
      <c r="H70" s="184" t="s">
        <v>60</v>
      </c>
      <c r="I70" s="184" t="s">
        <v>66</v>
      </c>
    </row>
    <row r="71" spans="1:9" ht="30.75" hidden="1" customHeight="1" x14ac:dyDescent="0.5">
      <c r="A71" s="119" t="s">
        <v>175</v>
      </c>
      <c r="B71" s="205"/>
      <c r="C71" s="122"/>
      <c r="D71" s="120"/>
      <c r="E71" s="121"/>
      <c r="F71" s="108">
        <f>SUM(F72:F74)</f>
        <v>0</v>
      </c>
      <c r="G71" s="108">
        <f>SUM(G72:G74)</f>
        <v>0</v>
      </c>
      <c r="H71" s="108">
        <f>SUM(H72:H74)</f>
        <v>0</v>
      </c>
      <c r="I71" s="124" t="e">
        <f t="shared" ref="I71:I83" si="7">+G71*100/F71</f>
        <v>#DIV/0!</v>
      </c>
    </row>
    <row r="72" spans="1:9" ht="30.75" hidden="1" customHeight="1" x14ac:dyDescent="0.5">
      <c r="A72" s="103">
        <v>1</v>
      </c>
      <c r="B72" s="116"/>
      <c r="C72" s="119"/>
      <c r="D72" s="120"/>
      <c r="E72" s="123"/>
      <c r="F72" s="108">
        <v>0</v>
      </c>
      <c r="G72" s="109">
        <v>0</v>
      </c>
      <c r="H72" s="109">
        <f>+F72-G72</f>
        <v>0</v>
      </c>
      <c r="I72" s="124" t="e">
        <f t="shared" si="7"/>
        <v>#DIV/0!</v>
      </c>
    </row>
    <row r="73" spans="1:9" ht="30.75" hidden="1" customHeight="1" x14ac:dyDescent="0.5">
      <c r="A73" s="103">
        <v>2</v>
      </c>
      <c r="B73" s="116"/>
      <c r="C73" s="119"/>
      <c r="D73" s="120"/>
      <c r="E73" s="123"/>
      <c r="F73" s="108">
        <v>0</v>
      </c>
      <c r="G73" s="109">
        <v>0</v>
      </c>
      <c r="H73" s="109">
        <f>+F73-G73</f>
        <v>0</v>
      </c>
      <c r="I73" s="124" t="e">
        <f t="shared" si="7"/>
        <v>#DIV/0!</v>
      </c>
    </row>
    <row r="74" spans="1:9" ht="30.75" hidden="1" customHeight="1" x14ac:dyDescent="0.5">
      <c r="A74" s="103">
        <v>3</v>
      </c>
      <c r="B74" s="116"/>
      <c r="C74" s="119"/>
      <c r="D74" s="120"/>
      <c r="E74" s="123"/>
      <c r="F74" s="108">
        <v>0</v>
      </c>
      <c r="G74" s="109">
        <v>0</v>
      </c>
      <c r="H74" s="109">
        <f>+F74-G74</f>
        <v>0</v>
      </c>
      <c r="I74" s="124" t="e">
        <f t="shared" si="7"/>
        <v>#DIV/0!</v>
      </c>
    </row>
    <row r="75" spans="1:9" ht="30.75" hidden="1" customHeight="1" x14ac:dyDescent="0.5">
      <c r="A75" s="107" t="s">
        <v>176</v>
      </c>
      <c r="B75" s="119"/>
      <c r="C75" s="119"/>
      <c r="D75" s="120"/>
      <c r="E75" s="121"/>
      <c r="F75" s="108">
        <f>SUM(F76:F78)</f>
        <v>0</v>
      </c>
      <c r="G75" s="108">
        <f>SUM(G76:G78)</f>
        <v>0</v>
      </c>
      <c r="H75" s="108">
        <f>SUM(H76:H78)</f>
        <v>0</v>
      </c>
      <c r="I75" s="124" t="e">
        <f t="shared" si="7"/>
        <v>#DIV/0!</v>
      </c>
    </row>
    <row r="76" spans="1:9" ht="30.75" hidden="1" customHeight="1" x14ac:dyDescent="0.5">
      <c r="A76" s="103">
        <v>1</v>
      </c>
      <c r="B76" s="116"/>
      <c r="C76" s="116"/>
      <c r="D76" s="117"/>
      <c r="E76" s="118"/>
      <c r="F76" s="108">
        <v>0</v>
      </c>
      <c r="G76" s="109">
        <v>0</v>
      </c>
      <c r="H76" s="109">
        <f>+F76-G76</f>
        <v>0</v>
      </c>
      <c r="I76" s="124" t="e">
        <f t="shared" si="7"/>
        <v>#DIV/0!</v>
      </c>
    </row>
    <row r="77" spans="1:9" ht="30.75" hidden="1" customHeight="1" x14ac:dyDescent="0.5">
      <c r="A77" s="103">
        <v>2</v>
      </c>
      <c r="B77" s="116"/>
      <c r="C77" s="116"/>
      <c r="D77" s="117"/>
      <c r="E77" s="118"/>
      <c r="F77" s="108">
        <v>0</v>
      </c>
      <c r="G77" s="109">
        <v>0</v>
      </c>
      <c r="H77" s="109">
        <f>+F77-G77</f>
        <v>0</v>
      </c>
      <c r="I77" s="124" t="e">
        <f t="shared" si="7"/>
        <v>#DIV/0!</v>
      </c>
    </row>
    <row r="78" spans="1:9" ht="30.75" hidden="1" customHeight="1" x14ac:dyDescent="0.5">
      <c r="A78" s="103">
        <v>3</v>
      </c>
      <c r="B78" s="116"/>
      <c r="C78" s="116"/>
      <c r="D78" s="117"/>
      <c r="E78" s="118"/>
      <c r="F78" s="108">
        <v>0</v>
      </c>
      <c r="G78" s="109">
        <v>0</v>
      </c>
      <c r="H78" s="109">
        <f>+F78-G78</f>
        <v>0</v>
      </c>
      <c r="I78" s="124" t="e">
        <f t="shared" si="7"/>
        <v>#DIV/0!</v>
      </c>
    </row>
    <row r="79" spans="1:9" ht="35.25" hidden="1" customHeight="1" x14ac:dyDescent="0.5">
      <c r="A79" s="107" t="s">
        <v>263</v>
      </c>
      <c r="B79" s="119"/>
      <c r="C79" s="119"/>
      <c r="D79" s="120"/>
      <c r="E79" s="121"/>
      <c r="F79" s="108">
        <f>+F80</f>
        <v>0</v>
      </c>
      <c r="G79" s="108">
        <f>+G80</f>
        <v>0</v>
      </c>
      <c r="H79" s="108">
        <f>+H80</f>
        <v>0</v>
      </c>
      <c r="I79" s="108" t="e">
        <f t="shared" si="7"/>
        <v>#DIV/0!</v>
      </c>
    </row>
    <row r="80" spans="1:9" ht="35.25" hidden="1" customHeight="1" x14ac:dyDescent="0.5">
      <c r="A80" s="116">
        <v>1</v>
      </c>
      <c r="B80" s="159"/>
      <c r="C80" s="159" t="s">
        <v>256</v>
      </c>
      <c r="D80" s="117"/>
      <c r="E80" s="118"/>
      <c r="F80" s="108">
        <f>SUM(F81:F82)</f>
        <v>0</v>
      </c>
      <c r="G80" s="108">
        <f>SUM(G81:G82)</f>
        <v>0</v>
      </c>
      <c r="H80" s="108">
        <f>SUM(H81:H82)</f>
        <v>0</v>
      </c>
      <c r="I80" s="108" t="e">
        <f t="shared" si="7"/>
        <v>#DIV/0!</v>
      </c>
    </row>
    <row r="81" spans="1:17" ht="35.25" hidden="1" customHeight="1" x14ac:dyDescent="0.5">
      <c r="A81" s="116"/>
      <c r="B81" s="159"/>
      <c r="C81" s="1249" t="s">
        <v>292</v>
      </c>
      <c r="D81" s="1249"/>
      <c r="E81" s="1250"/>
      <c r="F81" s="173">
        <f>+'เบิกแทน กรมคุม'!D104</f>
        <v>0</v>
      </c>
      <c r="G81" s="109">
        <f>+'เบิกแทน กรมคุม'!E104</f>
        <v>0</v>
      </c>
      <c r="H81" s="109">
        <f>+F81-G81</f>
        <v>0</v>
      </c>
      <c r="I81" s="108" t="e">
        <f t="shared" si="7"/>
        <v>#DIV/0!</v>
      </c>
    </row>
    <row r="82" spans="1:17" ht="42.75" hidden="1" customHeight="1" x14ac:dyDescent="0.5">
      <c r="A82" s="176"/>
      <c r="B82" s="240"/>
      <c r="C82" s="1247" t="s">
        <v>294</v>
      </c>
      <c r="D82" s="1247"/>
      <c r="E82" s="1248"/>
      <c r="F82" s="177">
        <f>+'เบิกแทน กรมคุม'!G104</f>
        <v>0</v>
      </c>
      <c r="G82" s="178">
        <f>+'เบิกแทน กรมคุม'!H104</f>
        <v>0</v>
      </c>
      <c r="H82" s="178">
        <f>+F82-G82</f>
        <v>0</v>
      </c>
      <c r="I82" s="178" t="e">
        <f t="shared" si="7"/>
        <v>#DIV/0!</v>
      </c>
    </row>
    <row r="83" spans="1:17" s="114" customFormat="1" ht="35.25" hidden="1" customHeight="1" x14ac:dyDescent="0.5">
      <c r="A83" s="1246" t="s">
        <v>75</v>
      </c>
      <c r="B83" s="1246"/>
      <c r="C83" s="1246"/>
      <c r="D83" s="1246"/>
      <c r="E83" s="1246"/>
      <c r="F83" s="175">
        <f>+F71+F75+F79</f>
        <v>0</v>
      </c>
      <c r="G83" s="175">
        <f>+G71+G75+G79</f>
        <v>0</v>
      </c>
      <c r="H83" s="175">
        <f>+H71+H75+H79</f>
        <v>0</v>
      </c>
      <c r="I83" s="138" t="e">
        <f t="shared" si="7"/>
        <v>#DIV/0!</v>
      </c>
      <c r="J83" s="113"/>
      <c r="K83" s="113"/>
      <c r="L83" s="113"/>
      <c r="M83" s="113"/>
      <c r="N83" s="113"/>
      <c r="O83" s="113"/>
      <c r="P83" s="113"/>
      <c r="Q83" s="113"/>
    </row>
    <row r="84" spans="1:17" hidden="1" x14ac:dyDescent="0.5"/>
    <row r="85" spans="1:17" hidden="1" x14ac:dyDescent="0.5"/>
    <row r="86" spans="1:17" hidden="1" x14ac:dyDescent="0.5"/>
    <row r="87" spans="1:17" hidden="1" x14ac:dyDescent="0.5"/>
    <row r="88" spans="1:17" hidden="1" x14ac:dyDescent="0.5"/>
    <row r="89" spans="1:17" hidden="1" x14ac:dyDescent="0.5"/>
    <row r="90" spans="1:17" hidden="1" x14ac:dyDescent="0.5"/>
    <row r="91" spans="1:17" hidden="1" x14ac:dyDescent="0.5"/>
    <row r="92" spans="1:17" hidden="1" x14ac:dyDescent="0.5"/>
    <row r="93" spans="1:17" hidden="1" x14ac:dyDescent="0.5"/>
    <row r="94" spans="1:17" hidden="1" x14ac:dyDescent="0.5"/>
    <row r="95" spans="1:17" hidden="1" x14ac:dyDescent="0.5"/>
    <row r="96" spans="1:17" hidden="1" x14ac:dyDescent="0.5"/>
    <row r="97" hidden="1" x14ac:dyDescent="0.5"/>
    <row r="98" hidden="1" x14ac:dyDescent="0.5"/>
    <row r="99" hidden="1" x14ac:dyDescent="0.5"/>
    <row r="100" hidden="1" x14ac:dyDescent="0.5"/>
    <row r="101" hidden="1" x14ac:dyDescent="0.5"/>
    <row r="102" hidden="1" x14ac:dyDescent="0.5"/>
    <row r="103" hidden="1" x14ac:dyDescent="0.5"/>
    <row r="104" hidden="1" x14ac:dyDescent="0.5"/>
    <row r="105" hidden="1" x14ac:dyDescent="0.5"/>
    <row r="106" hidden="1" x14ac:dyDescent="0.5"/>
    <row r="107" hidden="1" x14ac:dyDescent="0.5"/>
    <row r="108" hidden="1" x14ac:dyDescent="0.5"/>
    <row r="109" hidden="1" x14ac:dyDescent="0.5"/>
    <row r="110" hidden="1" x14ac:dyDescent="0.5"/>
    <row r="111" hidden="1" x14ac:dyDescent="0.5"/>
    <row r="112" hidden="1" x14ac:dyDescent="0.5"/>
    <row r="113" hidden="1" x14ac:dyDescent="0.5"/>
    <row r="114" hidden="1" x14ac:dyDescent="0.5"/>
    <row r="115" hidden="1" x14ac:dyDescent="0.5"/>
    <row r="116" hidden="1" x14ac:dyDescent="0.5"/>
    <row r="117" hidden="1" x14ac:dyDescent="0.5"/>
    <row r="118" hidden="1" x14ac:dyDescent="0.5"/>
    <row r="119" hidden="1" x14ac:dyDescent="0.5"/>
    <row r="120" hidden="1" x14ac:dyDescent="0.5"/>
    <row r="121" hidden="1" x14ac:dyDescent="0.5"/>
    <row r="122" hidden="1" x14ac:dyDescent="0.5"/>
    <row r="123" hidden="1" x14ac:dyDescent="0.5"/>
    <row r="124" hidden="1" x14ac:dyDescent="0.5"/>
    <row r="125" hidden="1" x14ac:dyDescent="0.5"/>
    <row r="126" hidden="1" x14ac:dyDescent="0.5"/>
    <row r="127" hidden="1" x14ac:dyDescent="0.5"/>
    <row r="128" hidden="1" x14ac:dyDescent="0.5"/>
    <row r="129" hidden="1" x14ac:dyDescent="0.5"/>
    <row r="130" hidden="1" x14ac:dyDescent="0.5"/>
    <row r="131" hidden="1" x14ac:dyDescent="0.5"/>
    <row r="132" hidden="1" x14ac:dyDescent="0.5"/>
    <row r="133" hidden="1" x14ac:dyDescent="0.5"/>
    <row r="134" hidden="1" x14ac:dyDescent="0.5"/>
    <row r="135" hidden="1" x14ac:dyDescent="0.5"/>
    <row r="136" hidden="1" x14ac:dyDescent="0.5"/>
    <row r="137" hidden="1" x14ac:dyDescent="0.5"/>
    <row r="138" hidden="1" x14ac:dyDescent="0.5"/>
    <row r="139" hidden="1" x14ac:dyDescent="0.5"/>
    <row r="140" hidden="1" x14ac:dyDescent="0.5"/>
    <row r="141" hidden="1" x14ac:dyDescent="0.5"/>
    <row r="142" hidden="1" x14ac:dyDescent="0.5"/>
    <row r="143" hidden="1" x14ac:dyDescent="0.5"/>
    <row r="144" hidden="1" x14ac:dyDescent="0.5"/>
    <row r="145" hidden="1" x14ac:dyDescent="0.5"/>
    <row r="146" hidden="1" x14ac:dyDescent="0.5"/>
    <row r="147" hidden="1" x14ac:dyDescent="0.5"/>
    <row r="148" hidden="1" x14ac:dyDescent="0.5"/>
    <row r="149" hidden="1" x14ac:dyDescent="0.5"/>
    <row r="150" hidden="1" x14ac:dyDescent="0.5"/>
    <row r="151" hidden="1" x14ac:dyDescent="0.5"/>
    <row r="152" hidden="1" x14ac:dyDescent="0.5"/>
    <row r="153" hidden="1" x14ac:dyDescent="0.5"/>
    <row r="154" hidden="1" x14ac:dyDescent="0.5"/>
    <row r="155" hidden="1" x14ac:dyDescent="0.5"/>
    <row r="156" hidden="1" x14ac:dyDescent="0.5"/>
    <row r="157" hidden="1" x14ac:dyDescent="0.5"/>
    <row r="158" hidden="1" x14ac:dyDescent="0.5"/>
    <row r="159" hidden="1" x14ac:dyDescent="0.5"/>
    <row r="160" hidden="1" x14ac:dyDescent="0.5"/>
    <row r="161" hidden="1" x14ac:dyDescent="0.5"/>
    <row r="162" hidden="1" x14ac:dyDescent="0.5"/>
    <row r="163" hidden="1" x14ac:dyDescent="0.5"/>
    <row r="164" hidden="1" x14ac:dyDescent="0.5"/>
    <row r="165" hidden="1" x14ac:dyDescent="0.5"/>
    <row r="166" hidden="1" x14ac:dyDescent="0.5"/>
    <row r="167" hidden="1" x14ac:dyDescent="0.5"/>
    <row r="168" hidden="1" x14ac:dyDescent="0.5"/>
    <row r="169" hidden="1" x14ac:dyDescent="0.5"/>
    <row r="170" hidden="1" x14ac:dyDescent="0.5"/>
    <row r="171" hidden="1" x14ac:dyDescent="0.5"/>
    <row r="172" hidden="1" x14ac:dyDescent="0.5"/>
    <row r="173" hidden="1" x14ac:dyDescent="0.5"/>
    <row r="174" hidden="1" x14ac:dyDescent="0.5"/>
    <row r="175" hidden="1" x14ac:dyDescent="0.5"/>
    <row r="176" hidden="1" x14ac:dyDescent="0.5"/>
    <row r="177" hidden="1" x14ac:dyDescent="0.5"/>
    <row r="178" hidden="1" x14ac:dyDescent="0.5"/>
    <row r="179" hidden="1" x14ac:dyDescent="0.5"/>
    <row r="180" hidden="1" x14ac:dyDescent="0.5"/>
    <row r="181" hidden="1" x14ac:dyDescent="0.5"/>
    <row r="182" hidden="1" x14ac:dyDescent="0.5"/>
    <row r="183" hidden="1" x14ac:dyDescent="0.5"/>
    <row r="184" hidden="1" x14ac:dyDescent="0.5"/>
    <row r="185" hidden="1" x14ac:dyDescent="0.5"/>
    <row r="186" hidden="1" x14ac:dyDescent="0.5"/>
    <row r="187" hidden="1" x14ac:dyDescent="0.5"/>
    <row r="188" hidden="1" x14ac:dyDescent="0.5"/>
    <row r="189" hidden="1" x14ac:dyDescent="0.5"/>
    <row r="190" hidden="1" x14ac:dyDescent="0.5"/>
    <row r="191" hidden="1" x14ac:dyDescent="0.5"/>
    <row r="192" hidden="1" x14ac:dyDescent="0.5"/>
    <row r="193" hidden="1" x14ac:dyDescent="0.5"/>
    <row r="194" hidden="1" x14ac:dyDescent="0.5"/>
    <row r="195" hidden="1" x14ac:dyDescent="0.5"/>
    <row r="196" hidden="1" x14ac:dyDescent="0.5"/>
    <row r="197" hidden="1" x14ac:dyDescent="0.5"/>
    <row r="198" hidden="1" x14ac:dyDescent="0.5"/>
    <row r="199" hidden="1" x14ac:dyDescent="0.5"/>
    <row r="200" hidden="1" x14ac:dyDescent="0.5"/>
    <row r="201" hidden="1" x14ac:dyDescent="0.5"/>
    <row r="202" hidden="1" x14ac:dyDescent="0.5"/>
    <row r="203" hidden="1" x14ac:dyDescent="0.5"/>
    <row r="204" hidden="1" x14ac:dyDescent="0.5"/>
    <row r="205" hidden="1" x14ac:dyDescent="0.5"/>
    <row r="206" hidden="1" x14ac:dyDescent="0.5"/>
    <row r="207" hidden="1" x14ac:dyDescent="0.5"/>
    <row r="208" hidden="1" x14ac:dyDescent="0.5"/>
    <row r="209" hidden="1" x14ac:dyDescent="0.5"/>
    <row r="210" hidden="1" x14ac:dyDescent="0.5"/>
    <row r="211" hidden="1" x14ac:dyDescent="0.5"/>
    <row r="212" hidden="1" x14ac:dyDescent="0.5"/>
    <row r="213" hidden="1" x14ac:dyDescent="0.5"/>
    <row r="214" hidden="1" x14ac:dyDescent="0.5"/>
    <row r="215" hidden="1" x14ac:dyDescent="0.5"/>
    <row r="216" hidden="1" x14ac:dyDescent="0.5"/>
    <row r="217" hidden="1" x14ac:dyDescent="0.5"/>
    <row r="218" hidden="1" x14ac:dyDescent="0.5"/>
    <row r="219" hidden="1" x14ac:dyDescent="0.5"/>
    <row r="220" hidden="1" x14ac:dyDescent="0.5"/>
    <row r="221" hidden="1" x14ac:dyDescent="0.5"/>
    <row r="222" hidden="1" x14ac:dyDescent="0.5"/>
    <row r="223" hidden="1" x14ac:dyDescent="0.5"/>
    <row r="224" hidden="1" x14ac:dyDescent="0.5"/>
    <row r="225" hidden="1" x14ac:dyDescent="0.5"/>
    <row r="226" hidden="1" x14ac:dyDescent="0.5"/>
    <row r="227" hidden="1" x14ac:dyDescent="0.5"/>
    <row r="228" hidden="1" x14ac:dyDescent="0.5"/>
    <row r="229" hidden="1" x14ac:dyDescent="0.5"/>
    <row r="230" hidden="1" x14ac:dyDescent="0.5"/>
    <row r="231" hidden="1" x14ac:dyDescent="0.5"/>
    <row r="232" hidden="1" x14ac:dyDescent="0.5"/>
    <row r="233" hidden="1" x14ac:dyDescent="0.5"/>
    <row r="234" hidden="1" x14ac:dyDescent="0.5"/>
    <row r="235" hidden="1" x14ac:dyDescent="0.5"/>
    <row r="236" hidden="1" x14ac:dyDescent="0.5"/>
    <row r="237" hidden="1" x14ac:dyDescent="0.5"/>
    <row r="238" hidden="1" x14ac:dyDescent="0.5"/>
    <row r="239" hidden="1" x14ac:dyDescent="0.5"/>
    <row r="240" hidden="1" x14ac:dyDescent="0.5"/>
    <row r="241" hidden="1" x14ac:dyDescent="0.5"/>
    <row r="242" hidden="1" x14ac:dyDescent="0.5"/>
    <row r="243" hidden="1" x14ac:dyDescent="0.5"/>
    <row r="244" hidden="1" x14ac:dyDescent="0.5"/>
    <row r="245" hidden="1" x14ac:dyDescent="0.5"/>
    <row r="246" hidden="1" x14ac:dyDescent="0.5"/>
    <row r="247" hidden="1" x14ac:dyDescent="0.5"/>
    <row r="248" hidden="1" x14ac:dyDescent="0.5"/>
    <row r="249" hidden="1" x14ac:dyDescent="0.5"/>
    <row r="250" hidden="1" x14ac:dyDescent="0.5"/>
    <row r="251" hidden="1" x14ac:dyDescent="0.5"/>
    <row r="252" hidden="1" x14ac:dyDescent="0.5"/>
    <row r="253" hidden="1" x14ac:dyDescent="0.5"/>
    <row r="254" hidden="1" x14ac:dyDescent="0.5"/>
    <row r="255" hidden="1" x14ac:dyDescent="0.5"/>
    <row r="256" hidden="1" x14ac:dyDescent="0.5"/>
    <row r="257" hidden="1" x14ac:dyDescent="0.5"/>
    <row r="258" hidden="1" x14ac:dyDescent="0.5"/>
    <row r="259" hidden="1" x14ac:dyDescent="0.5"/>
    <row r="260" hidden="1" x14ac:dyDescent="0.5"/>
    <row r="261" hidden="1" x14ac:dyDescent="0.5"/>
    <row r="262" hidden="1" x14ac:dyDescent="0.5"/>
    <row r="263" hidden="1" x14ac:dyDescent="0.5"/>
    <row r="264" hidden="1" x14ac:dyDescent="0.5"/>
    <row r="265" hidden="1" x14ac:dyDescent="0.5"/>
    <row r="266" hidden="1" x14ac:dyDescent="0.5"/>
    <row r="267" hidden="1" x14ac:dyDescent="0.5"/>
    <row r="268" hidden="1" x14ac:dyDescent="0.5"/>
    <row r="269" hidden="1" x14ac:dyDescent="0.5"/>
    <row r="270" hidden="1" x14ac:dyDescent="0.5"/>
    <row r="271" hidden="1" x14ac:dyDescent="0.5"/>
    <row r="272" hidden="1" x14ac:dyDescent="0.5"/>
    <row r="273" hidden="1" x14ac:dyDescent="0.5"/>
    <row r="274" hidden="1" x14ac:dyDescent="0.5"/>
    <row r="275" hidden="1" x14ac:dyDescent="0.5"/>
    <row r="276" hidden="1" x14ac:dyDescent="0.5"/>
    <row r="277" hidden="1" x14ac:dyDescent="0.5"/>
    <row r="278" hidden="1" x14ac:dyDescent="0.5"/>
    <row r="279" hidden="1" x14ac:dyDescent="0.5"/>
    <row r="280" hidden="1" x14ac:dyDescent="0.5"/>
    <row r="281" hidden="1" x14ac:dyDescent="0.5"/>
    <row r="282" hidden="1" x14ac:dyDescent="0.5"/>
    <row r="283" hidden="1" x14ac:dyDescent="0.5"/>
    <row r="284" hidden="1" x14ac:dyDescent="0.5"/>
    <row r="285" hidden="1" x14ac:dyDescent="0.5"/>
    <row r="286" hidden="1" x14ac:dyDescent="0.5"/>
    <row r="287" hidden="1" x14ac:dyDescent="0.5"/>
    <row r="288" hidden="1" x14ac:dyDescent="0.5"/>
    <row r="289" hidden="1" x14ac:dyDescent="0.5"/>
    <row r="290" hidden="1" x14ac:dyDescent="0.5"/>
    <row r="291" hidden="1" x14ac:dyDescent="0.5"/>
    <row r="292" hidden="1" x14ac:dyDescent="0.5"/>
    <row r="293" hidden="1" x14ac:dyDescent="0.5"/>
    <row r="294" hidden="1" x14ac:dyDescent="0.5"/>
    <row r="295" hidden="1" x14ac:dyDescent="0.5"/>
    <row r="296" hidden="1" x14ac:dyDescent="0.5"/>
    <row r="297" hidden="1" x14ac:dyDescent="0.5"/>
    <row r="298" hidden="1" x14ac:dyDescent="0.5"/>
    <row r="299" hidden="1" x14ac:dyDescent="0.5"/>
    <row r="300" hidden="1" x14ac:dyDescent="0.5"/>
    <row r="301" hidden="1" x14ac:dyDescent="0.5"/>
    <row r="302" hidden="1" x14ac:dyDescent="0.5"/>
    <row r="303" hidden="1" x14ac:dyDescent="0.5"/>
    <row r="304" hidden="1" x14ac:dyDescent="0.5"/>
    <row r="305" hidden="1" x14ac:dyDescent="0.5"/>
    <row r="306" hidden="1" x14ac:dyDescent="0.5"/>
    <row r="307" hidden="1" x14ac:dyDescent="0.5"/>
    <row r="308" hidden="1" x14ac:dyDescent="0.5"/>
    <row r="309" hidden="1" x14ac:dyDescent="0.5"/>
    <row r="310" hidden="1" x14ac:dyDescent="0.5"/>
    <row r="311" hidden="1" x14ac:dyDescent="0.5"/>
    <row r="312" hidden="1" x14ac:dyDescent="0.5"/>
    <row r="313" hidden="1" x14ac:dyDescent="0.5"/>
    <row r="314" hidden="1" x14ac:dyDescent="0.5"/>
    <row r="315" hidden="1" x14ac:dyDescent="0.5"/>
    <row r="316" hidden="1" x14ac:dyDescent="0.5"/>
    <row r="317" hidden="1" x14ac:dyDescent="0.5"/>
    <row r="318" hidden="1" x14ac:dyDescent="0.5"/>
    <row r="319" hidden="1" x14ac:dyDescent="0.5"/>
    <row r="320" hidden="1" x14ac:dyDescent="0.5"/>
    <row r="321" hidden="1" x14ac:dyDescent="0.5"/>
    <row r="322" hidden="1" x14ac:dyDescent="0.5"/>
    <row r="323" hidden="1" x14ac:dyDescent="0.5"/>
    <row r="324" hidden="1" x14ac:dyDescent="0.5"/>
    <row r="325" hidden="1" x14ac:dyDescent="0.5"/>
    <row r="326" hidden="1" x14ac:dyDescent="0.5"/>
    <row r="327" hidden="1" x14ac:dyDescent="0.5"/>
    <row r="328" hidden="1" x14ac:dyDescent="0.5"/>
    <row r="329" hidden="1" x14ac:dyDescent="0.5"/>
    <row r="330" hidden="1" x14ac:dyDescent="0.5"/>
    <row r="331" hidden="1" x14ac:dyDescent="0.5"/>
    <row r="332" hidden="1" x14ac:dyDescent="0.5"/>
    <row r="333" hidden="1" x14ac:dyDescent="0.5"/>
    <row r="334" hidden="1" x14ac:dyDescent="0.5"/>
    <row r="335" hidden="1" x14ac:dyDescent="0.5"/>
    <row r="336" hidden="1" x14ac:dyDescent="0.5"/>
    <row r="337" hidden="1" x14ac:dyDescent="0.5"/>
    <row r="338" hidden="1" x14ac:dyDescent="0.5"/>
    <row r="339" hidden="1" x14ac:dyDescent="0.5"/>
    <row r="340" hidden="1" x14ac:dyDescent="0.5"/>
    <row r="341" hidden="1" x14ac:dyDescent="0.5"/>
    <row r="342" hidden="1" x14ac:dyDescent="0.5"/>
    <row r="343" hidden="1" x14ac:dyDescent="0.5"/>
    <row r="344" hidden="1" x14ac:dyDescent="0.5"/>
    <row r="345" hidden="1" x14ac:dyDescent="0.5"/>
    <row r="346" hidden="1" x14ac:dyDescent="0.5"/>
    <row r="347" hidden="1" x14ac:dyDescent="0.5"/>
    <row r="348" hidden="1" x14ac:dyDescent="0.5"/>
    <row r="349" hidden="1" x14ac:dyDescent="0.5"/>
    <row r="350" hidden="1" x14ac:dyDescent="0.5"/>
    <row r="351" hidden="1" x14ac:dyDescent="0.5"/>
    <row r="352" hidden="1" x14ac:dyDescent="0.5"/>
    <row r="353" hidden="1" x14ac:dyDescent="0.5"/>
    <row r="354" hidden="1" x14ac:dyDescent="0.5"/>
    <row r="355" hidden="1" x14ac:dyDescent="0.5"/>
    <row r="356" hidden="1" x14ac:dyDescent="0.5"/>
    <row r="357" hidden="1" x14ac:dyDescent="0.5"/>
    <row r="358" hidden="1" x14ac:dyDescent="0.5"/>
    <row r="359" hidden="1" x14ac:dyDescent="0.5"/>
    <row r="360" hidden="1" x14ac:dyDescent="0.5"/>
    <row r="361" hidden="1" x14ac:dyDescent="0.5"/>
    <row r="362" hidden="1" x14ac:dyDescent="0.5"/>
    <row r="363" hidden="1" x14ac:dyDescent="0.5"/>
    <row r="364" hidden="1" x14ac:dyDescent="0.5"/>
    <row r="365" hidden="1" x14ac:dyDescent="0.5"/>
    <row r="366" hidden="1" x14ac:dyDescent="0.5"/>
    <row r="367" hidden="1" x14ac:dyDescent="0.5"/>
    <row r="368" hidden="1" x14ac:dyDescent="0.5"/>
    <row r="369" spans="1:17" hidden="1" x14ac:dyDescent="0.5">
      <c r="H369" s="195"/>
    </row>
    <row r="370" spans="1:17" hidden="1" x14ac:dyDescent="0.5"/>
    <row r="371" spans="1:17" hidden="1" x14ac:dyDescent="0.5"/>
    <row r="372" spans="1:17" s="88" customFormat="1" x14ac:dyDescent="0.5">
      <c r="A372" s="88" t="s">
        <v>380</v>
      </c>
      <c r="D372" s="90"/>
      <c r="J372" s="87"/>
      <c r="K372" s="87"/>
      <c r="L372" s="87"/>
      <c r="M372" s="87"/>
      <c r="N372" s="87"/>
      <c r="O372" s="87"/>
      <c r="P372" s="87"/>
      <c r="Q372" s="87"/>
    </row>
    <row r="373" spans="1:17" ht="33.75" customHeight="1" x14ac:dyDescent="0.75">
      <c r="A373" s="1239" t="s">
        <v>364</v>
      </c>
      <c r="B373" s="1239"/>
      <c r="C373" s="1239"/>
      <c r="D373" s="1239"/>
      <c r="E373" s="1239"/>
      <c r="F373" s="1239"/>
      <c r="G373" s="1239"/>
      <c r="H373" s="1239"/>
      <c r="I373" s="1239"/>
    </row>
    <row r="374" spans="1:17" s="180" customFormat="1" ht="30.75" customHeight="1" x14ac:dyDescent="0.5">
      <c r="A374" s="1235" t="s">
        <v>254</v>
      </c>
      <c r="B374" s="1235"/>
      <c r="C374" s="1235"/>
      <c r="D374" s="1235"/>
      <c r="E374" s="1235"/>
      <c r="F374" s="199" t="s">
        <v>293</v>
      </c>
      <c r="G374" s="199" t="s">
        <v>17</v>
      </c>
      <c r="H374" s="199" t="s">
        <v>60</v>
      </c>
      <c r="I374" s="198" t="s">
        <v>66</v>
      </c>
      <c r="J374" s="179"/>
      <c r="K374" s="179"/>
      <c r="L374" s="179"/>
      <c r="M374" s="179"/>
      <c r="N374" s="179"/>
      <c r="O374" s="179"/>
      <c r="P374" s="179"/>
      <c r="Q374" s="179"/>
    </row>
    <row r="375" spans="1:17" ht="26.25" customHeight="1" x14ac:dyDescent="0.5">
      <c r="A375" s="119" t="s">
        <v>365</v>
      </c>
      <c r="B375" s="205"/>
      <c r="C375" s="205"/>
      <c r="D375" s="120"/>
      <c r="E375" s="121"/>
      <c r="F375" s="109" t="e">
        <f>SUM(F376:F377)</f>
        <v>#REF!</v>
      </c>
      <c r="G375" s="109" t="e">
        <f>SUM(G376:G377)</f>
        <v>#REF!</v>
      </c>
      <c r="H375" s="109" t="e">
        <f>SUM(H376:H377)</f>
        <v>#REF!</v>
      </c>
      <c r="I375" s="112" t="e">
        <f t="shared" ref="I375:I384" si="8">+G375*100/F375</f>
        <v>#REF!</v>
      </c>
    </row>
    <row r="376" spans="1:17" s="88" customFormat="1" ht="26.25" customHeight="1" x14ac:dyDescent="0.5">
      <c r="A376" s="116">
        <v>1</v>
      </c>
      <c r="B376" s="159"/>
      <c r="C376" s="1244" t="s">
        <v>366</v>
      </c>
      <c r="D376" s="1244"/>
      <c r="E376" s="1245"/>
      <c r="F376" s="106" t="e">
        <f>+#REF!</f>
        <v>#REF!</v>
      </c>
      <c r="G376" s="106" t="e">
        <f>+#REF!</f>
        <v>#REF!</v>
      </c>
      <c r="H376" s="106" t="e">
        <f>+F376-G376</f>
        <v>#REF!</v>
      </c>
      <c r="I376" s="206" t="e">
        <f t="shared" si="8"/>
        <v>#REF!</v>
      </c>
      <c r="J376" s="87"/>
      <c r="K376" s="87"/>
      <c r="L376" s="87"/>
      <c r="M376" s="87"/>
      <c r="N376" s="87"/>
      <c r="O376" s="87"/>
      <c r="P376" s="87"/>
      <c r="Q376" s="87"/>
    </row>
    <row r="377" spans="1:17" ht="26.25" customHeight="1" x14ac:dyDescent="0.5">
      <c r="A377" s="116">
        <v>2</v>
      </c>
      <c r="B377" s="159"/>
      <c r="C377" s="1244" t="s">
        <v>367</v>
      </c>
      <c r="D377" s="1244"/>
      <c r="E377" s="1245"/>
      <c r="F377" s="106" t="e">
        <f>+#REF!</f>
        <v>#REF!</v>
      </c>
      <c r="G377" s="106" t="e">
        <f>+#REF!</f>
        <v>#REF!</v>
      </c>
      <c r="H377" s="106" t="e">
        <f>+F377-G377</f>
        <v>#REF!</v>
      </c>
      <c r="I377" s="206" t="e">
        <f t="shared" si="8"/>
        <v>#REF!</v>
      </c>
    </row>
    <row r="378" spans="1:17" ht="26.25" customHeight="1" x14ac:dyDescent="0.5">
      <c r="A378" s="119" t="s">
        <v>368</v>
      </c>
      <c r="B378" s="205"/>
      <c r="C378" s="205"/>
      <c r="D378" s="120"/>
      <c r="E378" s="121"/>
      <c r="F378" s="109">
        <f>+F379+F380+F383</f>
        <v>88233672.099999994</v>
      </c>
      <c r="G378" s="109">
        <f>SUM(G379+G380+G383)</f>
        <v>78131597.409999996</v>
      </c>
      <c r="H378" s="109">
        <f>SUM(H379+H380+H383)</f>
        <v>10102074.689999998</v>
      </c>
      <c r="I378" s="112">
        <f t="shared" si="8"/>
        <v>88.550771548359947</v>
      </c>
    </row>
    <row r="379" spans="1:17" s="88" customFormat="1" ht="26.25" customHeight="1" x14ac:dyDescent="0.5">
      <c r="A379" s="116">
        <v>1</v>
      </c>
      <c r="B379" s="159"/>
      <c r="C379" s="1244" t="s">
        <v>14</v>
      </c>
      <c r="D379" s="1244"/>
      <c r="E379" s="1245"/>
      <c r="F379" s="106">
        <f>+'12. เงินกันปี 62'!I11</f>
        <v>775261.5</v>
      </c>
      <c r="G379" s="106">
        <f>+'12. เงินกันปี 62'!J11</f>
        <v>770011.5</v>
      </c>
      <c r="H379" s="106">
        <f>+F379-G379</f>
        <v>5250</v>
      </c>
      <c r="I379" s="206">
        <f t="shared" si="8"/>
        <v>99.322809142463541</v>
      </c>
      <c r="J379" s="87"/>
      <c r="K379" s="87"/>
      <c r="L379" s="87"/>
      <c r="M379" s="87"/>
      <c r="N379" s="87"/>
      <c r="O379" s="87"/>
      <c r="P379" s="87"/>
      <c r="Q379" s="87"/>
    </row>
    <row r="380" spans="1:17" s="88" customFormat="1" ht="26.25" customHeight="1" x14ac:dyDescent="0.5">
      <c r="A380" s="116">
        <v>2</v>
      </c>
      <c r="B380" s="159"/>
      <c r="C380" s="207" t="s">
        <v>15</v>
      </c>
      <c r="D380" s="208"/>
      <c r="E380" s="209"/>
      <c r="F380" s="109">
        <f>SUM(F381:F382)</f>
        <v>85945210.599999994</v>
      </c>
      <c r="G380" s="109">
        <f>SUM(G381:G382)</f>
        <v>75848385.909999996</v>
      </c>
      <c r="H380" s="109">
        <f>SUM(H381:H382)</f>
        <v>10096824.689999998</v>
      </c>
      <c r="I380" s="112">
        <f t="shared" si="8"/>
        <v>88.252021701369827</v>
      </c>
      <c r="J380" s="87"/>
      <c r="K380" s="87"/>
      <c r="L380" s="87"/>
      <c r="M380" s="87"/>
      <c r="N380" s="87"/>
      <c r="O380" s="87"/>
      <c r="P380" s="87"/>
      <c r="Q380" s="87"/>
    </row>
    <row r="381" spans="1:17" s="88" customFormat="1" ht="26.25" customHeight="1" x14ac:dyDescent="0.5">
      <c r="A381" s="116"/>
      <c r="B381" s="159"/>
      <c r="C381" s="210">
        <v>2.1</v>
      </c>
      <c r="D381" s="207" t="s">
        <v>369</v>
      </c>
      <c r="E381" s="211"/>
      <c r="F381" s="106">
        <f>+'12. เงินกันปี 62'!I27</f>
        <v>3521436.6</v>
      </c>
      <c r="G381" s="106">
        <f>+'12. เงินกันปี 62'!J27</f>
        <v>3521436.6</v>
      </c>
      <c r="H381" s="106">
        <f>+'12. เงินกันปี 62'!K27</f>
        <v>0</v>
      </c>
      <c r="I381" s="206">
        <f t="shared" si="8"/>
        <v>100</v>
      </c>
      <c r="J381" s="87"/>
      <c r="K381" s="87"/>
      <c r="L381" s="87"/>
      <c r="M381" s="87"/>
      <c r="N381" s="87"/>
      <c r="O381" s="87"/>
      <c r="P381" s="87"/>
      <c r="Q381" s="87"/>
    </row>
    <row r="382" spans="1:17" s="88" customFormat="1" ht="26.25" customHeight="1" x14ac:dyDescent="0.5">
      <c r="A382" s="116"/>
      <c r="B382" s="159"/>
      <c r="C382" s="210">
        <v>2.2000000000000002</v>
      </c>
      <c r="D382" s="1244" t="s">
        <v>370</v>
      </c>
      <c r="E382" s="1245"/>
      <c r="F382" s="106">
        <f>+'12. เงินกันปี 62'!I34</f>
        <v>82423774</v>
      </c>
      <c r="G382" s="106">
        <f>+'12. เงินกันปี 62'!J34</f>
        <v>72326949.310000002</v>
      </c>
      <c r="H382" s="106">
        <f>+F382-G382</f>
        <v>10096824.689999998</v>
      </c>
      <c r="I382" s="206">
        <f t="shared" si="8"/>
        <v>87.750106310346823</v>
      </c>
      <c r="J382" s="87"/>
      <c r="K382" s="87"/>
      <c r="L382" s="87"/>
      <c r="M382" s="87"/>
      <c r="N382" s="87"/>
      <c r="O382" s="87"/>
      <c r="P382" s="87"/>
      <c r="Q382" s="87"/>
    </row>
    <row r="383" spans="1:17" s="88" customFormat="1" ht="26.25" customHeight="1" x14ac:dyDescent="0.5">
      <c r="A383" s="116">
        <v>3</v>
      </c>
      <c r="B383" s="159"/>
      <c r="C383" s="207" t="s">
        <v>16</v>
      </c>
      <c r="D383" s="207"/>
      <c r="E383" s="211"/>
      <c r="F383" s="106">
        <f>+'12. เงินกันปี 62'!I39</f>
        <v>1513200</v>
      </c>
      <c r="G383" s="106">
        <f>+'12. เงินกันปี 62'!J39</f>
        <v>1513200</v>
      </c>
      <c r="H383" s="106">
        <f>+F383-G383</f>
        <v>0</v>
      </c>
      <c r="I383" s="206">
        <f t="shared" si="8"/>
        <v>100</v>
      </c>
      <c r="J383" s="87"/>
      <c r="K383" s="87"/>
      <c r="L383" s="87"/>
      <c r="M383" s="87"/>
      <c r="N383" s="87"/>
      <c r="O383" s="87"/>
      <c r="P383" s="87"/>
      <c r="Q383" s="87"/>
    </row>
    <row r="384" spans="1:17" ht="30.75" customHeight="1" x14ac:dyDescent="0.5">
      <c r="A384" s="1241" t="s">
        <v>371</v>
      </c>
      <c r="B384" s="1242"/>
      <c r="C384" s="1242"/>
      <c r="D384" s="1242"/>
      <c r="E384" s="1243"/>
      <c r="F384" s="236" t="e">
        <f>+F375+F378</f>
        <v>#REF!</v>
      </c>
      <c r="G384" s="236" t="e">
        <f>+G375+G378</f>
        <v>#REF!</v>
      </c>
      <c r="H384" s="236" t="e">
        <f>+H375+H378</f>
        <v>#REF!</v>
      </c>
      <c r="I384" s="237" t="e">
        <f t="shared" si="8"/>
        <v>#REF!</v>
      </c>
    </row>
    <row r="385" spans="1:17" ht="27.75" x14ac:dyDescent="0.5">
      <c r="A385" s="84" t="s">
        <v>389</v>
      </c>
    </row>
    <row r="386" spans="1:17" x14ac:dyDescent="0.5">
      <c r="A386" s="84" t="s">
        <v>390</v>
      </c>
    </row>
    <row r="387" spans="1:17" x14ac:dyDescent="0.5">
      <c r="A387" s="84" t="s">
        <v>374</v>
      </c>
      <c r="I387" s="195"/>
    </row>
    <row r="388" spans="1:17" ht="32.25" customHeight="1" x14ac:dyDescent="0.5">
      <c r="A388" s="1195" t="s">
        <v>375</v>
      </c>
      <c r="B388" s="1195"/>
      <c r="C388" s="1195"/>
      <c r="D388" s="1195"/>
      <c r="E388" s="1195"/>
      <c r="F388" s="1195"/>
      <c r="G388" s="1195"/>
      <c r="H388" s="1195"/>
      <c r="I388" s="1195"/>
    </row>
    <row r="389" spans="1:17" ht="83.25" x14ac:dyDescent="0.5">
      <c r="A389" s="1238" t="s">
        <v>254</v>
      </c>
      <c r="B389" s="1238"/>
      <c r="C389" s="1238"/>
      <c r="D389" s="224" t="s">
        <v>166</v>
      </c>
      <c r="E389" s="224" t="s">
        <v>17</v>
      </c>
      <c r="F389" s="224" t="s">
        <v>60</v>
      </c>
      <c r="G389" s="224" t="s">
        <v>376</v>
      </c>
      <c r="H389" s="224" t="s">
        <v>377</v>
      </c>
      <c r="I389" s="224" t="s">
        <v>165</v>
      </c>
    </row>
    <row r="390" spans="1:17" s="88" customFormat="1" x14ac:dyDescent="0.5">
      <c r="A390" s="215" t="s">
        <v>378</v>
      </c>
      <c r="B390" s="241"/>
      <c r="C390" s="216" t="s">
        <v>379</v>
      </c>
      <c r="D390" s="217"/>
      <c r="E390" s="218"/>
      <c r="F390" s="218"/>
      <c r="G390" s="218"/>
      <c r="H390" s="218"/>
      <c r="I390" s="218"/>
      <c r="J390" s="87"/>
      <c r="K390" s="87"/>
      <c r="L390" s="87"/>
      <c r="M390" s="87"/>
      <c r="N390" s="87"/>
      <c r="O390" s="87"/>
      <c r="P390" s="87"/>
      <c r="Q390" s="87"/>
    </row>
    <row r="391" spans="1:17" s="88" customFormat="1" x14ac:dyDescent="0.5">
      <c r="A391" s="219"/>
      <c r="B391" s="242"/>
      <c r="C391" s="220">
        <f>+'เบิกแทน กรมคุม'!J104</f>
        <v>0</v>
      </c>
      <c r="D391" s="221">
        <v>0</v>
      </c>
      <c r="E391" s="222">
        <f>+'เบิกแทน กรมคุม'!K104</f>
        <v>0</v>
      </c>
      <c r="F391" s="222">
        <f>+C391-D391-E391</f>
        <v>0</v>
      </c>
      <c r="G391" s="222" t="e">
        <f>+E391*100/C391</f>
        <v>#DIV/0!</v>
      </c>
      <c r="H391" s="223" t="e">
        <f>+D391+E391*100/C391</f>
        <v>#DIV/0!</v>
      </c>
      <c r="I391" s="225"/>
      <c r="J391" s="87"/>
      <c r="K391" s="87"/>
      <c r="L391" s="87"/>
      <c r="M391" s="87"/>
      <c r="N391" s="87"/>
      <c r="O391" s="87"/>
      <c r="P391" s="87"/>
      <c r="Q391" s="87"/>
    </row>
  </sheetData>
  <mergeCells count="40">
    <mergeCell ref="A60:I60"/>
    <mergeCell ref="A58:I58"/>
    <mergeCell ref="A59:I59"/>
    <mergeCell ref="A388:I388"/>
    <mergeCell ref="A389:C389"/>
    <mergeCell ref="A373:I373"/>
    <mergeCell ref="A70:E70"/>
    <mergeCell ref="A384:E384"/>
    <mergeCell ref="A374:E374"/>
    <mergeCell ref="C376:E376"/>
    <mergeCell ref="C377:E377"/>
    <mergeCell ref="C379:E379"/>
    <mergeCell ref="D382:E382"/>
    <mergeCell ref="A83:E83"/>
    <mergeCell ref="C82:E82"/>
    <mergeCell ref="C81:E81"/>
    <mergeCell ref="A69:I69"/>
    <mergeCell ref="A66:I66"/>
    <mergeCell ref="A67:I67"/>
    <mergeCell ref="A61:E61"/>
    <mergeCell ref="A68:I68"/>
    <mergeCell ref="A4:I4"/>
    <mergeCell ref="A1:I1"/>
    <mergeCell ref="A2:I2"/>
    <mergeCell ref="A3:I3"/>
    <mergeCell ref="A32:I32"/>
    <mergeCell ref="C38:D38"/>
    <mergeCell ref="A13:I13"/>
    <mergeCell ref="A24:I24"/>
    <mergeCell ref="A25:D25"/>
    <mergeCell ref="A57:I57"/>
    <mergeCell ref="A31:I31"/>
    <mergeCell ref="A35:D35"/>
    <mergeCell ref="C36:D36"/>
    <mergeCell ref="A37:D37"/>
    <mergeCell ref="E33:H33"/>
    <mergeCell ref="A33:D34"/>
    <mergeCell ref="A39:D39"/>
    <mergeCell ref="C40:D40"/>
    <mergeCell ref="A41:I41"/>
  </mergeCells>
  <pageMargins left="0.45" right="0.35433070866141736" top="0.38" bottom="0.39" header="0.15748031496062992" footer="0.16"/>
  <pageSetup paperSize="9" orientation="landscape" r:id="rId1"/>
  <headerFooter>
    <oddFooter>หน้าที่ &amp;P จาก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2060"/>
  </sheetPr>
  <dimension ref="A1:M123"/>
  <sheetViews>
    <sheetView topLeftCell="A6" zoomScaleNormal="100" workbookViewId="0">
      <pane ySplit="1455" activePane="bottomLeft"/>
      <selection sqref="A1:XFD1048576"/>
      <selection pane="bottomLeft" activeCell="A4" sqref="A4:M4"/>
    </sheetView>
  </sheetViews>
  <sheetFormatPr defaultRowHeight="21.75" x14ac:dyDescent="0.5"/>
  <cols>
    <col min="1" max="1" width="6.42578125" style="296" bestFit="1" customWidth="1"/>
    <col min="2" max="2" width="15.42578125" style="296" bestFit="1" customWidth="1"/>
    <col min="3" max="3" width="16.140625" style="500" bestFit="1" customWidth="1"/>
    <col min="4" max="4" width="15.140625" style="501" bestFit="1" customWidth="1"/>
    <col min="5" max="6" width="14.5703125" style="501" bestFit="1" customWidth="1"/>
    <col min="7" max="7" width="15.140625" style="296" bestFit="1" customWidth="1"/>
    <col min="8" max="8" width="12.7109375" style="296" bestFit="1" customWidth="1"/>
    <col min="9" max="9" width="14.5703125" style="296" bestFit="1" customWidth="1"/>
    <col min="10" max="10" width="15.140625" style="296" bestFit="1" customWidth="1"/>
    <col min="11" max="12" width="14.5703125" style="296" bestFit="1" customWidth="1"/>
    <col min="13" max="13" width="16.85546875" style="502" bestFit="1" customWidth="1"/>
    <col min="14" max="14" width="9.140625" style="296"/>
    <col min="15" max="15" width="9.140625" style="296" customWidth="1"/>
    <col min="16" max="16384" width="9.140625" style="296"/>
  </cols>
  <sheetData>
    <row r="1" spans="1:13" ht="29.25" x14ac:dyDescent="0.6">
      <c r="A1" s="1251" t="s">
        <v>57</v>
      </c>
      <c r="B1" s="1251"/>
      <c r="C1" s="1251"/>
      <c r="D1" s="1251"/>
      <c r="E1" s="1251"/>
      <c r="F1" s="1251"/>
      <c r="G1" s="1251"/>
      <c r="H1" s="1251"/>
      <c r="I1" s="1251"/>
      <c r="J1" s="1251"/>
      <c r="K1" s="1251"/>
      <c r="L1" s="1251"/>
      <c r="M1" s="1251"/>
    </row>
    <row r="2" spans="1:13" ht="29.25" x14ac:dyDescent="0.5">
      <c r="A2" s="1252" t="s">
        <v>742</v>
      </c>
      <c r="B2" s="1252"/>
      <c r="C2" s="1252"/>
      <c r="D2" s="1252"/>
      <c r="E2" s="1252"/>
      <c r="F2" s="1252"/>
      <c r="G2" s="1252"/>
      <c r="H2" s="1252"/>
      <c r="I2" s="1252"/>
      <c r="J2" s="1252"/>
      <c r="K2" s="1252"/>
      <c r="L2" s="1252"/>
      <c r="M2" s="1252"/>
    </row>
    <row r="3" spans="1:13" ht="29.25" x14ac:dyDescent="0.5">
      <c r="A3" s="1252" t="s">
        <v>192</v>
      </c>
      <c r="B3" s="1252"/>
      <c r="C3" s="1252"/>
      <c r="D3" s="1252"/>
      <c r="E3" s="1252"/>
      <c r="F3" s="1252"/>
      <c r="G3" s="1252"/>
      <c r="H3" s="1252"/>
      <c r="I3" s="1252"/>
      <c r="J3" s="1252"/>
      <c r="K3" s="1252"/>
      <c r="L3" s="1252"/>
      <c r="M3" s="1252"/>
    </row>
    <row r="4" spans="1:13" ht="29.25" x14ac:dyDescent="0.5">
      <c r="A4" s="1252" t="s">
        <v>759</v>
      </c>
      <c r="B4" s="1252"/>
      <c r="C4" s="1252"/>
      <c r="D4" s="1252"/>
      <c r="E4" s="1252"/>
      <c r="F4" s="1252"/>
      <c r="G4" s="1252"/>
      <c r="H4" s="1252"/>
      <c r="I4" s="1252"/>
      <c r="J4" s="1252"/>
      <c r="K4" s="1252"/>
      <c r="L4" s="1252"/>
      <c r="M4" s="1252"/>
    </row>
    <row r="5" spans="1:13" ht="29.25" x14ac:dyDescent="0.5">
      <c r="A5" s="1253" t="str">
        <f>+งบรายจ่ายอื่น!A4:K4</f>
        <v>ตั้งแต่วันที่ 1  ตุลาคม 2564 ถึงวันที่ 31 ตุลาคม 2564</v>
      </c>
      <c r="B5" s="1252"/>
      <c r="C5" s="1252"/>
      <c r="D5" s="1252"/>
      <c r="E5" s="1252"/>
      <c r="F5" s="1252"/>
      <c r="G5" s="1252"/>
      <c r="H5" s="1252"/>
      <c r="I5" s="1252"/>
      <c r="J5" s="1252"/>
      <c r="K5" s="1252"/>
      <c r="L5" s="1252"/>
      <c r="M5" s="1252"/>
    </row>
    <row r="6" spans="1:13" s="39" customFormat="1" ht="27.75" x14ac:dyDescent="0.45">
      <c r="A6" s="1254" t="s">
        <v>0</v>
      </c>
      <c r="B6" s="1254" t="s">
        <v>1</v>
      </c>
      <c r="C6" s="1254"/>
      <c r="D6" s="1255" t="s">
        <v>295</v>
      </c>
      <c r="E6" s="1256"/>
      <c r="F6" s="1257"/>
      <c r="G6" s="1258" t="s">
        <v>296</v>
      </c>
      <c r="H6" s="1259"/>
      <c r="I6" s="1260"/>
      <c r="J6" s="1261" t="s">
        <v>297</v>
      </c>
      <c r="K6" s="1262"/>
      <c r="L6" s="1262"/>
      <c r="M6" s="4" t="s">
        <v>66</v>
      </c>
    </row>
    <row r="7" spans="1:13" s="39" customFormat="1" ht="27.75" x14ac:dyDescent="0.45">
      <c r="A7" s="1254"/>
      <c r="B7" s="1254"/>
      <c r="C7" s="1254"/>
      <c r="D7" s="66" t="s">
        <v>67</v>
      </c>
      <c r="E7" s="66" t="s">
        <v>17</v>
      </c>
      <c r="F7" s="186" t="s">
        <v>60</v>
      </c>
      <c r="G7" s="189" t="s">
        <v>67</v>
      </c>
      <c r="H7" s="66" t="s">
        <v>17</v>
      </c>
      <c r="I7" s="186" t="s">
        <v>60</v>
      </c>
      <c r="J7" s="188" t="s">
        <v>67</v>
      </c>
      <c r="K7" s="185" t="s">
        <v>17</v>
      </c>
      <c r="L7" s="297" t="s">
        <v>60</v>
      </c>
      <c r="M7" s="5" t="s">
        <v>111</v>
      </c>
    </row>
    <row r="8" spans="1:13" ht="24" hidden="1" x14ac:dyDescent="0.5">
      <c r="A8" s="2">
        <v>1</v>
      </c>
      <c r="B8" s="74" t="s">
        <v>193</v>
      </c>
      <c r="C8" s="75"/>
      <c r="D8" s="67">
        <v>0</v>
      </c>
      <c r="E8" s="3">
        <v>0</v>
      </c>
      <c r="F8" s="187">
        <f>+D8-E8</f>
        <v>0</v>
      </c>
      <c r="G8" s="67">
        <v>0</v>
      </c>
      <c r="H8" s="3">
        <v>0</v>
      </c>
      <c r="I8" s="190">
        <f>+G8-H8</f>
        <v>0</v>
      </c>
      <c r="J8" s="292">
        <f>+D8+G8</f>
        <v>0</v>
      </c>
      <c r="K8" s="3">
        <f>+E8+H8</f>
        <v>0</v>
      </c>
      <c r="L8" s="3">
        <f>+J8-K8</f>
        <v>0</v>
      </c>
      <c r="M8" s="503" t="e">
        <f>+K8*100/J8</f>
        <v>#DIV/0!</v>
      </c>
    </row>
    <row r="9" spans="1:13" ht="24" x14ac:dyDescent="0.5">
      <c r="A9" s="2">
        <v>1</v>
      </c>
      <c r="B9" s="74" t="s">
        <v>203</v>
      </c>
      <c r="C9" s="75" t="s">
        <v>221</v>
      </c>
      <c r="D9" s="67">
        <v>0</v>
      </c>
      <c r="E9" s="3">
        <v>0</v>
      </c>
      <c r="F9" s="187">
        <f t="shared" ref="F9:F72" si="0">+D9-E9</f>
        <v>0</v>
      </c>
      <c r="G9" s="67">
        <v>0</v>
      </c>
      <c r="H9" s="3">
        <v>0</v>
      </c>
      <c r="I9" s="190">
        <f>+G9-H9</f>
        <v>0</v>
      </c>
      <c r="J9" s="292">
        <f>+D9+G9</f>
        <v>0</v>
      </c>
      <c r="K9" s="3">
        <f>+E9+H9</f>
        <v>0</v>
      </c>
      <c r="L9" s="3">
        <f>+J9-K9</f>
        <v>0</v>
      </c>
      <c r="M9" s="503">
        <v>0</v>
      </c>
    </row>
    <row r="10" spans="1:13" ht="24" x14ac:dyDescent="0.5">
      <c r="A10" s="2">
        <v>2</v>
      </c>
      <c r="B10" s="74" t="s">
        <v>194</v>
      </c>
      <c r="C10" s="75" t="s">
        <v>18</v>
      </c>
      <c r="D10" s="67">
        <v>0</v>
      </c>
      <c r="E10" s="3">
        <v>0</v>
      </c>
      <c r="F10" s="187">
        <f t="shared" si="0"/>
        <v>0</v>
      </c>
      <c r="G10" s="67">
        <v>0</v>
      </c>
      <c r="H10" s="3">
        <v>0</v>
      </c>
      <c r="I10" s="190">
        <f t="shared" ref="I10:I73" si="1">+G10-H10</f>
        <v>0</v>
      </c>
      <c r="J10" s="292">
        <f t="shared" ref="J10:K73" si="2">+D10+G10</f>
        <v>0</v>
      </c>
      <c r="K10" s="3">
        <f t="shared" si="2"/>
        <v>0</v>
      </c>
      <c r="L10" s="3">
        <f t="shared" ref="L10:L73" si="3">+J10-K10</f>
        <v>0</v>
      </c>
      <c r="M10" s="503">
        <v>0</v>
      </c>
    </row>
    <row r="11" spans="1:13" ht="24" x14ac:dyDescent="0.5">
      <c r="A11" s="2">
        <v>3</v>
      </c>
      <c r="B11" s="74" t="s">
        <v>194</v>
      </c>
      <c r="C11" s="75" t="s">
        <v>76</v>
      </c>
      <c r="D11" s="67">
        <v>0</v>
      </c>
      <c r="E11" s="3">
        <v>0</v>
      </c>
      <c r="F11" s="187">
        <f>+D11-E11</f>
        <v>0</v>
      </c>
      <c r="G11" s="67">
        <v>0</v>
      </c>
      <c r="H11" s="3">
        <v>0</v>
      </c>
      <c r="I11" s="190">
        <f t="shared" si="1"/>
        <v>0</v>
      </c>
      <c r="J11" s="292">
        <f t="shared" si="2"/>
        <v>0</v>
      </c>
      <c r="K11" s="3">
        <f t="shared" si="2"/>
        <v>0</v>
      </c>
      <c r="L11" s="3">
        <f t="shared" si="3"/>
        <v>0</v>
      </c>
      <c r="M11" s="503">
        <v>0</v>
      </c>
    </row>
    <row r="12" spans="1:13" ht="24" x14ac:dyDescent="0.5">
      <c r="A12" s="2">
        <v>4</v>
      </c>
      <c r="B12" s="74" t="s">
        <v>194</v>
      </c>
      <c r="C12" s="75" t="s">
        <v>116</v>
      </c>
      <c r="D12" s="67">
        <v>0</v>
      </c>
      <c r="E12" s="3">
        <v>0</v>
      </c>
      <c r="F12" s="187">
        <f t="shared" si="0"/>
        <v>0</v>
      </c>
      <c r="G12" s="67">
        <v>0</v>
      </c>
      <c r="H12" s="3">
        <v>0</v>
      </c>
      <c r="I12" s="190">
        <f t="shared" si="1"/>
        <v>0</v>
      </c>
      <c r="J12" s="292">
        <f t="shared" si="2"/>
        <v>0</v>
      </c>
      <c r="K12" s="3">
        <f t="shared" si="2"/>
        <v>0</v>
      </c>
      <c r="L12" s="3">
        <f t="shared" si="3"/>
        <v>0</v>
      </c>
      <c r="M12" s="503">
        <v>0</v>
      </c>
    </row>
    <row r="13" spans="1:13" ht="24" x14ac:dyDescent="0.5">
      <c r="A13" s="2">
        <v>5</v>
      </c>
      <c r="B13" s="74" t="s">
        <v>194</v>
      </c>
      <c r="C13" s="75" t="s">
        <v>73</v>
      </c>
      <c r="D13" s="67">
        <v>67500</v>
      </c>
      <c r="E13" s="3">
        <v>37200</v>
      </c>
      <c r="F13" s="187">
        <f t="shared" si="0"/>
        <v>30300</v>
      </c>
      <c r="G13" s="67">
        <v>0</v>
      </c>
      <c r="H13" s="3">
        <v>0</v>
      </c>
      <c r="I13" s="190">
        <f t="shared" si="1"/>
        <v>0</v>
      </c>
      <c r="J13" s="292">
        <f t="shared" si="2"/>
        <v>67500</v>
      </c>
      <c r="K13" s="3">
        <f t="shared" si="2"/>
        <v>37200</v>
      </c>
      <c r="L13" s="3">
        <f t="shared" si="3"/>
        <v>30300</v>
      </c>
      <c r="M13" s="503">
        <f t="shared" ref="M13:M71" si="4">+K13*100/J13</f>
        <v>55.111111111111114</v>
      </c>
    </row>
    <row r="14" spans="1:13" ht="24" x14ac:dyDescent="0.5">
      <c r="A14" s="2">
        <v>6</v>
      </c>
      <c r="B14" s="74" t="s">
        <v>194</v>
      </c>
      <c r="C14" s="75" t="s">
        <v>106</v>
      </c>
      <c r="D14" s="67">
        <v>0</v>
      </c>
      <c r="E14" s="3">
        <v>0</v>
      </c>
      <c r="F14" s="187">
        <f t="shared" si="0"/>
        <v>0</v>
      </c>
      <c r="G14" s="67">
        <v>0</v>
      </c>
      <c r="H14" s="3">
        <v>0</v>
      </c>
      <c r="I14" s="190">
        <f t="shared" si="1"/>
        <v>0</v>
      </c>
      <c r="J14" s="292">
        <f t="shared" si="2"/>
        <v>0</v>
      </c>
      <c r="K14" s="3">
        <f t="shared" si="2"/>
        <v>0</v>
      </c>
      <c r="L14" s="3">
        <f t="shared" si="3"/>
        <v>0</v>
      </c>
      <c r="M14" s="503">
        <v>0</v>
      </c>
    </row>
    <row r="15" spans="1:13" ht="24" x14ac:dyDescent="0.5">
      <c r="A15" s="2">
        <v>7</v>
      </c>
      <c r="B15" s="74" t="s">
        <v>195</v>
      </c>
      <c r="C15" s="75"/>
      <c r="D15" s="67">
        <v>0</v>
      </c>
      <c r="E15" s="3">
        <v>0</v>
      </c>
      <c r="F15" s="187">
        <f t="shared" si="0"/>
        <v>0</v>
      </c>
      <c r="G15" s="67">
        <v>0</v>
      </c>
      <c r="H15" s="3">
        <v>0</v>
      </c>
      <c r="I15" s="190">
        <f t="shared" si="1"/>
        <v>0</v>
      </c>
      <c r="J15" s="292">
        <f t="shared" si="2"/>
        <v>0</v>
      </c>
      <c r="K15" s="3">
        <f t="shared" si="2"/>
        <v>0</v>
      </c>
      <c r="L15" s="3">
        <f t="shared" si="3"/>
        <v>0</v>
      </c>
      <c r="M15" s="503">
        <v>0</v>
      </c>
    </row>
    <row r="16" spans="1:13" ht="24" x14ac:dyDescent="0.5">
      <c r="A16" s="2">
        <v>8</v>
      </c>
      <c r="B16" s="74" t="s">
        <v>196</v>
      </c>
      <c r="C16" s="75"/>
      <c r="D16" s="67">
        <v>0</v>
      </c>
      <c r="E16" s="3">
        <v>0</v>
      </c>
      <c r="F16" s="187">
        <f t="shared" si="0"/>
        <v>0</v>
      </c>
      <c r="G16" s="67">
        <v>0</v>
      </c>
      <c r="H16" s="3">
        <v>0</v>
      </c>
      <c r="I16" s="190">
        <f t="shared" si="1"/>
        <v>0</v>
      </c>
      <c r="J16" s="292">
        <f t="shared" si="2"/>
        <v>0</v>
      </c>
      <c r="K16" s="3">
        <f>+E16+H16</f>
        <v>0</v>
      </c>
      <c r="L16" s="3">
        <f t="shared" si="3"/>
        <v>0</v>
      </c>
      <c r="M16" s="503">
        <v>0</v>
      </c>
    </row>
    <row r="17" spans="1:13" ht="24" x14ac:dyDescent="0.5">
      <c r="A17" s="2">
        <v>9</v>
      </c>
      <c r="B17" s="74" t="s">
        <v>197</v>
      </c>
      <c r="C17" s="75"/>
      <c r="D17" s="67">
        <v>0</v>
      </c>
      <c r="E17" s="3">
        <v>0</v>
      </c>
      <c r="F17" s="187">
        <f t="shared" si="0"/>
        <v>0</v>
      </c>
      <c r="G17" s="67">
        <v>0</v>
      </c>
      <c r="H17" s="3">
        <v>0</v>
      </c>
      <c r="I17" s="190">
        <f t="shared" si="1"/>
        <v>0</v>
      </c>
      <c r="J17" s="292">
        <f t="shared" si="2"/>
        <v>0</v>
      </c>
      <c r="K17" s="3">
        <f t="shared" si="2"/>
        <v>0</v>
      </c>
      <c r="L17" s="3">
        <f t="shared" si="3"/>
        <v>0</v>
      </c>
      <c r="M17" s="503">
        <v>0</v>
      </c>
    </row>
    <row r="18" spans="1:13" ht="24" x14ac:dyDescent="0.5">
      <c r="A18" s="2">
        <v>10</v>
      </c>
      <c r="B18" s="74" t="s">
        <v>198</v>
      </c>
      <c r="C18" s="75"/>
      <c r="D18" s="67">
        <v>0</v>
      </c>
      <c r="E18" s="3">
        <v>0</v>
      </c>
      <c r="F18" s="187">
        <f t="shared" si="0"/>
        <v>0</v>
      </c>
      <c r="G18" s="67">
        <v>0</v>
      </c>
      <c r="H18" s="3">
        <v>0</v>
      </c>
      <c r="I18" s="190">
        <f t="shared" si="1"/>
        <v>0</v>
      </c>
      <c r="J18" s="292">
        <f t="shared" si="2"/>
        <v>0</v>
      </c>
      <c r="K18" s="3">
        <f t="shared" si="2"/>
        <v>0</v>
      </c>
      <c r="L18" s="3">
        <f t="shared" si="3"/>
        <v>0</v>
      </c>
      <c r="M18" s="503">
        <v>0</v>
      </c>
    </row>
    <row r="19" spans="1:13" ht="24" x14ac:dyDescent="0.5">
      <c r="A19" s="2">
        <v>11</v>
      </c>
      <c r="B19" s="74" t="s">
        <v>199</v>
      </c>
      <c r="C19" s="75"/>
      <c r="D19" s="67">
        <v>54000</v>
      </c>
      <c r="E19" s="3">
        <v>37819.339999999997</v>
      </c>
      <c r="F19" s="187">
        <f t="shared" si="0"/>
        <v>16180.660000000003</v>
      </c>
      <c r="G19" s="67">
        <v>0</v>
      </c>
      <c r="H19" s="3">
        <v>0</v>
      </c>
      <c r="I19" s="190">
        <f t="shared" si="1"/>
        <v>0</v>
      </c>
      <c r="J19" s="292">
        <f t="shared" si="2"/>
        <v>54000</v>
      </c>
      <c r="K19" s="3">
        <f t="shared" si="2"/>
        <v>37819.339999999997</v>
      </c>
      <c r="L19" s="3">
        <f t="shared" si="3"/>
        <v>16180.660000000003</v>
      </c>
      <c r="M19" s="503">
        <f t="shared" si="4"/>
        <v>70.035814814814813</v>
      </c>
    </row>
    <row r="20" spans="1:13" ht="24" x14ac:dyDescent="0.5">
      <c r="A20" s="2">
        <v>12</v>
      </c>
      <c r="B20" s="74" t="s">
        <v>200</v>
      </c>
      <c r="C20" s="75"/>
      <c r="D20" s="67">
        <v>94500</v>
      </c>
      <c r="E20" s="3">
        <v>20400</v>
      </c>
      <c r="F20" s="187">
        <f t="shared" si="0"/>
        <v>74100</v>
      </c>
      <c r="G20" s="67">
        <v>0</v>
      </c>
      <c r="H20" s="3">
        <v>0</v>
      </c>
      <c r="I20" s="190">
        <f t="shared" si="1"/>
        <v>0</v>
      </c>
      <c r="J20" s="292">
        <f t="shared" si="2"/>
        <v>94500</v>
      </c>
      <c r="K20" s="3">
        <f t="shared" si="2"/>
        <v>20400</v>
      </c>
      <c r="L20" s="3">
        <f t="shared" si="3"/>
        <v>74100</v>
      </c>
      <c r="M20" s="503">
        <f t="shared" si="4"/>
        <v>21.587301587301589</v>
      </c>
    </row>
    <row r="21" spans="1:13" ht="24" x14ac:dyDescent="0.5">
      <c r="A21" s="2">
        <v>13</v>
      </c>
      <c r="B21" s="74" t="s">
        <v>201</v>
      </c>
      <c r="C21" s="75"/>
      <c r="D21" s="67">
        <v>27000</v>
      </c>
      <c r="E21" s="3">
        <v>5400</v>
      </c>
      <c r="F21" s="187">
        <f t="shared" si="0"/>
        <v>21600</v>
      </c>
      <c r="G21" s="67">
        <v>100000</v>
      </c>
      <c r="H21" s="3">
        <v>0</v>
      </c>
      <c r="I21" s="190">
        <f t="shared" si="1"/>
        <v>100000</v>
      </c>
      <c r="J21" s="292">
        <f t="shared" si="2"/>
        <v>127000</v>
      </c>
      <c r="K21" s="3">
        <f t="shared" si="2"/>
        <v>5400</v>
      </c>
      <c r="L21" s="3">
        <f t="shared" si="3"/>
        <v>121600</v>
      </c>
      <c r="M21" s="503">
        <f t="shared" si="4"/>
        <v>4.2519685039370083</v>
      </c>
    </row>
    <row r="22" spans="1:13" ht="24" x14ac:dyDescent="0.5">
      <c r="A22" s="2">
        <v>14</v>
      </c>
      <c r="B22" s="74" t="s">
        <v>205</v>
      </c>
      <c r="C22" s="75"/>
      <c r="D22" s="67">
        <v>13500</v>
      </c>
      <c r="E22" s="3">
        <v>9000</v>
      </c>
      <c r="F22" s="187">
        <f t="shared" si="0"/>
        <v>4500</v>
      </c>
      <c r="G22" s="67">
        <v>0</v>
      </c>
      <c r="H22" s="3">
        <v>0</v>
      </c>
      <c r="I22" s="190">
        <f t="shared" si="1"/>
        <v>0</v>
      </c>
      <c r="J22" s="292">
        <f t="shared" si="2"/>
        <v>13500</v>
      </c>
      <c r="K22" s="3">
        <f t="shared" si="2"/>
        <v>9000</v>
      </c>
      <c r="L22" s="3">
        <f t="shared" si="3"/>
        <v>4500</v>
      </c>
      <c r="M22" s="503">
        <f t="shared" si="4"/>
        <v>66.666666666666671</v>
      </c>
    </row>
    <row r="23" spans="1:13" ht="24" x14ac:dyDescent="0.5">
      <c r="A23" s="2">
        <v>15</v>
      </c>
      <c r="B23" s="74" t="s">
        <v>206</v>
      </c>
      <c r="C23" s="75"/>
      <c r="D23" s="67">
        <v>0</v>
      </c>
      <c r="E23" s="3">
        <v>0</v>
      </c>
      <c r="F23" s="187">
        <f t="shared" si="0"/>
        <v>0</v>
      </c>
      <c r="G23" s="67">
        <v>0</v>
      </c>
      <c r="H23" s="3">
        <v>0</v>
      </c>
      <c r="I23" s="190">
        <f t="shared" si="1"/>
        <v>0</v>
      </c>
      <c r="J23" s="292">
        <f t="shared" si="2"/>
        <v>0</v>
      </c>
      <c r="K23" s="3">
        <f t="shared" si="2"/>
        <v>0</v>
      </c>
      <c r="L23" s="3">
        <f t="shared" si="3"/>
        <v>0</v>
      </c>
      <c r="M23" s="503">
        <v>0</v>
      </c>
    </row>
    <row r="24" spans="1:13" ht="24" x14ac:dyDescent="0.5">
      <c r="A24" s="2">
        <v>16</v>
      </c>
      <c r="B24" s="74" t="s">
        <v>203</v>
      </c>
      <c r="C24" s="75" t="s">
        <v>126</v>
      </c>
      <c r="D24" s="67">
        <v>0</v>
      </c>
      <c r="E24" s="3">
        <v>0</v>
      </c>
      <c r="F24" s="187">
        <f t="shared" si="0"/>
        <v>0</v>
      </c>
      <c r="G24" s="67">
        <v>0</v>
      </c>
      <c r="H24" s="3">
        <v>0</v>
      </c>
      <c r="I24" s="190">
        <f t="shared" si="1"/>
        <v>0</v>
      </c>
      <c r="J24" s="292">
        <f t="shared" si="2"/>
        <v>0</v>
      </c>
      <c r="K24" s="3">
        <f t="shared" si="2"/>
        <v>0</v>
      </c>
      <c r="L24" s="3">
        <f t="shared" si="3"/>
        <v>0</v>
      </c>
      <c r="M24" s="503">
        <v>0</v>
      </c>
    </row>
    <row r="25" spans="1:13" ht="24" x14ac:dyDescent="0.5">
      <c r="A25" s="2">
        <v>17</v>
      </c>
      <c r="B25" s="74" t="s">
        <v>203</v>
      </c>
      <c r="C25" s="75" t="s">
        <v>127</v>
      </c>
      <c r="D25" s="67">
        <v>0</v>
      </c>
      <c r="E25" s="3">
        <v>0</v>
      </c>
      <c r="F25" s="187">
        <f t="shared" si="0"/>
        <v>0</v>
      </c>
      <c r="G25" s="67">
        <v>0</v>
      </c>
      <c r="H25" s="3">
        <v>0</v>
      </c>
      <c r="I25" s="190">
        <f t="shared" si="1"/>
        <v>0</v>
      </c>
      <c r="J25" s="292">
        <f t="shared" si="2"/>
        <v>0</v>
      </c>
      <c r="K25" s="3">
        <f t="shared" si="2"/>
        <v>0</v>
      </c>
      <c r="L25" s="3">
        <f t="shared" si="3"/>
        <v>0</v>
      </c>
      <c r="M25" s="503">
        <v>0</v>
      </c>
    </row>
    <row r="26" spans="1:13" ht="24" x14ac:dyDescent="0.5">
      <c r="A26" s="2">
        <v>18</v>
      </c>
      <c r="B26" s="74" t="s">
        <v>203</v>
      </c>
      <c r="C26" s="75" t="s">
        <v>19</v>
      </c>
      <c r="D26" s="67">
        <v>27000</v>
      </c>
      <c r="E26" s="3">
        <v>4500</v>
      </c>
      <c r="F26" s="187">
        <f t="shared" si="0"/>
        <v>22500</v>
      </c>
      <c r="G26" s="67">
        <v>0</v>
      </c>
      <c r="H26" s="3">
        <v>0</v>
      </c>
      <c r="I26" s="190">
        <f t="shared" si="1"/>
        <v>0</v>
      </c>
      <c r="J26" s="292">
        <f t="shared" si="2"/>
        <v>27000</v>
      </c>
      <c r="K26" s="3">
        <f t="shared" si="2"/>
        <v>4500</v>
      </c>
      <c r="L26" s="3">
        <f t="shared" si="3"/>
        <v>22500</v>
      </c>
      <c r="M26" s="503">
        <f t="shared" si="4"/>
        <v>16.666666666666668</v>
      </c>
    </row>
    <row r="27" spans="1:13" ht="24" x14ac:dyDescent="0.5">
      <c r="A27" s="2">
        <v>19</v>
      </c>
      <c r="B27" s="74" t="s">
        <v>203</v>
      </c>
      <c r="C27" s="75" t="s">
        <v>20</v>
      </c>
      <c r="D27" s="67">
        <v>5100</v>
      </c>
      <c r="E27" s="3">
        <v>0</v>
      </c>
      <c r="F27" s="187">
        <f t="shared" si="0"/>
        <v>5100</v>
      </c>
      <c r="G27" s="67">
        <v>0</v>
      </c>
      <c r="H27" s="3">
        <v>0</v>
      </c>
      <c r="I27" s="190">
        <f t="shared" si="1"/>
        <v>0</v>
      </c>
      <c r="J27" s="292">
        <f t="shared" si="2"/>
        <v>5100</v>
      </c>
      <c r="K27" s="3">
        <f t="shared" si="2"/>
        <v>0</v>
      </c>
      <c r="L27" s="3">
        <f t="shared" si="3"/>
        <v>5100</v>
      </c>
      <c r="M27" s="503">
        <v>0</v>
      </c>
    </row>
    <row r="28" spans="1:13" ht="24" x14ac:dyDescent="0.5">
      <c r="A28" s="2">
        <v>20</v>
      </c>
      <c r="B28" s="74" t="s">
        <v>203</v>
      </c>
      <c r="C28" s="75" t="s">
        <v>128</v>
      </c>
      <c r="D28" s="67">
        <v>13500</v>
      </c>
      <c r="E28" s="3">
        <v>9000</v>
      </c>
      <c r="F28" s="187">
        <f t="shared" si="0"/>
        <v>4500</v>
      </c>
      <c r="G28" s="67">
        <v>0</v>
      </c>
      <c r="H28" s="3">
        <v>0</v>
      </c>
      <c r="I28" s="190">
        <f t="shared" si="1"/>
        <v>0</v>
      </c>
      <c r="J28" s="292">
        <f t="shared" si="2"/>
        <v>13500</v>
      </c>
      <c r="K28" s="3">
        <f t="shared" si="2"/>
        <v>9000</v>
      </c>
      <c r="L28" s="3">
        <f t="shared" si="3"/>
        <v>4500</v>
      </c>
      <c r="M28" s="503">
        <f t="shared" si="4"/>
        <v>66.666666666666671</v>
      </c>
    </row>
    <row r="29" spans="1:13" ht="24" x14ac:dyDescent="0.5">
      <c r="A29" s="2">
        <v>21</v>
      </c>
      <c r="B29" s="74" t="s">
        <v>203</v>
      </c>
      <c r="C29" s="75" t="s">
        <v>129</v>
      </c>
      <c r="D29" s="67">
        <v>0</v>
      </c>
      <c r="E29" s="3">
        <v>0</v>
      </c>
      <c r="F29" s="187">
        <f t="shared" si="0"/>
        <v>0</v>
      </c>
      <c r="G29" s="67">
        <v>0</v>
      </c>
      <c r="H29" s="3">
        <v>0</v>
      </c>
      <c r="I29" s="190">
        <f t="shared" si="1"/>
        <v>0</v>
      </c>
      <c r="J29" s="292">
        <f t="shared" si="2"/>
        <v>0</v>
      </c>
      <c r="K29" s="3">
        <f t="shared" si="2"/>
        <v>0</v>
      </c>
      <c r="L29" s="3">
        <f t="shared" si="3"/>
        <v>0</v>
      </c>
      <c r="M29" s="503">
        <v>0</v>
      </c>
    </row>
    <row r="30" spans="1:13" ht="24" x14ac:dyDescent="0.5">
      <c r="A30" s="2">
        <v>22</v>
      </c>
      <c r="B30" s="74" t="s">
        <v>203</v>
      </c>
      <c r="C30" s="75" t="s">
        <v>130</v>
      </c>
      <c r="D30" s="67">
        <v>67500</v>
      </c>
      <c r="E30" s="3">
        <v>51000</v>
      </c>
      <c r="F30" s="187">
        <f t="shared" si="0"/>
        <v>16500</v>
      </c>
      <c r="G30" s="67">
        <v>75000</v>
      </c>
      <c r="H30" s="3">
        <f>23700+20850+450+30000</f>
        <v>75000</v>
      </c>
      <c r="I30" s="190">
        <f t="shared" si="1"/>
        <v>0</v>
      </c>
      <c r="J30" s="292">
        <f t="shared" si="2"/>
        <v>142500</v>
      </c>
      <c r="K30" s="3">
        <f t="shared" si="2"/>
        <v>126000</v>
      </c>
      <c r="L30" s="3">
        <f t="shared" si="3"/>
        <v>16500</v>
      </c>
      <c r="M30" s="503">
        <f t="shared" si="4"/>
        <v>88.421052631578945</v>
      </c>
    </row>
    <row r="31" spans="1:13" ht="24" x14ac:dyDescent="0.5">
      <c r="A31" s="2">
        <v>23</v>
      </c>
      <c r="B31" s="74" t="s">
        <v>203</v>
      </c>
      <c r="C31" s="75" t="s">
        <v>21</v>
      </c>
      <c r="D31" s="67">
        <v>0</v>
      </c>
      <c r="E31" s="3">
        <v>0</v>
      </c>
      <c r="F31" s="187">
        <f t="shared" si="0"/>
        <v>0</v>
      </c>
      <c r="G31" s="67">
        <v>0</v>
      </c>
      <c r="H31" s="3">
        <v>0</v>
      </c>
      <c r="I31" s="190">
        <f t="shared" si="1"/>
        <v>0</v>
      </c>
      <c r="J31" s="292">
        <f t="shared" si="2"/>
        <v>0</v>
      </c>
      <c r="K31" s="3">
        <f t="shared" si="2"/>
        <v>0</v>
      </c>
      <c r="L31" s="3">
        <f t="shared" si="3"/>
        <v>0</v>
      </c>
      <c r="M31" s="503">
        <v>0</v>
      </c>
    </row>
    <row r="32" spans="1:13" ht="24" x14ac:dyDescent="0.5">
      <c r="A32" s="2">
        <v>24</v>
      </c>
      <c r="B32" s="74" t="s">
        <v>203</v>
      </c>
      <c r="C32" s="75" t="s">
        <v>22</v>
      </c>
      <c r="D32" s="67">
        <v>13500</v>
      </c>
      <c r="E32" s="3">
        <v>0</v>
      </c>
      <c r="F32" s="187">
        <f t="shared" si="0"/>
        <v>13500</v>
      </c>
      <c r="G32" s="67">
        <v>0</v>
      </c>
      <c r="H32" s="3">
        <v>0</v>
      </c>
      <c r="I32" s="190">
        <f t="shared" si="1"/>
        <v>0</v>
      </c>
      <c r="J32" s="292">
        <f t="shared" si="2"/>
        <v>13500</v>
      </c>
      <c r="K32" s="3">
        <f t="shared" si="2"/>
        <v>0</v>
      </c>
      <c r="L32" s="3">
        <f t="shared" si="3"/>
        <v>13500</v>
      </c>
      <c r="M32" s="503">
        <f t="shared" si="4"/>
        <v>0</v>
      </c>
    </row>
    <row r="33" spans="1:13" ht="24" x14ac:dyDescent="0.5">
      <c r="A33" s="2">
        <v>25</v>
      </c>
      <c r="B33" s="74" t="s">
        <v>203</v>
      </c>
      <c r="C33" s="75" t="s">
        <v>131</v>
      </c>
      <c r="D33" s="67">
        <v>13500</v>
      </c>
      <c r="E33" s="3">
        <v>8128.96</v>
      </c>
      <c r="F33" s="187">
        <f t="shared" si="0"/>
        <v>5371.04</v>
      </c>
      <c r="G33" s="67">
        <v>0</v>
      </c>
      <c r="H33" s="3">
        <v>0</v>
      </c>
      <c r="I33" s="190">
        <f t="shared" si="1"/>
        <v>0</v>
      </c>
      <c r="J33" s="292">
        <f t="shared" si="2"/>
        <v>13500</v>
      </c>
      <c r="K33" s="3">
        <f t="shared" si="2"/>
        <v>8128.96</v>
      </c>
      <c r="L33" s="3">
        <f t="shared" si="3"/>
        <v>5371.04</v>
      </c>
      <c r="M33" s="503">
        <f t="shared" si="4"/>
        <v>60.214518518518517</v>
      </c>
    </row>
    <row r="34" spans="1:13" ht="24" x14ac:dyDescent="0.5">
      <c r="A34" s="2">
        <v>26</v>
      </c>
      <c r="B34" s="74" t="s">
        <v>203</v>
      </c>
      <c r="C34" s="75" t="s">
        <v>132</v>
      </c>
      <c r="D34" s="67">
        <v>0</v>
      </c>
      <c r="E34" s="3">
        <v>0</v>
      </c>
      <c r="F34" s="187">
        <f t="shared" si="0"/>
        <v>0</v>
      </c>
      <c r="G34" s="67">
        <v>0</v>
      </c>
      <c r="H34" s="3">
        <v>0</v>
      </c>
      <c r="I34" s="190">
        <f t="shared" si="1"/>
        <v>0</v>
      </c>
      <c r="J34" s="292">
        <f t="shared" si="2"/>
        <v>0</v>
      </c>
      <c r="K34" s="3">
        <f t="shared" si="2"/>
        <v>0</v>
      </c>
      <c r="L34" s="3">
        <f t="shared" si="3"/>
        <v>0</v>
      </c>
      <c r="M34" s="503">
        <v>0</v>
      </c>
    </row>
    <row r="35" spans="1:13" ht="24" x14ac:dyDescent="0.5">
      <c r="A35" s="2">
        <v>27</v>
      </c>
      <c r="B35" s="74" t="s">
        <v>203</v>
      </c>
      <c r="C35" s="75" t="s">
        <v>23</v>
      </c>
      <c r="D35" s="67">
        <v>27000</v>
      </c>
      <c r="E35" s="3">
        <v>18000</v>
      </c>
      <c r="F35" s="187">
        <f t="shared" si="0"/>
        <v>9000</v>
      </c>
      <c r="G35" s="67">
        <v>0</v>
      </c>
      <c r="H35" s="3">
        <v>0</v>
      </c>
      <c r="I35" s="190">
        <f t="shared" si="1"/>
        <v>0</v>
      </c>
      <c r="J35" s="292">
        <f t="shared" si="2"/>
        <v>27000</v>
      </c>
      <c r="K35" s="3">
        <f t="shared" si="2"/>
        <v>18000</v>
      </c>
      <c r="L35" s="3">
        <f t="shared" si="3"/>
        <v>9000</v>
      </c>
      <c r="M35" s="503">
        <f t="shared" si="4"/>
        <v>66.666666666666671</v>
      </c>
    </row>
    <row r="36" spans="1:13" ht="24" x14ac:dyDescent="0.5">
      <c r="A36" s="2">
        <v>28</v>
      </c>
      <c r="B36" s="74" t="s">
        <v>203</v>
      </c>
      <c r="C36" s="75" t="s">
        <v>24</v>
      </c>
      <c r="D36" s="67">
        <v>0</v>
      </c>
      <c r="E36" s="3">
        <v>0</v>
      </c>
      <c r="F36" s="187">
        <f t="shared" si="0"/>
        <v>0</v>
      </c>
      <c r="G36" s="67">
        <v>0</v>
      </c>
      <c r="H36" s="3">
        <v>0</v>
      </c>
      <c r="I36" s="190">
        <f t="shared" si="1"/>
        <v>0</v>
      </c>
      <c r="J36" s="292">
        <f t="shared" si="2"/>
        <v>0</v>
      </c>
      <c r="K36" s="3">
        <f t="shared" si="2"/>
        <v>0</v>
      </c>
      <c r="L36" s="3">
        <f t="shared" si="3"/>
        <v>0</v>
      </c>
      <c r="M36" s="503">
        <v>0</v>
      </c>
    </row>
    <row r="37" spans="1:13" ht="24" x14ac:dyDescent="0.5">
      <c r="A37" s="2">
        <v>29</v>
      </c>
      <c r="B37" s="74" t="s">
        <v>203</v>
      </c>
      <c r="C37" s="75" t="s">
        <v>25</v>
      </c>
      <c r="D37" s="67">
        <v>0</v>
      </c>
      <c r="E37" s="3">
        <v>0</v>
      </c>
      <c r="F37" s="187">
        <f t="shared" si="0"/>
        <v>0</v>
      </c>
      <c r="G37" s="67">
        <v>0</v>
      </c>
      <c r="H37" s="3">
        <v>0</v>
      </c>
      <c r="I37" s="190">
        <f t="shared" si="1"/>
        <v>0</v>
      </c>
      <c r="J37" s="292">
        <f t="shared" si="2"/>
        <v>0</v>
      </c>
      <c r="K37" s="3">
        <f t="shared" si="2"/>
        <v>0</v>
      </c>
      <c r="L37" s="3">
        <f t="shared" si="3"/>
        <v>0</v>
      </c>
      <c r="M37" s="503">
        <v>0</v>
      </c>
    </row>
    <row r="38" spans="1:13" ht="24" x14ac:dyDescent="0.5">
      <c r="A38" s="2">
        <v>30</v>
      </c>
      <c r="B38" s="74" t="s">
        <v>203</v>
      </c>
      <c r="C38" s="75" t="s">
        <v>181</v>
      </c>
      <c r="D38" s="67">
        <v>13500</v>
      </c>
      <c r="E38" s="3">
        <v>9000</v>
      </c>
      <c r="F38" s="187">
        <f t="shared" si="0"/>
        <v>4500</v>
      </c>
      <c r="G38" s="67">
        <v>0</v>
      </c>
      <c r="H38" s="3">
        <v>0</v>
      </c>
      <c r="I38" s="190">
        <f t="shared" si="1"/>
        <v>0</v>
      </c>
      <c r="J38" s="292">
        <f t="shared" si="2"/>
        <v>13500</v>
      </c>
      <c r="K38" s="3">
        <f t="shared" si="2"/>
        <v>9000</v>
      </c>
      <c r="L38" s="3">
        <f t="shared" si="3"/>
        <v>4500</v>
      </c>
      <c r="M38" s="503">
        <f t="shared" si="4"/>
        <v>66.666666666666671</v>
      </c>
    </row>
    <row r="39" spans="1:13" ht="24" x14ac:dyDescent="0.5">
      <c r="A39" s="2">
        <v>31</v>
      </c>
      <c r="B39" s="74" t="s">
        <v>203</v>
      </c>
      <c r="C39" s="75" t="s">
        <v>26</v>
      </c>
      <c r="D39" s="67">
        <v>40500</v>
      </c>
      <c r="E39" s="3">
        <v>18000</v>
      </c>
      <c r="F39" s="187">
        <f t="shared" si="0"/>
        <v>22500</v>
      </c>
      <c r="G39" s="67">
        <v>0</v>
      </c>
      <c r="H39" s="3">
        <v>0</v>
      </c>
      <c r="I39" s="190">
        <f t="shared" si="1"/>
        <v>0</v>
      </c>
      <c r="J39" s="292">
        <f t="shared" si="2"/>
        <v>40500</v>
      </c>
      <c r="K39" s="3">
        <f t="shared" si="2"/>
        <v>18000</v>
      </c>
      <c r="L39" s="3">
        <f t="shared" si="3"/>
        <v>22500</v>
      </c>
      <c r="M39" s="503">
        <f t="shared" si="4"/>
        <v>44.444444444444443</v>
      </c>
    </row>
    <row r="40" spans="1:13" ht="24" x14ac:dyDescent="0.5">
      <c r="A40" s="2">
        <v>32</v>
      </c>
      <c r="B40" s="74" t="s">
        <v>203</v>
      </c>
      <c r="C40" s="75" t="s">
        <v>27</v>
      </c>
      <c r="D40" s="67">
        <v>4200</v>
      </c>
      <c r="E40" s="3">
        <v>2400</v>
      </c>
      <c r="F40" s="187">
        <f t="shared" si="0"/>
        <v>1800</v>
      </c>
      <c r="G40" s="67">
        <v>0</v>
      </c>
      <c r="H40" s="3">
        <v>0</v>
      </c>
      <c r="I40" s="190">
        <f t="shared" si="1"/>
        <v>0</v>
      </c>
      <c r="J40" s="292">
        <f t="shared" si="2"/>
        <v>4200</v>
      </c>
      <c r="K40" s="3">
        <f t="shared" si="2"/>
        <v>2400</v>
      </c>
      <c r="L40" s="3">
        <f t="shared" si="3"/>
        <v>1800</v>
      </c>
      <c r="M40" s="503">
        <v>0</v>
      </c>
    </row>
    <row r="41" spans="1:13" ht="24" x14ac:dyDescent="0.5">
      <c r="A41" s="2">
        <v>33</v>
      </c>
      <c r="B41" s="74" t="s">
        <v>203</v>
      </c>
      <c r="C41" s="75" t="s">
        <v>28</v>
      </c>
      <c r="D41" s="67">
        <v>27000</v>
      </c>
      <c r="E41" s="3">
        <v>15000</v>
      </c>
      <c r="F41" s="187">
        <f t="shared" si="0"/>
        <v>12000</v>
      </c>
      <c r="G41" s="67">
        <v>0</v>
      </c>
      <c r="H41" s="3">
        <v>0</v>
      </c>
      <c r="I41" s="190">
        <f t="shared" si="1"/>
        <v>0</v>
      </c>
      <c r="J41" s="292">
        <f t="shared" si="2"/>
        <v>27000</v>
      </c>
      <c r="K41" s="3">
        <f t="shared" si="2"/>
        <v>15000</v>
      </c>
      <c r="L41" s="3">
        <f t="shared" si="3"/>
        <v>12000</v>
      </c>
      <c r="M41" s="503">
        <f t="shared" si="4"/>
        <v>55.555555555555557</v>
      </c>
    </row>
    <row r="42" spans="1:13" ht="24" x14ac:dyDescent="0.5">
      <c r="A42" s="2">
        <v>34</v>
      </c>
      <c r="B42" s="74" t="s">
        <v>203</v>
      </c>
      <c r="C42" s="75" t="s">
        <v>133</v>
      </c>
      <c r="D42" s="67">
        <v>0</v>
      </c>
      <c r="E42" s="3">
        <v>0</v>
      </c>
      <c r="F42" s="187">
        <f t="shared" si="0"/>
        <v>0</v>
      </c>
      <c r="G42" s="67">
        <v>0</v>
      </c>
      <c r="H42" s="3">
        <v>0</v>
      </c>
      <c r="I42" s="190">
        <f t="shared" si="1"/>
        <v>0</v>
      </c>
      <c r="J42" s="292">
        <f t="shared" si="2"/>
        <v>0</v>
      </c>
      <c r="K42" s="3">
        <f t="shared" si="2"/>
        <v>0</v>
      </c>
      <c r="L42" s="3">
        <f t="shared" si="3"/>
        <v>0</v>
      </c>
      <c r="M42" s="503">
        <v>0</v>
      </c>
    </row>
    <row r="43" spans="1:13" ht="24" x14ac:dyDescent="0.5">
      <c r="A43" s="2">
        <v>35</v>
      </c>
      <c r="B43" s="74" t="s">
        <v>203</v>
      </c>
      <c r="C43" s="75" t="s">
        <v>29</v>
      </c>
      <c r="D43" s="67">
        <v>0</v>
      </c>
      <c r="E43" s="3">
        <v>0</v>
      </c>
      <c r="F43" s="187">
        <f t="shared" si="0"/>
        <v>0</v>
      </c>
      <c r="G43" s="67">
        <v>0</v>
      </c>
      <c r="H43" s="3">
        <v>0</v>
      </c>
      <c r="I43" s="190">
        <f t="shared" si="1"/>
        <v>0</v>
      </c>
      <c r="J43" s="292">
        <f t="shared" si="2"/>
        <v>0</v>
      </c>
      <c r="K43" s="3">
        <f t="shared" si="2"/>
        <v>0</v>
      </c>
      <c r="L43" s="3">
        <f t="shared" si="3"/>
        <v>0</v>
      </c>
      <c r="M43" s="503">
        <v>0</v>
      </c>
    </row>
    <row r="44" spans="1:13" ht="24" x14ac:dyDescent="0.5">
      <c r="A44" s="2">
        <v>36</v>
      </c>
      <c r="B44" s="74" t="s">
        <v>203</v>
      </c>
      <c r="C44" s="75" t="s">
        <v>30</v>
      </c>
      <c r="D44" s="67">
        <v>67500</v>
      </c>
      <c r="E44" s="3">
        <f>104700-75000</f>
        <v>29700</v>
      </c>
      <c r="F44" s="187">
        <f t="shared" si="0"/>
        <v>37800</v>
      </c>
      <c r="G44" s="67">
        <v>75000</v>
      </c>
      <c r="H44" s="3">
        <v>75000</v>
      </c>
      <c r="I44" s="190">
        <f t="shared" si="1"/>
        <v>0</v>
      </c>
      <c r="J44" s="292">
        <f t="shared" si="2"/>
        <v>142500</v>
      </c>
      <c r="K44" s="3">
        <f t="shared" si="2"/>
        <v>104700</v>
      </c>
      <c r="L44" s="3">
        <f t="shared" si="3"/>
        <v>37800</v>
      </c>
      <c r="M44" s="503">
        <f t="shared" si="4"/>
        <v>73.473684210526315</v>
      </c>
    </row>
    <row r="45" spans="1:13" ht="24" x14ac:dyDescent="0.5">
      <c r="A45" s="2">
        <v>37</v>
      </c>
      <c r="B45" s="74" t="s">
        <v>203</v>
      </c>
      <c r="C45" s="75" t="s">
        <v>31</v>
      </c>
      <c r="D45" s="67">
        <v>27000</v>
      </c>
      <c r="E45" s="3">
        <v>17700</v>
      </c>
      <c r="F45" s="187">
        <f t="shared" si="0"/>
        <v>9300</v>
      </c>
      <c r="G45" s="67">
        <v>0</v>
      </c>
      <c r="H45" s="3">
        <v>0</v>
      </c>
      <c r="I45" s="190">
        <f t="shared" si="1"/>
        <v>0</v>
      </c>
      <c r="J45" s="292">
        <f t="shared" si="2"/>
        <v>27000</v>
      </c>
      <c r="K45" s="3">
        <f t="shared" si="2"/>
        <v>17700</v>
      </c>
      <c r="L45" s="3">
        <f t="shared" si="3"/>
        <v>9300</v>
      </c>
      <c r="M45" s="503">
        <f t="shared" si="4"/>
        <v>65.555555555555557</v>
      </c>
    </row>
    <row r="46" spans="1:13" ht="24" x14ac:dyDescent="0.5">
      <c r="A46" s="2">
        <v>38</v>
      </c>
      <c r="B46" s="74" t="s">
        <v>203</v>
      </c>
      <c r="C46" s="75" t="s">
        <v>134</v>
      </c>
      <c r="D46" s="67">
        <v>0</v>
      </c>
      <c r="E46" s="3">
        <v>0</v>
      </c>
      <c r="F46" s="187">
        <f t="shared" si="0"/>
        <v>0</v>
      </c>
      <c r="G46" s="67">
        <v>0</v>
      </c>
      <c r="H46" s="3">
        <v>0</v>
      </c>
      <c r="I46" s="190">
        <f t="shared" si="1"/>
        <v>0</v>
      </c>
      <c r="J46" s="292">
        <f t="shared" si="2"/>
        <v>0</v>
      </c>
      <c r="K46" s="3">
        <f t="shared" si="2"/>
        <v>0</v>
      </c>
      <c r="L46" s="3">
        <f t="shared" si="3"/>
        <v>0</v>
      </c>
      <c r="M46" s="503">
        <v>0</v>
      </c>
    </row>
    <row r="47" spans="1:13" ht="24" x14ac:dyDescent="0.5">
      <c r="A47" s="2">
        <v>39</v>
      </c>
      <c r="B47" s="74" t="s">
        <v>203</v>
      </c>
      <c r="C47" s="75" t="s">
        <v>32</v>
      </c>
      <c r="D47" s="67">
        <v>13500</v>
      </c>
      <c r="E47" s="3">
        <v>13500</v>
      </c>
      <c r="F47" s="187">
        <f t="shared" si="0"/>
        <v>0</v>
      </c>
      <c r="G47" s="67">
        <v>0</v>
      </c>
      <c r="H47" s="3">
        <v>0</v>
      </c>
      <c r="I47" s="190">
        <f t="shared" si="1"/>
        <v>0</v>
      </c>
      <c r="J47" s="292">
        <f t="shared" si="2"/>
        <v>13500</v>
      </c>
      <c r="K47" s="3">
        <f t="shared" si="2"/>
        <v>13500</v>
      </c>
      <c r="L47" s="3">
        <f t="shared" si="3"/>
        <v>0</v>
      </c>
      <c r="M47" s="503">
        <f t="shared" si="4"/>
        <v>100</v>
      </c>
    </row>
    <row r="48" spans="1:13" ht="24" x14ac:dyDescent="0.5">
      <c r="A48" s="2">
        <v>40</v>
      </c>
      <c r="B48" s="74" t="s">
        <v>203</v>
      </c>
      <c r="C48" s="75" t="s">
        <v>33</v>
      </c>
      <c r="D48" s="67">
        <v>0</v>
      </c>
      <c r="E48" s="3">
        <v>0</v>
      </c>
      <c r="F48" s="187">
        <f t="shared" si="0"/>
        <v>0</v>
      </c>
      <c r="G48" s="67">
        <v>0</v>
      </c>
      <c r="H48" s="3">
        <v>0</v>
      </c>
      <c r="I48" s="190">
        <f t="shared" si="1"/>
        <v>0</v>
      </c>
      <c r="J48" s="292">
        <f t="shared" si="2"/>
        <v>0</v>
      </c>
      <c r="K48" s="3">
        <f t="shared" si="2"/>
        <v>0</v>
      </c>
      <c r="L48" s="3">
        <f t="shared" si="3"/>
        <v>0</v>
      </c>
      <c r="M48" s="503">
        <v>0</v>
      </c>
    </row>
    <row r="49" spans="1:13" ht="24" x14ac:dyDescent="0.5">
      <c r="A49" s="2">
        <v>41</v>
      </c>
      <c r="B49" s="74" t="s">
        <v>203</v>
      </c>
      <c r="C49" s="75" t="s">
        <v>34</v>
      </c>
      <c r="D49" s="67">
        <v>40500</v>
      </c>
      <c r="E49" s="3">
        <v>33000</v>
      </c>
      <c r="F49" s="187">
        <f t="shared" si="0"/>
        <v>7500</v>
      </c>
      <c r="G49" s="67">
        <v>0</v>
      </c>
      <c r="H49" s="3">
        <v>0</v>
      </c>
      <c r="I49" s="190">
        <f t="shared" si="1"/>
        <v>0</v>
      </c>
      <c r="J49" s="292">
        <f t="shared" si="2"/>
        <v>40500</v>
      </c>
      <c r="K49" s="3">
        <f t="shared" si="2"/>
        <v>33000</v>
      </c>
      <c r="L49" s="3">
        <f t="shared" si="3"/>
        <v>7500</v>
      </c>
      <c r="M49" s="503">
        <f t="shared" si="4"/>
        <v>81.481481481481481</v>
      </c>
    </row>
    <row r="50" spans="1:13" ht="24" x14ac:dyDescent="0.5">
      <c r="A50" s="2">
        <v>42</v>
      </c>
      <c r="B50" s="74" t="s">
        <v>203</v>
      </c>
      <c r="C50" s="75" t="s">
        <v>35</v>
      </c>
      <c r="D50" s="67">
        <v>13500</v>
      </c>
      <c r="E50" s="3">
        <f>111400-100000</f>
        <v>11400</v>
      </c>
      <c r="F50" s="187">
        <f t="shared" si="0"/>
        <v>2100</v>
      </c>
      <c r="G50" s="67">
        <v>100000</v>
      </c>
      <c r="H50" s="3">
        <f>27770+72230</f>
        <v>100000</v>
      </c>
      <c r="I50" s="190">
        <f t="shared" si="1"/>
        <v>0</v>
      </c>
      <c r="J50" s="292">
        <f t="shared" si="2"/>
        <v>113500</v>
      </c>
      <c r="K50" s="3">
        <f t="shared" si="2"/>
        <v>111400</v>
      </c>
      <c r="L50" s="3">
        <f t="shared" si="3"/>
        <v>2100</v>
      </c>
      <c r="M50" s="503">
        <f t="shared" si="4"/>
        <v>98.149779735682813</v>
      </c>
    </row>
    <row r="51" spans="1:13" ht="24" x14ac:dyDescent="0.5">
      <c r="A51" s="2">
        <v>43</v>
      </c>
      <c r="B51" s="74" t="s">
        <v>203</v>
      </c>
      <c r="C51" s="75" t="s">
        <v>135</v>
      </c>
      <c r="D51" s="67">
        <v>40500</v>
      </c>
      <c r="E51" s="3">
        <v>29400</v>
      </c>
      <c r="F51" s="187">
        <f t="shared" si="0"/>
        <v>11100</v>
      </c>
      <c r="G51" s="67">
        <v>0</v>
      </c>
      <c r="H51" s="3">
        <v>0</v>
      </c>
      <c r="I51" s="190">
        <f t="shared" si="1"/>
        <v>0</v>
      </c>
      <c r="J51" s="292">
        <f t="shared" si="2"/>
        <v>40500</v>
      </c>
      <c r="K51" s="3">
        <f t="shared" si="2"/>
        <v>29400</v>
      </c>
      <c r="L51" s="3">
        <f t="shared" si="3"/>
        <v>11100</v>
      </c>
      <c r="M51" s="503">
        <f t="shared" si="4"/>
        <v>72.592592592592595</v>
      </c>
    </row>
    <row r="52" spans="1:13" ht="24" x14ac:dyDescent="0.5">
      <c r="A52" s="2">
        <v>44</v>
      </c>
      <c r="B52" s="74" t="s">
        <v>203</v>
      </c>
      <c r="C52" s="75" t="s">
        <v>36</v>
      </c>
      <c r="D52" s="67">
        <v>0</v>
      </c>
      <c r="E52" s="3">
        <v>0</v>
      </c>
      <c r="F52" s="187">
        <f t="shared" si="0"/>
        <v>0</v>
      </c>
      <c r="G52" s="67">
        <v>0</v>
      </c>
      <c r="H52" s="3">
        <v>0</v>
      </c>
      <c r="I52" s="190">
        <f t="shared" si="1"/>
        <v>0</v>
      </c>
      <c r="J52" s="292">
        <f t="shared" si="2"/>
        <v>0</v>
      </c>
      <c r="K52" s="3">
        <f t="shared" si="2"/>
        <v>0</v>
      </c>
      <c r="L52" s="3">
        <f t="shared" si="3"/>
        <v>0</v>
      </c>
      <c r="M52" s="503">
        <v>0</v>
      </c>
    </row>
    <row r="53" spans="1:13" ht="24" x14ac:dyDescent="0.5">
      <c r="A53" s="2">
        <v>45</v>
      </c>
      <c r="B53" s="74" t="s">
        <v>203</v>
      </c>
      <c r="C53" s="75" t="s">
        <v>37</v>
      </c>
      <c r="D53" s="67">
        <v>0</v>
      </c>
      <c r="E53" s="3">
        <v>0</v>
      </c>
      <c r="F53" s="187">
        <f t="shared" si="0"/>
        <v>0</v>
      </c>
      <c r="G53" s="67">
        <v>0</v>
      </c>
      <c r="H53" s="3">
        <v>0</v>
      </c>
      <c r="I53" s="190">
        <f t="shared" si="1"/>
        <v>0</v>
      </c>
      <c r="J53" s="292">
        <f t="shared" si="2"/>
        <v>0</v>
      </c>
      <c r="K53" s="3">
        <f t="shared" si="2"/>
        <v>0</v>
      </c>
      <c r="L53" s="3">
        <f t="shared" si="3"/>
        <v>0</v>
      </c>
      <c r="M53" s="503">
        <v>0</v>
      </c>
    </row>
    <row r="54" spans="1:13" ht="24" x14ac:dyDescent="0.5">
      <c r="A54" s="2">
        <v>46</v>
      </c>
      <c r="B54" s="74" t="s">
        <v>203</v>
      </c>
      <c r="C54" s="75" t="s">
        <v>38</v>
      </c>
      <c r="D54" s="67">
        <v>27000</v>
      </c>
      <c r="E54" s="3">
        <v>17400</v>
      </c>
      <c r="F54" s="187">
        <f t="shared" si="0"/>
        <v>9600</v>
      </c>
      <c r="G54" s="67">
        <v>0</v>
      </c>
      <c r="H54" s="3">
        <v>0</v>
      </c>
      <c r="I54" s="190">
        <f t="shared" si="1"/>
        <v>0</v>
      </c>
      <c r="J54" s="292">
        <f t="shared" si="2"/>
        <v>27000</v>
      </c>
      <c r="K54" s="3">
        <f t="shared" si="2"/>
        <v>17400</v>
      </c>
      <c r="L54" s="3">
        <f t="shared" si="3"/>
        <v>9600</v>
      </c>
      <c r="M54" s="503">
        <f t="shared" si="4"/>
        <v>64.444444444444443</v>
      </c>
    </row>
    <row r="55" spans="1:13" ht="24" x14ac:dyDescent="0.5">
      <c r="A55" s="2">
        <v>47</v>
      </c>
      <c r="B55" s="74" t="s">
        <v>203</v>
      </c>
      <c r="C55" s="75" t="s">
        <v>136</v>
      </c>
      <c r="D55" s="67">
        <v>54000</v>
      </c>
      <c r="E55" s="3">
        <v>28800</v>
      </c>
      <c r="F55" s="187">
        <f t="shared" si="0"/>
        <v>25200</v>
      </c>
      <c r="G55" s="67">
        <v>0</v>
      </c>
      <c r="H55" s="3">
        <v>0</v>
      </c>
      <c r="I55" s="190">
        <f t="shared" si="1"/>
        <v>0</v>
      </c>
      <c r="J55" s="292">
        <f t="shared" si="2"/>
        <v>54000</v>
      </c>
      <c r="K55" s="3">
        <f t="shared" si="2"/>
        <v>28800</v>
      </c>
      <c r="L55" s="3">
        <f t="shared" si="3"/>
        <v>25200</v>
      </c>
      <c r="M55" s="503">
        <f t="shared" si="4"/>
        <v>53.333333333333336</v>
      </c>
    </row>
    <row r="56" spans="1:13" ht="24" x14ac:dyDescent="0.5">
      <c r="A56" s="2">
        <v>48</v>
      </c>
      <c r="B56" s="74" t="s">
        <v>203</v>
      </c>
      <c r="C56" s="75" t="s">
        <v>137</v>
      </c>
      <c r="D56" s="67">
        <v>13500</v>
      </c>
      <c r="E56" s="3">
        <v>13500</v>
      </c>
      <c r="F56" s="187">
        <f t="shared" si="0"/>
        <v>0</v>
      </c>
      <c r="G56" s="67">
        <v>0</v>
      </c>
      <c r="H56" s="3">
        <v>0</v>
      </c>
      <c r="I56" s="190">
        <f t="shared" si="1"/>
        <v>0</v>
      </c>
      <c r="J56" s="292">
        <f t="shared" si="2"/>
        <v>13500</v>
      </c>
      <c r="K56" s="3">
        <f t="shared" si="2"/>
        <v>13500</v>
      </c>
      <c r="L56" s="3">
        <f t="shared" si="3"/>
        <v>0</v>
      </c>
      <c r="M56" s="503">
        <f t="shared" si="4"/>
        <v>100</v>
      </c>
    </row>
    <row r="57" spans="1:13" ht="24" x14ac:dyDescent="0.5">
      <c r="A57" s="2">
        <v>49</v>
      </c>
      <c r="B57" s="74" t="s">
        <v>203</v>
      </c>
      <c r="C57" s="75" t="s">
        <v>138</v>
      </c>
      <c r="D57" s="67">
        <v>0</v>
      </c>
      <c r="E57" s="3">
        <v>0</v>
      </c>
      <c r="F57" s="187">
        <f t="shared" si="0"/>
        <v>0</v>
      </c>
      <c r="G57" s="67">
        <v>0</v>
      </c>
      <c r="H57" s="3">
        <v>0</v>
      </c>
      <c r="I57" s="190">
        <f t="shared" si="1"/>
        <v>0</v>
      </c>
      <c r="J57" s="292">
        <f t="shared" si="2"/>
        <v>0</v>
      </c>
      <c r="K57" s="3">
        <f t="shared" si="2"/>
        <v>0</v>
      </c>
      <c r="L57" s="3">
        <f t="shared" si="3"/>
        <v>0</v>
      </c>
      <c r="M57" s="503">
        <v>0</v>
      </c>
    </row>
    <row r="58" spans="1:13" ht="24" x14ac:dyDescent="0.5">
      <c r="A58" s="2">
        <v>50</v>
      </c>
      <c r="B58" s="74" t="s">
        <v>203</v>
      </c>
      <c r="C58" s="75" t="s">
        <v>139</v>
      </c>
      <c r="D58" s="67">
        <v>27000</v>
      </c>
      <c r="E58" s="3">
        <v>14100</v>
      </c>
      <c r="F58" s="187">
        <f t="shared" si="0"/>
        <v>12900</v>
      </c>
      <c r="G58" s="67">
        <v>0</v>
      </c>
      <c r="H58" s="3">
        <v>0</v>
      </c>
      <c r="I58" s="190">
        <f t="shared" si="1"/>
        <v>0</v>
      </c>
      <c r="J58" s="292">
        <f t="shared" si="2"/>
        <v>27000</v>
      </c>
      <c r="K58" s="3">
        <f t="shared" si="2"/>
        <v>14100</v>
      </c>
      <c r="L58" s="3">
        <f t="shared" si="3"/>
        <v>12900</v>
      </c>
      <c r="M58" s="503">
        <f t="shared" si="4"/>
        <v>52.222222222222221</v>
      </c>
    </row>
    <row r="59" spans="1:13" ht="24" x14ac:dyDescent="0.5">
      <c r="A59" s="2">
        <v>51</v>
      </c>
      <c r="B59" s="74" t="s">
        <v>203</v>
      </c>
      <c r="C59" s="75" t="s">
        <v>140</v>
      </c>
      <c r="D59" s="67">
        <v>0</v>
      </c>
      <c r="E59" s="3">
        <v>0</v>
      </c>
      <c r="F59" s="187">
        <f t="shared" si="0"/>
        <v>0</v>
      </c>
      <c r="G59" s="67">
        <v>0</v>
      </c>
      <c r="H59" s="3">
        <v>0</v>
      </c>
      <c r="I59" s="190">
        <f t="shared" si="1"/>
        <v>0</v>
      </c>
      <c r="J59" s="292">
        <f t="shared" si="2"/>
        <v>0</v>
      </c>
      <c r="K59" s="3">
        <f t="shared" si="2"/>
        <v>0</v>
      </c>
      <c r="L59" s="3">
        <f t="shared" si="3"/>
        <v>0</v>
      </c>
      <c r="M59" s="503">
        <v>0</v>
      </c>
    </row>
    <row r="60" spans="1:13" ht="24" x14ac:dyDescent="0.5">
      <c r="A60" s="2">
        <v>52</v>
      </c>
      <c r="B60" s="74" t="s">
        <v>203</v>
      </c>
      <c r="C60" s="75" t="s">
        <v>141</v>
      </c>
      <c r="D60" s="67">
        <v>27000</v>
      </c>
      <c r="E60" s="3">
        <v>0</v>
      </c>
      <c r="F60" s="187">
        <f t="shared" si="0"/>
        <v>27000</v>
      </c>
      <c r="G60" s="67">
        <v>0</v>
      </c>
      <c r="H60" s="3">
        <v>0</v>
      </c>
      <c r="I60" s="190">
        <f t="shared" si="1"/>
        <v>0</v>
      </c>
      <c r="J60" s="292">
        <f t="shared" si="2"/>
        <v>27000</v>
      </c>
      <c r="K60" s="3">
        <f t="shared" si="2"/>
        <v>0</v>
      </c>
      <c r="L60" s="3">
        <f t="shared" si="3"/>
        <v>27000</v>
      </c>
      <c r="M60" s="503">
        <f t="shared" si="4"/>
        <v>0</v>
      </c>
    </row>
    <row r="61" spans="1:13" ht="24" x14ac:dyDescent="0.5">
      <c r="A61" s="2">
        <v>53</v>
      </c>
      <c r="B61" s="74" t="s">
        <v>203</v>
      </c>
      <c r="C61" s="75" t="s">
        <v>142</v>
      </c>
      <c r="D61" s="67">
        <v>13500</v>
      </c>
      <c r="E61" s="3">
        <f>98500-89500</f>
        <v>9000</v>
      </c>
      <c r="F61" s="187">
        <f t="shared" si="0"/>
        <v>4500</v>
      </c>
      <c r="G61" s="67">
        <v>89500</v>
      </c>
      <c r="H61" s="3">
        <v>89500</v>
      </c>
      <c r="I61" s="190">
        <f t="shared" si="1"/>
        <v>0</v>
      </c>
      <c r="J61" s="292">
        <f t="shared" si="2"/>
        <v>103000</v>
      </c>
      <c r="K61" s="3">
        <f t="shared" si="2"/>
        <v>98500</v>
      </c>
      <c r="L61" s="3">
        <f t="shared" si="3"/>
        <v>4500</v>
      </c>
      <c r="M61" s="503">
        <f t="shared" si="4"/>
        <v>95.631067961165044</v>
      </c>
    </row>
    <row r="62" spans="1:13" ht="24" x14ac:dyDescent="0.5">
      <c r="A62" s="2">
        <v>54</v>
      </c>
      <c r="B62" s="74" t="s">
        <v>203</v>
      </c>
      <c r="C62" s="75" t="s">
        <v>39</v>
      </c>
      <c r="D62" s="67">
        <v>27000</v>
      </c>
      <c r="E62" s="3">
        <v>18000</v>
      </c>
      <c r="F62" s="187">
        <f t="shared" si="0"/>
        <v>9000</v>
      </c>
      <c r="G62" s="67">
        <v>0</v>
      </c>
      <c r="H62" s="3">
        <v>0</v>
      </c>
      <c r="I62" s="190">
        <f t="shared" si="1"/>
        <v>0</v>
      </c>
      <c r="J62" s="292">
        <f t="shared" si="2"/>
        <v>27000</v>
      </c>
      <c r="K62" s="3">
        <f t="shared" si="2"/>
        <v>18000</v>
      </c>
      <c r="L62" s="3">
        <f t="shared" si="3"/>
        <v>9000</v>
      </c>
      <c r="M62" s="503">
        <f t="shared" si="4"/>
        <v>66.666666666666671</v>
      </c>
    </row>
    <row r="63" spans="1:13" ht="24" x14ac:dyDescent="0.5">
      <c r="A63" s="2">
        <v>55</v>
      </c>
      <c r="B63" s="74" t="s">
        <v>203</v>
      </c>
      <c r="C63" s="75" t="s">
        <v>143</v>
      </c>
      <c r="D63" s="67">
        <v>40500</v>
      </c>
      <c r="E63" s="3">
        <v>27000</v>
      </c>
      <c r="F63" s="187">
        <f t="shared" si="0"/>
        <v>13500</v>
      </c>
      <c r="G63" s="67">
        <v>0</v>
      </c>
      <c r="H63" s="3">
        <v>0</v>
      </c>
      <c r="I63" s="190">
        <f t="shared" si="1"/>
        <v>0</v>
      </c>
      <c r="J63" s="292">
        <f t="shared" si="2"/>
        <v>40500</v>
      </c>
      <c r="K63" s="3">
        <f t="shared" si="2"/>
        <v>27000</v>
      </c>
      <c r="L63" s="3">
        <f t="shared" si="3"/>
        <v>13500</v>
      </c>
      <c r="M63" s="503">
        <f t="shared" si="4"/>
        <v>66.666666666666671</v>
      </c>
    </row>
    <row r="64" spans="1:13" ht="24" x14ac:dyDescent="0.5">
      <c r="A64" s="2">
        <v>56</v>
      </c>
      <c r="B64" s="74" t="s">
        <v>203</v>
      </c>
      <c r="C64" s="75" t="s">
        <v>144</v>
      </c>
      <c r="D64" s="67">
        <v>40500</v>
      </c>
      <c r="E64" s="3">
        <v>33800</v>
      </c>
      <c r="F64" s="187">
        <f t="shared" si="0"/>
        <v>6700</v>
      </c>
      <c r="G64" s="67">
        <v>0</v>
      </c>
      <c r="H64" s="3">
        <v>0</v>
      </c>
      <c r="I64" s="190">
        <f t="shared" si="1"/>
        <v>0</v>
      </c>
      <c r="J64" s="292">
        <f t="shared" si="2"/>
        <v>40500</v>
      </c>
      <c r="K64" s="3">
        <f t="shared" si="2"/>
        <v>33800</v>
      </c>
      <c r="L64" s="3">
        <f t="shared" si="3"/>
        <v>6700</v>
      </c>
      <c r="M64" s="503">
        <f t="shared" si="4"/>
        <v>83.456790123456784</v>
      </c>
    </row>
    <row r="65" spans="1:13" ht="24" x14ac:dyDescent="0.5">
      <c r="A65" s="2">
        <v>57</v>
      </c>
      <c r="B65" s="74" t="s">
        <v>203</v>
      </c>
      <c r="C65" s="75" t="s">
        <v>40</v>
      </c>
      <c r="D65" s="67">
        <v>0</v>
      </c>
      <c r="E65" s="3">
        <v>0</v>
      </c>
      <c r="F65" s="187">
        <f t="shared" si="0"/>
        <v>0</v>
      </c>
      <c r="G65" s="67">
        <v>0</v>
      </c>
      <c r="H65" s="3">
        <v>0</v>
      </c>
      <c r="I65" s="190">
        <f t="shared" si="1"/>
        <v>0</v>
      </c>
      <c r="J65" s="292">
        <f t="shared" si="2"/>
        <v>0</v>
      </c>
      <c r="K65" s="3">
        <f t="shared" si="2"/>
        <v>0</v>
      </c>
      <c r="L65" s="3">
        <f t="shared" si="3"/>
        <v>0</v>
      </c>
      <c r="M65" s="503">
        <v>0</v>
      </c>
    </row>
    <row r="66" spans="1:13" ht="24" x14ac:dyDescent="0.5">
      <c r="A66" s="2">
        <v>58</v>
      </c>
      <c r="B66" s="74" t="s">
        <v>203</v>
      </c>
      <c r="C66" s="75" t="s">
        <v>145</v>
      </c>
      <c r="D66" s="67">
        <v>0</v>
      </c>
      <c r="E66" s="3">
        <v>0</v>
      </c>
      <c r="F66" s="187">
        <f t="shared" si="0"/>
        <v>0</v>
      </c>
      <c r="G66" s="67">
        <v>0</v>
      </c>
      <c r="H66" s="3">
        <v>0</v>
      </c>
      <c r="I66" s="190">
        <f t="shared" si="1"/>
        <v>0</v>
      </c>
      <c r="J66" s="292">
        <f t="shared" si="2"/>
        <v>0</v>
      </c>
      <c r="K66" s="3">
        <f t="shared" si="2"/>
        <v>0</v>
      </c>
      <c r="L66" s="3">
        <f t="shared" si="3"/>
        <v>0</v>
      </c>
      <c r="M66" s="503">
        <v>0</v>
      </c>
    </row>
    <row r="67" spans="1:13" ht="24" x14ac:dyDescent="0.5">
      <c r="A67" s="2">
        <v>59</v>
      </c>
      <c r="B67" s="74" t="s">
        <v>203</v>
      </c>
      <c r="C67" s="75" t="s">
        <v>146</v>
      </c>
      <c r="D67" s="67">
        <v>0</v>
      </c>
      <c r="E67" s="3">
        <v>0</v>
      </c>
      <c r="F67" s="187">
        <f t="shared" si="0"/>
        <v>0</v>
      </c>
      <c r="G67" s="67">
        <v>0</v>
      </c>
      <c r="H67" s="3">
        <v>0</v>
      </c>
      <c r="I67" s="190">
        <f t="shared" si="1"/>
        <v>0</v>
      </c>
      <c r="J67" s="292">
        <f t="shared" si="2"/>
        <v>0</v>
      </c>
      <c r="K67" s="3">
        <f t="shared" si="2"/>
        <v>0</v>
      </c>
      <c r="L67" s="3">
        <f t="shared" si="3"/>
        <v>0</v>
      </c>
      <c r="M67" s="503">
        <v>0</v>
      </c>
    </row>
    <row r="68" spans="1:13" ht="24" x14ac:dyDescent="0.5">
      <c r="A68" s="2">
        <v>60</v>
      </c>
      <c r="B68" s="74" t="s">
        <v>203</v>
      </c>
      <c r="C68" s="75" t="s">
        <v>147</v>
      </c>
      <c r="D68" s="67">
        <v>0</v>
      </c>
      <c r="E68" s="3">
        <v>0</v>
      </c>
      <c r="F68" s="187">
        <f t="shared" si="0"/>
        <v>0</v>
      </c>
      <c r="G68" s="67">
        <v>0</v>
      </c>
      <c r="H68" s="3">
        <v>0</v>
      </c>
      <c r="I68" s="190">
        <f t="shared" si="1"/>
        <v>0</v>
      </c>
      <c r="J68" s="292">
        <f t="shared" si="2"/>
        <v>0</v>
      </c>
      <c r="K68" s="3">
        <f t="shared" si="2"/>
        <v>0</v>
      </c>
      <c r="L68" s="3">
        <f t="shared" si="3"/>
        <v>0</v>
      </c>
      <c r="M68" s="503">
        <v>0</v>
      </c>
    </row>
    <row r="69" spans="1:13" ht="24" x14ac:dyDescent="0.5">
      <c r="A69" s="2">
        <v>61</v>
      </c>
      <c r="B69" s="74" t="s">
        <v>203</v>
      </c>
      <c r="C69" s="75" t="s">
        <v>148</v>
      </c>
      <c r="D69" s="67">
        <v>27000</v>
      </c>
      <c r="E69" s="3">
        <v>21000</v>
      </c>
      <c r="F69" s="187">
        <f t="shared" si="0"/>
        <v>6000</v>
      </c>
      <c r="G69" s="67">
        <v>0</v>
      </c>
      <c r="H69" s="3">
        <v>0</v>
      </c>
      <c r="I69" s="190">
        <f t="shared" si="1"/>
        <v>0</v>
      </c>
      <c r="J69" s="292">
        <f t="shared" si="2"/>
        <v>27000</v>
      </c>
      <c r="K69" s="3">
        <f t="shared" si="2"/>
        <v>21000</v>
      </c>
      <c r="L69" s="3">
        <f t="shared" si="3"/>
        <v>6000</v>
      </c>
      <c r="M69" s="503">
        <f t="shared" si="4"/>
        <v>77.777777777777771</v>
      </c>
    </row>
    <row r="70" spans="1:13" ht="24" x14ac:dyDescent="0.5">
      <c r="A70" s="2">
        <v>62</v>
      </c>
      <c r="B70" s="74" t="s">
        <v>203</v>
      </c>
      <c r="C70" s="75" t="s">
        <v>149</v>
      </c>
      <c r="D70" s="67">
        <v>0</v>
      </c>
      <c r="E70" s="3">
        <v>0</v>
      </c>
      <c r="F70" s="187">
        <f t="shared" si="0"/>
        <v>0</v>
      </c>
      <c r="G70" s="67">
        <v>0</v>
      </c>
      <c r="H70" s="3">
        <v>0</v>
      </c>
      <c r="I70" s="190">
        <f t="shared" si="1"/>
        <v>0</v>
      </c>
      <c r="J70" s="292">
        <f t="shared" si="2"/>
        <v>0</v>
      </c>
      <c r="K70" s="3">
        <f t="shared" si="2"/>
        <v>0</v>
      </c>
      <c r="L70" s="3">
        <f t="shared" si="3"/>
        <v>0</v>
      </c>
      <c r="M70" s="503">
        <v>0</v>
      </c>
    </row>
    <row r="71" spans="1:13" ht="24" x14ac:dyDescent="0.5">
      <c r="A71" s="2">
        <v>63</v>
      </c>
      <c r="B71" s="74" t="s">
        <v>203</v>
      </c>
      <c r="C71" s="75" t="s">
        <v>41</v>
      </c>
      <c r="D71" s="67">
        <v>27000</v>
      </c>
      <c r="E71" s="3">
        <v>21600</v>
      </c>
      <c r="F71" s="187">
        <f t="shared" si="0"/>
        <v>5400</v>
      </c>
      <c r="G71" s="67">
        <v>0</v>
      </c>
      <c r="H71" s="3">
        <v>0</v>
      </c>
      <c r="I71" s="190">
        <f t="shared" si="1"/>
        <v>0</v>
      </c>
      <c r="J71" s="292">
        <f t="shared" si="2"/>
        <v>27000</v>
      </c>
      <c r="K71" s="3">
        <f t="shared" si="2"/>
        <v>21600</v>
      </c>
      <c r="L71" s="3">
        <f t="shared" si="3"/>
        <v>5400</v>
      </c>
      <c r="M71" s="503">
        <f t="shared" si="4"/>
        <v>80</v>
      </c>
    </row>
    <row r="72" spans="1:13" ht="24" x14ac:dyDescent="0.5">
      <c r="A72" s="2">
        <v>64</v>
      </c>
      <c r="B72" s="74" t="s">
        <v>203</v>
      </c>
      <c r="C72" s="75" t="s">
        <v>42</v>
      </c>
      <c r="D72" s="67">
        <v>0</v>
      </c>
      <c r="E72" s="3">
        <v>0</v>
      </c>
      <c r="F72" s="187">
        <f t="shared" si="0"/>
        <v>0</v>
      </c>
      <c r="G72" s="67">
        <v>0</v>
      </c>
      <c r="H72" s="3">
        <v>0</v>
      </c>
      <c r="I72" s="190">
        <f t="shared" si="1"/>
        <v>0</v>
      </c>
      <c r="J72" s="292">
        <f t="shared" si="2"/>
        <v>0</v>
      </c>
      <c r="K72" s="3">
        <f t="shared" si="2"/>
        <v>0</v>
      </c>
      <c r="L72" s="3">
        <f t="shared" si="3"/>
        <v>0</v>
      </c>
      <c r="M72" s="503">
        <v>0</v>
      </c>
    </row>
    <row r="73" spans="1:13" ht="24" x14ac:dyDescent="0.5">
      <c r="A73" s="2">
        <v>65</v>
      </c>
      <c r="B73" s="74" t="s">
        <v>203</v>
      </c>
      <c r="C73" s="75" t="s">
        <v>43</v>
      </c>
      <c r="D73" s="67">
        <v>0</v>
      </c>
      <c r="E73" s="3">
        <v>0</v>
      </c>
      <c r="F73" s="187">
        <f t="shared" ref="F73:F103" si="5">+D73-E73</f>
        <v>0</v>
      </c>
      <c r="G73" s="67">
        <v>0</v>
      </c>
      <c r="H73" s="3">
        <v>0</v>
      </c>
      <c r="I73" s="190">
        <f t="shared" si="1"/>
        <v>0</v>
      </c>
      <c r="J73" s="292">
        <f t="shared" si="2"/>
        <v>0</v>
      </c>
      <c r="K73" s="3">
        <f t="shared" si="2"/>
        <v>0</v>
      </c>
      <c r="L73" s="3">
        <f t="shared" si="3"/>
        <v>0</v>
      </c>
      <c r="M73" s="503">
        <v>0</v>
      </c>
    </row>
    <row r="74" spans="1:13" ht="24" x14ac:dyDescent="0.5">
      <c r="A74" s="2">
        <v>66</v>
      </c>
      <c r="B74" s="74" t="s">
        <v>203</v>
      </c>
      <c r="C74" s="75" t="s">
        <v>44</v>
      </c>
      <c r="D74" s="67">
        <v>0</v>
      </c>
      <c r="E74" s="3">
        <v>0</v>
      </c>
      <c r="F74" s="187">
        <f t="shared" si="5"/>
        <v>0</v>
      </c>
      <c r="G74" s="67">
        <v>0</v>
      </c>
      <c r="H74" s="3">
        <v>0</v>
      </c>
      <c r="I74" s="190">
        <f t="shared" ref="I74:I103" si="6">+G74-H74</f>
        <v>0</v>
      </c>
      <c r="J74" s="292">
        <f t="shared" ref="J74:K103" si="7">+D74+G74</f>
        <v>0</v>
      </c>
      <c r="K74" s="3">
        <f t="shared" si="7"/>
        <v>0</v>
      </c>
      <c r="L74" s="3">
        <f t="shared" ref="L74:L103" si="8">+J74-K74</f>
        <v>0</v>
      </c>
      <c r="M74" s="503">
        <v>0</v>
      </c>
    </row>
    <row r="75" spans="1:13" ht="24" x14ac:dyDescent="0.5">
      <c r="A75" s="2">
        <v>67</v>
      </c>
      <c r="B75" s="74" t="s">
        <v>203</v>
      </c>
      <c r="C75" s="75" t="s">
        <v>45</v>
      </c>
      <c r="D75" s="67">
        <v>0</v>
      </c>
      <c r="E75" s="3">
        <v>0</v>
      </c>
      <c r="F75" s="187">
        <f t="shared" si="5"/>
        <v>0</v>
      </c>
      <c r="G75" s="67">
        <v>0</v>
      </c>
      <c r="H75" s="3">
        <v>0</v>
      </c>
      <c r="I75" s="190">
        <f t="shared" si="6"/>
        <v>0</v>
      </c>
      <c r="J75" s="292">
        <f t="shared" si="7"/>
        <v>0</v>
      </c>
      <c r="K75" s="3">
        <f t="shared" si="7"/>
        <v>0</v>
      </c>
      <c r="L75" s="3">
        <f t="shared" si="8"/>
        <v>0</v>
      </c>
      <c r="M75" s="503">
        <v>0</v>
      </c>
    </row>
    <row r="76" spans="1:13" ht="24" x14ac:dyDescent="0.5">
      <c r="A76" s="2">
        <v>68</v>
      </c>
      <c r="B76" s="74" t="s">
        <v>203</v>
      </c>
      <c r="C76" s="75" t="s">
        <v>63</v>
      </c>
      <c r="D76" s="67">
        <v>0</v>
      </c>
      <c r="E76" s="3">
        <v>0</v>
      </c>
      <c r="F76" s="187">
        <f t="shared" si="5"/>
        <v>0</v>
      </c>
      <c r="G76" s="67">
        <v>0</v>
      </c>
      <c r="H76" s="3">
        <v>0</v>
      </c>
      <c r="I76" s="190">
        <f t="shared" si="6"/>
        <v>0</v>
      </c>
      <c r="J76" s="292">
        <f t="shared" si="7"/>
        <v>0</v>
      </c>
      <c r="K76" s="3">
        <f t="shared" si="7"/>
        <v>0</v>
      </c>
      <c r="L76" s="3">
        <f t="shared" si="8"/>
        <v>0</v>
      </c>
      <c r="M76" s="503">
        <v>0</v>
      </c>
    </row>
    <row r="77" spans="1:13" ht="24" x14ac:dyDescent="0.5">
      <c r="A77" s="2">
        <v>69</v>
      </c>
      <c r="B77" s="74" t="s">
        <v>203</v>
      </c>
      <c r="C77" s="75" t="s">
        <v>150</v>
      </c>
      <c r="D77" s="67">
        <v>27000</v>
      </c>
      <c r="E77" s="3">
        <v>17700</v>
      </c>
      <c r="F77" s="187">
        <f t="shared" si="5"/>
        <v>9300</v>
      </c>
      <c r="G77" s="67">
        <v>0</v>
      </c>
      <c r="H77" s="3">
        <v>0</v>
      </c>
      <c r="I77" s="190">
        <f t="shared" si="6"/>
        <v>0</v>
      </c>
      <c r="J77" s="292">
        <f t="shared" si="7"/>
        <v>27000</v>
      </c>
      <c r="K77" s="3">
        <f t="shared" si="7"/>
        <v>17700</v>
      </c>
      <c r="L77" s="3">
        <f t="shared" si="8"/>
        <v>9300</v>
      </c>
      <c r="M77" s="503">
        <f>+K77*100/J77</f>
        <v>65.555555555555557</v>
      </c>
    </row>
    <row r="78" spans="1:13" ht="24" x14ac:dyDescent="0.5">
      <c r="A78" s="2">
        <v>70</v>
      </c>
      <c r="B78" s="74" t="s">
        <v>203</v>
      </c>
      <c r="C78" s="75" t="s">
        <v>46</v>
      </c>
      <c r="D78" s="67">
        <v>0</v>
      </c>
      <c r="E78" s="3">
        <v>0</v>
      </c>
      <c r="F78" s="187">
        <f t="shared" si="5"/>
        <v>0</v>
      </c>
      <c r="G78" s="67">
        <v>100000</v>
      </c>
      <c r="H78" s="3">
        <v>100000</v>
      </c>
      <c r="I78" s="190">
        <f t="shared" si="6"/>
        <v>0</v>
      </c>
      <c r="J78" s="292">
        <f t="shared" si="7"/>
        <v>100000</v>
      </c>
      <c r="K78" s="3">
        <f t="shared" si="7"/>
        <v>100000</v>
      </c>
      <c r="L78" s="3">
        <f t="shared" si="8"/>
        <v>0</v>
      </c>
      <c r="M78" s="503">
        <v>0</v>
      </c>
    </row>
    <row r="79" spans="1:13" ht="24" x14ac:dyDescent="0.5">
      <c r="A79" s="2">
        <v>71</v>
      </c>
      <c r="B79" s="74" t="s">
        <v>203</v>
      </c>
      <c r="C79" s="75" t="s">
        <v>151</v>
      </c>
      <c r="D79" s="67">
        <v>5100</v>
      </c>
      <c r="E79" s="3">
        <v>3300</v>
      </c>
      <c r="F79" s="187">
        <f t="shared" si="5"/>
        <v>1800</v>
      </c>
      <c r="G79" s="67">
        <v>0</v>
      </c>
      <c r="H79" s="3">
        <v>0</v>
      </c>
      <c r="I79" s="190">
        <f t="shared" si="6"/>
        <v>0</v>
      </c>
      <c r="J79" s="292">
        <f t="shared" si="7"/>
        <v>5100</v>
      </c>
      <c r="K79" s="3">
        <f t="shared" si="7"/>
        <v>3300</v>
      </c>
      <c r="L79" s="3">
        <f t="shared" si="8"/>
        <v>1800</v>
      </c>
      <c r="M79" s="503">
        <v>0</v>
      </c>
    </row>
    <row r="80" spans="1:13" ht="24" x14ac:dyDescent="0.5">
      <c r="A80" s="2">
        <v>72</v>
      </c>
      <c r="B80" s="74" t="s">
        <v>203</v>
      </c>
      <c r="C80" s="75" t="s">
        <v>152</v>
      </c>
      <c r="D80" s="67">
        <v>0</v>
      </c>
      <c r="E80" s="3">
        <v>0</v>
      </c>
      <c r="F80" s="187">
        <f t="shared" si="5"/>
        <v>0</v>
      </c>
      <c r="G80" s="67">
        <v>0</v>
      </c>
      <c r="H80" s="3">
        <v>0</v>
      </c>
      <c r="I80" s="190">
        <f t="shared" si="6"/>
        <v>0</v>
      </c>
      <c r="J80" s="292">
        <f t="shared" si="7"/>
        <v>0</v>
      </c>
      <c r="K80" s="3">
        <f t="shared" si="7"/>
        <v>0</v>
      </c>
      <c r="L80" s="3">
        <f t="shared" si="8"/>
        <v>0</v>
      </c>
      <c r="M80" s="503">
        <v>0</v>
      </c>
    </row>
    <row r="81" spans="1:13" ht="24" x14ac:dyDescent="0.5">
      <c r="A81" s="2">
        <v>73</v>
      </c>
      <c r="B81" s="74" t="s">
        <v>203</v>
      </c>
      <c r="C81" s="75" t="s">
        <v>47</v>
      </c>
      <c r="D81" s="67">
        <v>27000</v>
      </c>
      <c r="E81" s="3">
        <v>18000</v>
      </c>
      <c r="F81" s="187">
        <f t="shared" si="5"/>
        <v>9000</v>
      </c>
      <c r="G81" s="67">
        <v>0</v>
      </c>
      <c r="H81" s="3">
        <v>0</v>
      </c>
      <c r="I81" s="190">
        <f t="shared" si="6"/>
        <v>0</v>
      </c>
      <c r="J81" s="292">
        <f t="shared" si="7"/>
        <v>27000</v>
      </c>
      <c r="K81" s="3">
        <f t="shared" si="7"/>
        <v>18000</v>
      </c>
      <c r="L81" s="3">
        <f t="shared" si="8"/>
        <v>9000</v>
      </c>
      <c r="M81" s="503">
        <f>+K81*100/J81</f>
        <v>66.666666666666671</v>
      </c>
    </row>
    <row r="82" spans="1:13" ht="24" x14ac:dyDescent="0.5">
      <c r="A82" s="2">
        <v>74</v>
      </c>
      <c r="B82" s="74" t="s">
        <v>203</v>
      </c>
      <c r="C82" s="75" t="s">
        <v>153</v>
      </c>
      <c r="D82" s="67">
        <v>0</v>
      </c>
      <c r="E82" s="3">
        <v>0</v>
      </c>
      <c r="F82" s="187">
        <f t="shared" si="5"/>
        <v>0</v>
      </c>
      <c r="G82" s="67">
        <v>0</v>
      </c>
      <c r="H82" s="3">
        <v>0</v>
      </c>
      <c r="I82" s="190">
        <f t="shared" si="6"/>
        <v>0</v>
      </c>
      <c r="J82" s="292">
        <f t="shared" si="7"/>
        <v>0</v>
      </c>
      <c r="K82" s="3">
        <f t="shared" si="7"/>
        <v>0</v>
      </c>
      <c r="L82" s="3">
        <f t="shared" si="8"/>
        <v>0</v>
      </c>
      <c r="M82" s="503">
        <v>0</v>
      </c>
    </row>
    <row r="83" spans="1:13" ht="24" x14ac:dyDescent="0.5">
      <c r="A83" s="2">
        <v>75</v>
      </c>
      <c r="B83" s="74" t="s">
        <v>203</v>
      </c>
      <c r="C83" s="75" t="s">
        <v>48</v>
      </c>
      <c r="D83" s="67">
        <v>13500</v>
      </c>
      <c r="E83" s="3">
        <v>9000</v>
      </c>
      <c r="F83" s="187">
        <f t="shared" si="5"/>
        <v>4500</v>
      </c>
      <c r="G83" s="67">
        <v>0</v>
      </c>
      <c r="H83" s="3">
        <v>0</v>
      </c>
      <c r="I83" s="190">
        <f t="shared" si="6"/>
        <v>0</v>
      </c>
      <c r="J83" s="292">
        <f t="shared" si="7"/>
        <v>13500</v>
      </c>
      <c r="K83" s="3">
        <f t="shared" si="7"/>
        <v>9000</v>
      </c>
      <c r="L83" s="3">
        <f t="shared" si="8"/>
        <v>4500</v>
      </c>
      <c r="M83" s="503">
        <f>+K83*100/J83</f>
        <v>66.666666666666671</v>
      </c>
    </row>
    <row r="84" spans="1:13" ht="24" x14ac:dyDescent="0.5">
      <c r="A84" s="2">
        <v>76</v>
      </c>
      <c r="B84" s="74" t="s">
        <v>203</v>
      </c>
      <c r="C84" s="75" t="s">
        <v>204</v>
      </c>
      <c r="D84" s="67">
        <v>0</v>
      </c>
      <c r="E84" s="3">
        <v>0</v>
      </c>
      <c r="F84" s="187">
        <f t="shared" si="5"/>
        <v>0</v>
      </c>
      <c r="G84" s="67">
        <v>0</v>
      </c>
      <c r="H84" s="3">
        <v>0</v>
      </c>
      <c r="I84" s="190">
        <f t="shared" si="6"/>
        <v>0</v>
      </c>
      <c r="J84" s="292">
        <f t="shared" si="7"/>
        <v>0</v>
      </c>
      <c r="K84" s="3">
        <f t="shared" si="7"/>
        <v>0</v>
      </c>
      <c r="L84" s="3">
        <f t="shared" si="8"/>
        <v>0</v>
      </c>
      <c r="M84" s="503">
        <v>0</v>
      </c>
    </row>
    <row r="85" spans="1:13" ht="24" x14ac:dyDescent="0.5">
      <c r="A85" s="2">
        <v>77</v>
      </c>
      <c r="B85" s="74" t="s">
        <v>203</v>
      </c>
      <c r="C85" s="75" t="s">
        <v>49</v>
      </c>
      <c r="D85" s="67">
        <v>0</v>
      </c>
      <c r="E85" s="3">
        <v>0</v>
      </c>
      <c r="F85" s="187">
        <f t="shared" si="5"/>
        <v>0</v>
      </c>
      <c r="G85" s="67">
        <v>0</v>
      </c>
      <c r="H85" s="3">
        <v>0</v>
      </c>
      <c r="I85" s="190">
        <f t="shared" si="6"/>
        <v>0</v>
      </c>
      <c r="J85" s="292">
        <f t="shared" si="7"/>
        <v>0</v>
      </c>
      <c r="K85" s="3">
        <f t="shared" si="7"/>
        <v>0</v>
      </c>
      <c r="L85" s="3">
        <f t="shared" si="8"/>
        <v>0</v>
      </c>
      <c r="M85" s="503">
        <v>0</v>
      </c>
    </row>
    <row r="86" spans="1:13" ht="24" x14ac:dyDescent="0.5">
      <c r="A86" s="2">
        <v>78</v>
      </c>
      <c r="B86" s="74" t="s">
        <v>203</v>
      </c>
      <c r="C86" s="75" t="s">
        <v>50</v>
      </c>
      <c r="D86" s="67">
        <v>0</v>
      </c>
      <c r="E86" s="3">
        <v>0</v>
      </c>
      <c r="F86" s="187">
        <f t="shared" si="5"/>
        <v>0</v>
      </c>
      <c r="G86" s="67">
        <v>0</v>
      </c>
      <c r="H86" s="3">
        <v>0</v>
      </c>
      <c r="I86" s="190">
        <f t="shared" si="6"/>
        <v>0</v>
      </c>
      <c r="J86" s="292">
        <f t="shared" si="7"/>
        <v>0</v>
      </c>
      <c r="K86" s="3">
        <f t="shared" si="7"/>
        <v>0</v>
      </c>
      <c r="L86" s="3">
        <f t="shared" si="8"/>
        <v>0</v>
      </c>
      <c r="M86" s="503">
        <v>0</v>
      </c>
    </row>
    <row r="87" spans="1:13" ht="24" x14ac:dyDescent="0.5">
      <c r="A87" s="2">
        <v>79</v>
      </c>
      <c r="B87" s="74" t="s">
        <v>203</v>
      </c>
      <c r="C87" s="75" t="s">
        <v>155</v>
      </c>
      <c r="D87" s="67">
        <v>0</v>
      </c>
      <c r="E87" s="3">
        <v>0</v>
      </c>
      <c r="F87" s="187">
        <f t="shared" si="5"/>
        <v>0</v>
      </c>
      <c r="G87" s="67">
        <v>0</v>
      </c>
      <c r="H87" s="3">
        <v>0</v>
      </c>
      <c r="I87" s="190">
        <f t="shared" si="6"/>
        <v>0</v>
      </c>
      <c r="J87" s="292">
        <f t="shared" si="7"/>
        <v>0</v>
      </c>
      <c r="K87" s="3">
        <f t="shared" si="7"/>
        <v>0</v>
      </c>
      <c r="L87" s="3">
        <f t="shared" si="8"/>
        <v>0</v>
      </c>
      <c r="M87" s="503">
        <v>0</v>
      </c>
    </row>
    <row r="88" spans="1:13" ht="24" x14ac:dyDescent="0.5">
      <c r="A88" s="2">
        <v>80</v>
      </c>
      <c r="B88" s="74" t="s">
        <v>203</v>
      </c>
      <c r="C88" s="75" t="s">
        <v>51</v>
      </c>
      <c r="D88" s="67">
        <v>0</v>
      </c>
      <c r="E88" s="3">
        <v>0</v>
      </c>
      <c r="F88" s="187">
        <f t="shared" si="5"/>
        <v>0</v>
      </c>
      <c r="G88" s="67">
        <v>0</v>
      </c>
      <c r="H88" s="3">
        <v>0</v>
      </c>
      <c r="I88" s="190">
        <f t="shared" si="6"/>
        <v>0</v>
      </c>
      <c r="J88" s="292">
        <f t="shared" si="7"/>
        <v>0</v>
      </c>
      <c r="K88" s="3">
        <f t="shared" si="7"/>
        <v>0</v>
      </c>
      <c r="L88" s="3">
        <f t="shared" si="8"/>
        <v>0</v>
      </c>
      <c r="M88" s="503">
        <v>0</v>
      </c>
    </row>
    <row r="89" spans="1:13" ht="24" x14ac:dyDescent="0.5">
      <c r="A89" s="2">
        <v>81</v>
      </c>
      <c r="B89" s="74" t="s">
        <v>203</v>
      </c>
      <c r="C89" s="75" t="s">
        <v>156</v>
      </c>
      <c r="D89" s="67">
        <v>0</v>
      </c>
      <c r="E89" s="3">
        <v>0</v>
      </c>
      <c r="F89" s="187">
        <f t="shared" si="5"/>
        <v>0</v>
      </c>
      <c r="G89" s="67">
        <v>0</v>
      </c>
      <c r="H89" s="3">
        <v>0</v>
      </c>
      <c r="I89" s="190">
        <f t="shared" si="6"/>
        <v>0</v>
      </c>
      <c r="J89" s="292">
        <f t="shared" si="7"/>
        <v>0</v>
      </c>
      <c r="K89" s="3">
        <f t="shared" si="7"/>
        <v>0</v>
      </c>
      <c r="L89" s="3">
        <f t="shared" si="8"/>
        <v>0</v>
      </c>
      <c r="M89" s="503">
        <v>0</v>
      </c>
    </row>
    <row r="90" spans="1:13" ht="24" x14ac:dyDescent="0.5">
      <c r="A90" s="2">
        <v>82</v>
      </c>
      <c r="B90" s="74" t="s">
        <v>203</v>
      </c>
      <c r="C90" s="75" t="s">
        <v>157</v>
      </c>
      <c r="D90" s="67">
        <v>0</v>
      </c>
      <c r="E90" s="3">
        <v>0</v>
      </c>
      <c r="F90" s="187">
        <f t="shared" si="5"/>
        <v>0</v>
      </c>
      <c r="G90" s="67">
        <v>0</v>
      </c>
      <c r="H90" s="3">
        <v>0</v>
      </c>
      <c r="I90" s="190">
        <f t="shared" si="6"/>
        <v>0</v>
      </c>
      <c r="J90" s="292">
        <f t="shared" si="7"/>
        <v>0</v>
      </c>
      <c r="K90" s="3">
        <f t="shared" si="7"/>
        <v>0</v>
      </c>
      <c r="L90" s="3">
        <f t="shared" si="8"/>
        <v>0</v>
      </c>
      <c r="M90" s="503">
        <v>0</v>
      </c>
    </row>
    <row r="91" spans="1:13" ht="24" x14ac:dyDescent="0.5">
      <c r="A91" s="2">
        <v>83</v>
      </c>
      <c r="B91" s="74" t="s">
        <v>203</v>
      </c>
      <c r="C91" s="75" t="s">
        <v>158</v>
      </c>
      <c r="D91" s="67">
        <v>13500</v>
      </c>
      <c r="E91" s="3">
        <v>9000</v>
      </c>
      <c r="F91" s="187">
        <f t="shared" si="5"/>
        <v>4500</v>
      </c>
      <c r="G91" s="67">
        <v>0</v>
      </c>
      <c r="H91" s="3">
        <v>0</v>
      </c>
      <c r="I91" s="190">
        <f t="shared" si="6"/>
        <v>0</v>
      </c>
      <c r="J91" s="292">
        <f t="shared" si="7"/>
        <v>13500</v>
      </c>
      <c r="K91" s="3">
        <f t="shared" si="7"/>
        <v>9000</v>
      </c>
      <c r="L91" s="3">
        <f t="shared" si="8"/>
        <v>4500</v>
      </c>
      <c r="M91" s="503">
        <f>+K91*100/J91</f>
        <v>66.666666666666671</v>
      </c>
    </row>
    <row r="92" spans="1:13" ht="24" x14ac:dyDescent="0.5">
      <c r="A92" s="2">
        <v>84</v>
      </c>
      <c r="B92" s="74" t="s">
        <v>203</v>
      </c>
      <c r="C92" s="75" t="s">
        <v>52</v>
      </c>
      <c r="D92" s="67">
        <v>27000</v>
      </c>
      <c r="E92" s="3">
        <v>2700</v>
      </c>
      <c r="F92" s="187">
        <f t="shared" si="5"/>
        <v>24300</v>
      </c>
      <c r="G92" s="67">
        <v>0</v>
      </c>
      <c r="H92" s="3">
        <v>0</v>
      </c>
      <c r="I92" s="190">
        <f t="shared" si="6"/>
        <v>0</v>
      </c>
      <c r="J92" s="292">
        <f t="shared" si="7"/>
        <v>27000</v>
      </c>
      <c r="K92" s="3">
        <f t="shared" si="7"/>
        <v>2700</v>
      </c>
      <c r="L92" s="3">
        <f t="shared" si="8"/>
        <v>24300</v>
      </c>
      <c r="M92" s="503">
        <f>+K92*100/J92</f>
        <v>10</v>
      </c>
    </row>
    <row r="93" spans="1:13" ht="24" x14ac:dyDescent="0.5">
      <c r="A93" s="2">
        <v>85</v>
      </c>
      <c r="B93" s="74" t="s">
        <v>203</v>
      </c>
      <c r="C93" s="75" t="s">
        <v>53</v>
      </c>
      <c r="D93" s="67">
        <v>0</v>
      </c>
      <c r="E93" s="3">
        <v>0</v>
      </c>
      <c r="F93" s="187">
        <f t="shared" si="5"/>
        <v>0</v>
      </c>
      <c r="G93" s="67">
        <v>0</v>
      </c>
      <c r="H93" s="3">
        <v>0</v>
      </c>
      <c r="I93" s="190">
        <f t="shared" si="6"/>
        <v>0</v>
      </c>
      <c r="J93" s="292">
        <f t="shared" si="7"/>
        <v>0</v>
      </c>
      <c r="K93" s="3">
        <f t="shared" si="7"/>
        <v>0</v>
      </c>
      <c r="L93" s="3">
        <f t="shared" si="8"/>
        <v>0</v>
      </c>
      <c r="M93" s="503">
        <v>0</v>
      </c>
    </row>
    <row r="94" spans="1:13" ht="24" x14ac:dyDescent="0.5">
      <c r="A94" s="2">
        <v>86</v>
      </c>
      <c r="B94" s="74" t="s">
        <v>203</v>
      </c>
      <c r="C94" s="75" t="s">
        <v>159</v>
      </c>
      <c r="D94" s="67">
        <v>40500</v>
      </c>
      <c r="E94" s="3">
        <v>30500</v>
      </c>
      <c r="F94" s="187">
        <f t="shared" si="5"/>
        <v>10000</v>
      </c>
      <c r="G94" s="67">
        <v>0</v>
      </c>
      <c r="H94" s="3">
        <v>0</v>
      </c>
      <c r="I94" s="190">
        <f t="shared" si="6"/>
        <v>0</v>
      </c>
      <c r="J94" s="292">
        <f t="shared" si="7"/>
        <v>40500</v>
      </c>
      <c r="K94" s="3">
        <f t="shared" si="7"/>
        <v>30500</v>
      </c>
      <c r="L94" s="3">
        <f t="shared" si="8"/>
        <v>10000</v>
      </c>
      <c r="M94" s="503">
        <f>+K94*100/J94</f>
        <v>75.308641975308646</v>
      </c>
    </row>
    <row r="95" spans="1:13" ht="24" x14ac:dyDescent="0.5">
      <c r="A95" s="2">
        <v>87</v>
      </c>
      <c r="B95" s="74" t="s">
        <v>203</v>
      </c>
      <c r="C95" s="75" t="s">
        <v>160</v>
      </c>
      <c r="D95" s="67">
        <v>27000</v>
      </c>
      <c r="E95" s="3">
        <f>98300-80000</f>
        <v>18300</v>
      </c>
      <c r="F95" s="187">
        <f t="shared" si="5"/>
        <v>8700</v>
      </c>
      <c r="G95" s="67">
        <v>80000</v>
      </c>
      <c r="H95" s="3">
        <f>7500+72500</f>
        <v>80000</v>
      </c>
      <c r="I95" s="190">
        <f t="shared" si="6"/>
        <v>0</v>
      </c>
      <c r="J95" s="292">
        <f t="shared" si="7"/>
        <v>107000</v>
      </c>
      <c r="K95" s="3">
        <f t="shared" si="7"/>
        <v>98300</v>
      </c>
      <c r="L95" s="3">
        <f t="shared" si="8"/>
        <v>8700</v>
      </c>
      <c r="M95" s="503">
        <f>+K95*100/J95</f>
        <v>91.869158878504678</v>
      </c>
    </row>
    <row r="96" spans="1:13" ht="24" x14ac:dyDescent="0.5">
      <c r="A96" s="2">
        <v>88</v>
      </c>
      <c r="B96" s="74" t="s">
        <v>203</v>
      </c>
      <c r="C96" s="75" t="s">
        <v>161</v>
      </c>
      <c r="D96" s="67">
        <v>27000</v>
      </c>
      <c r="E96" s="3">
        <v>26400</v>
      </c>
      <c r="F96" s="187">
        <f t="shared" si="5"/>
        <v>600</v>
      </c>
      <c r="G96" s="67">
        <v>0</v>
      </c>
      <c r="H96" s="3">
        <v>0</v>
      </c>
      <c r="I96" s="190">
        <f t="shared" si="6"/>
        <v>0</v>
      </c>
      <c r="J96" s="292">
        <f t="shared" si="7"/>
        <v>27000</v>
      </c>
      <c r="K96" s="3">
        <f t="shared" si="7"/>
        <v>26400</v>
      </c>
      <c r="L96" s="3">
        <f t="shared" si="8"/>
        <v>600</v>
      </c>
      <c r="M96" s="503">
        <f>+K96*100/J96</f>
        <v>97.777777777777771</v>
      </c>
    </row>
    <row r="97" spans="1:13" ht="24" x14ac:dyDescent="0.5">
      <c r="A97" s="2">
        <v>89</v>
      </c>
      <c r="B97" s="74" t="s">
        <v>203</v>
      </c>
      <c r="C97" s="75" t="s">
        <v>54</v>
      </c>
      <c r="D97" s="67">
        <v>0</v>
      </c>
      <c r="E97" s="3">
        <v>0</v>
      </c>
      <c r="F97" s="187">
        <f t="shared" si="5"/>
        <v>0</v>
      </c>
      <c r="G97" s="67">
        <v>0</v>
      </c>
      <c r="H97" s="3">
        <v>0</v>
      </c>
      <c r="I97" s="190">
        <f t="shared" si="6"/>
        <v>0</v>
      </c>
      <c r="J97" s="292">
        <f t="shared" si="7"/>
        <v>0</v>
      </c>
      <c r="K97" s="3">
        <f t="shared" si="7"/>
        <v>0</v>
      </c>
      <c r="L97" s="3">
        <f t="shared" si="8"/>
        <v>0</v>
      </c>
      <c r="M97" s="503">
        <v>0</v>
      </c>
    </row>
    <row r="98" spans="1:13" ht="24" x14ac:dyDescent="0.5">
      <c r="A98" s="2">
        <v>90</v>
      </c>
      <c r="B98" s="74" t="s">
        <v>203</v>
      </c>
      <c r="C98" s="75" t="s">
        <v>55</v>
      </c>
      <c r="D98" s="67">
        <v>0</v>
      </c>
      <c r="E98" s="3">
        <v>0</v>
      </c>
      <c r="F98" s="187">
        <f t="shared" si="5"/>
        <v>0</v>
      </c>
      <c r="G98" s="67">
        <v>0</v>
      </c>
      <c r="H98" s="3">
        <v>0</v>
      </c>
      <c r="I98" s="190">
        <f t="shared" si="6"/>
        <v>0</v>
      </c>
      <c r="J98" s="292">
        <f t="shared" si="7"/>
        <v>0</v>
      </c>
      <c r="K98" s="3">
        <f t="shared" si="7"/>
        <v>0</v>
      </c>
      <c r="L98" s="3">
        <f t="shared" si="8"/>
        <v>0</v>
      </c>
      <c r="M98" s="503">
        <v>0</v>
      </c>
    </row>
    <row r="99" spans="1:13" ht="24" x14ac:dyDescent="0.5">
      <c r="A99" s="2">
        <v>91</v>
      </c>
      <c r="B99" s="74" t="s">
        <v>194</v>
      </c>
      <c r="C99" s="75" t="s">
        <v>20</v>
      </c>
      <c r="D99" s="67">
        <v>0</v>
      </c>
      <c r="E99" s="3">
        <v>0</v>
      </c>
      <c r="F99" s="187">
        <f t="shared" si="5"/>
        <v>0</v>
      </c>
      <c r="G99" s="67">
        <v>0</v>
      </c>
      <c r="H99" s="3">
        <v>0</v>
      </c>
      <c r="I99" s="190">
        <f t="shared" si="6"/>
        <v>0</v>
      </c>
      <c r="J99" s="292">
        <f t="shared" si="7"/>
        <v>0</v>
      </c>
      <c r="K99" s="3">
        <f t="shared" si="7"/>
        <v>0</v>
      </c>
      <c r="L99" s="3">
        <f t="shared" si="8"/>
        <v>0</v>
      </c>
      <c r="M99" s="503">
        <v>0</v>
      </c>
    </row>
    <row r="100" spans="1:13" ht="24" x14ac:dyDescent="0.5">
      <c r="A100" s="2">
        <v>92</v>
      </c>
      <c r="B100" s="74" t="s">
        <v>194</v>
      </c>
      <c r="C100" s="75" t="s">
        <v>162</v>
      </c>
      <c r="D100" s="67">
        <v>27000</v>
      </c>
      <c r="E100" s="3">
        <v>18000</v>
      </c>
      <c r="F100" s="187">
        <f t="shared" si="5"/>
        <v>9000</v>
      </c>
      <c r="G100" s="67">
        <v>0</v>
      </c>
      <c r="H100" s="3">
        <v>0</v>
      </c>
      <c r="I100" s="190">
        <f t="shared" si="6"/>
        <v>0</v>
      </c>
      <c r="J100" s="292">
        <f t="shared" si="7"/>
        <v>27000</v>
      </c>
      <c r="K100" s="3">
        <f t="shared" si="7"/>
        <v>18000</v>
      </c>
      <c r="L100" s="3">
        <f t="shared" si="8"/>
        <v>9000</v>
      </c>
      <c r="M100" s="503">
        <f>+K100*100/J100</f>
        <v>66.666666666666671</v>
      </c>
    </row>
    <row r="101" spans="1:13" ht="24" x14ac:dyDescent="0.5">
      <c r="A101" s="2">
        <v>93</v>
      </c>
      <c r="B101" s="74" t="s">
        <v>203</v>
      </c>
      <c r="C101" s="75" t="s">
        <v>89</v>
      </c>
      <c r="D101" s="67">
        <v>2100</v>
      </c>
      <c r="E101" s="3">
        <v>2100</v>
      </c>
      <c r="F101" s="187">
        <f t="shared" si="5"/>
        <v>0</v>
      </c>
      <c r="G101" s="67">
        <v>0</v>
      </c>
      <c r="H101" s="3">
        <v>0</v>
      </c>
      <c r="I101" s="190">
        <f t="shared" si="6"/>
        <v>0</v>
      </c>
      <c r="J101" s="292">
        <f t="shared" si="7"/>
        <v>2100</v>
      </c>
      <c r="K101" s="3">
        <f t="shared" si="7"/>
        <v>2100</v>
      </c>
      <c r="L101" s="3">
        <f t="shared" si="8"/>
        <v>0</v>
      </c>
      <c r="M101" s="503">
        <v>0</v>
      </c>
    </row>
    <row r="102" spans="1:13" ht="24" x14ac:dyDescent="0.5">
      <c r="A102" s="2">
        <v>94</v>
      </c>
      <c r="B102" s="74" t="s">
        <v>202</v>
      </c>
      <c r="C102" s="75"/>
      <c r="D102" s="67">
        <v>13500</v>
      </c>
      <c r="E102" s="3">
        <v>9000</v>
      </c>
      <c r="F102" s="187">
        <f t="shared" si="5"/>
        <v>4500</v>
      </c>
      <c r="G102" s="67">
        <v>0</v>
      </c>
      <c r="H102" s="3">
        <v>0</v>
      </c>
      <c r="I102" s="190">
        <f t="shared" si="6"/>
        <v>0</v>
      </c>
      <c r="J102" s="292">
        <f t="shared" si="7"/>
        <v>13500</v>
      </c>
      <c r="K102" s="3">
        <f t="shared" si="7"/>
        <v>9000</v>
      </c>
      <c r="L102" s="3">
        <f t="shared" si="8"/>
        <v>4500</v>
      </c>
      <c r="M102" s="503">
        <f>+K102*100/J102</f>
        <v>66.666666666666671</v>
      </c>
    </row>
    <row r="103" spans="1:13" ht="24.75" thickBot="1" x14ac:dyDescent="0.55000000000000004">
      <c r="A103" s="2">
        <v>95</v>
      </c>
      <c r="B103" s="74" t="s">
        <v>194</v>
      </c>
      <c r="C103" s="75" t="s">
        <v>222</v>
      </c>
      <c r="D103" s="67">
        <v>13500</v>
      </c>
      <c r="E103" s="3">
        <v>9000</v>
      </c>
      <c r="F103" s="187">
        <f t="shared" si="5"/>
        <v>4500</v>
      </c>
      <c r="G103" s="67">
        <v>0</v>
      </c>
      <c r="H103" s="3">
        <v>0</v>
      </c>
      <c r="I103" s="190">
        <f t="shared" si="6"/>
        <v>0</v>
      </c>
      <c r="J103" s="292">
        <f t="shared" si="7"/>
        <v>13500</v>
      </c>
      <c r="K103" s="3">
        <f t="shared" si="7"/>
        <v>9000</v>
      </c>
      <c r="L103" s="3">
        <f t="shared" si="8"/>
        <v>4500</v>
      </c>
      <c r="M103" s="503">
        <f>+K103*100/J103</f>
        <v>66.666666666666671</v>
      </c>
    </row>
    <row r="104" spans="1:13" s="298" customFormat="1" ht="30.75" customHeight="1" thickBot="1" x14ac:dyDescent="0.5">
      <c r="A104" s="1182" t="s">
        <v>164</v>
      </c>
      <c r="B104" s="1182"/>
      <c r="C104" s="1182"/>
      <c r="D104" s="504">
        <f>SUM(D8:D103)</f>
        <v>1299000</v>
      </c>
      <c r="E104" s="504">
        <f t="shared" ref="E104:L104" si="9">SUM(E8:E103)</f>
        <v>756748.3</v>
      </c>
      <c r="F104" s="504">
        <f t="shared" si="9"/>
        <v>542251.69999999995</v>
      </c>
      <c r="G104" s="504">
        <f t="shared" si="9"/>
        <v>619500</v>
      </c>
      <c r="H104" s="504">
        <f t="shared" si="9"/>
        <v>519500</v>
      </c>
      <c r="I104" s="504">
        <f t="shared" si="9"/>
        <v>100000</v>
      </c>
      <c r="J104" s="504">
        <f t="shared" si="9"/>
        <v>1918500</v>
      </c>
      <c r="K104" s="504">
        <f t="shared" si="9"/>
        <v>1276248.3</v>
      </c>
      <c r="L104" s="504">
        <f t="shared" si="9"/>
        <v>642251.69999999995</v>
      </c>
      <c r="M104" s="505">
        <f>+K104*100/J104</f>
        <v>66.523236903831119</v>
      </c>
    </row>
    <row r="105" spans="1:13" s="500" customFormat="1" ht="30.75" hidden="1" customHeight="1" thickTop="1" thickBot="1" x14ac:dyDescent="0.55000000000000004">
      <c r="A105" s="1182" t="s">
        <v>298</v>
      </c>
      <c r="B105" s="1182"/>
      <c r="C105" s="1182"/>
      <c r="D105" s="191">
        <f>+D104-D8</f>
        <v>1299000</v>
      </c>
      <c r="E105" s="191">
        <f t="shared" ref="E105:L105" si="10">+E104-E8</f>
        <v>756748.3</v>
      </c>
      <c r="F105" s="193">
        <f t="shared" si="10"/>
        <v>542251.69999999995</v>
      </c>
      <c r="G105" s="194">
        <f t="shared" si="10"/>
        <v>619500</v>
      </c>
      <c r="H105" s="191">
        <f t="shared" si="10"/>
        <v>519500</v>
      </c>
      <c r="I105" s="193">
        <f t="shared" si="10"/>
        <v>100000</v>
      </c>
      <c r="J105" s="294">
        <f t="shared" si="10"/>
        <v>1918500</v>
      </c>
      <c r="K105" s="191">
        <f t="shared" si="10"/>
        <v>1276248.3</v>
      </c>
      <c r="L105" s="293">
        <f t="shared" si="10"/>
        <v>642251.69999999995</v>
      </c>
      <c r="M105" s="192">
        <f>+K105*100/J105</f>
        <v>66.523236903831119</v>
      </c>
    </row>
    <row r="106" spans="1:13" s="132" customFormat="1" ht="24" hidden="1" thickTop="1" x14ac:dyDescent="0.5">
      <c r="A106" s="132" t="s">
        <v>463</v>
      </c>
      <c r="C106" s="267"/>
      <c r="D106" s="268"/>
      <c r="E106" s="268"/>
      <c r="F106" s="268"/>
      <c r="J106" s="295"/>
      <c r="L106" s="295"/>
      <c r="M106" s="269"/>
    </row>
    <row r="107" spans="1:13" s="132" customFormat="1" ht="24" hidden="1" thickTop="1" x14ac:dyDescent="0.5">
      <c r="A107" s="132" t="s">
        <v>464</v>
      </c>
      <c r="C107" s="267"/>
      <c r="D107" s="268"/>
      <c r="E107" s="268"/>
      <c r="F107" s="268"/>
      <c r="G107" s="270"/>
      <c r="J107" s="295"/>
      <c r="L107" s="295"/>
      <c r="M107" s="269"/>
    </row>
    <row r="108" spans="1:13" ht="22.5" hidden="1" thickTop="1" x14ac:dyDescent="0.5"/>
    <row r="109" spans="1:13" ht="22.5" hidden="1" thickTop="1" x14ac:dyDescent="0.5">
      <c r="C109" s="500" t="s">
        <v>183</v>
      </c>
      <c r="D109" s="501">
        <v>4320000</v>
      </c>
      <c r="G109" s="296">
        <v>619500</v>
      </c>
    </row>
    <row r="110" spans="1:13" ht="22.5" hidden="1" thickTop="1" x14ac:dyDescent="0.5">
      <c r="D110" s="501">
        <f>+D104-D109</f>
        <v>-3021000</v>
      </c>
    </row>
    <row r="111" spans="1:13" ht="22.5" thickTop="1" x14ac:dyDescent="0.5">
      <c r="I111" s="301"/>
    </row>
    <row r="112" spans="1:13" s="271" customFormat="1" ht="26.25" hidden="1" x14ac:dyDescent="0.55000000000000004">
      <c r="A112" s="271" t="s">
        <v>165</v>
      </c>
      <c r="C112" s="1177" t="s">
        <v>465</v>
      </c>
      <c r="D112" s="1177"/>
      <c r="E112" s="1177"/>
      <c r="F112" s="1177"/>
      <c r="G112" s="1177"/>
      <c r="H112" s="1177"/>
      <c r="I112" s="1177"/>
      <c r="J112" s="1177"/>
      <c r="K112" s="1177"/>
      <c r="L112" s="1177"/>
      <c r="M112" s="1177"/>
    </row>
    <row r="113" spans="3:13" ht="26.25" hidden="1" x14ac:dyDescent="0.55000000000000004">
      <c r="C113" s="1177" t="s">
        <v>466</v>
      </c>
      <c r="D113" s="1177"/>
      <c r="E113" s="1177"/>
      <c r="F113" s="1177"/>
      <c r="G113" s="1177"/>
      <c r="H113" s="1177"/>
      <c r="I113" s="1177"/>
      <c r="J113" s="1177"/>
      <c r="K113" s="1177"/>
      <c r="L113" s="1177"/>
      <c r="M113" s="1177"/>
    </row>
    <row r="114" spans="3:13" ht="26.25" hidden="1" x14ac:dyDescent="0.55000000000000004">
      <c r="C114" s="1177" t="s">
        <v>467</v>
      </c>
      <c r="D114" s="1177"/>
      <c r="E114" s="1177"/>
      <c r="F114" s="1177"/>
      <c r="G114" s="1177"/>
      <c r="H114" s="1177"/>
      <c r="I114" s="1177"/>
      <c r="J114" s="1177"/>
      <c r="K114" s="1177"/>
      <c r="L114" s="1177"/>
      <c r="M114" s="1177"/>
    </row>
    <row r="115" spans="3:13" ht="26.25" hidden="1" x14ac:dyDescent="0.55000000000000004">
      <c r="C115" s="1177" t="s">
        <v>468</v>
      </c>
      <c r="D115" s="1177"/>
      <c r="E115" s="1177"/>
      <c r="F115" s="1177"/>
      <c r="G115" s="1177"/>
      <c r="H115" s="1177"/>
      <c r="I115" s="1177"/>
      <c r="J115" s="1177"/>
      <c r="K115" s="1177"/>
      <c r="L115" s="1177"/>
      <c r="M115" s="1177"/>
    </row>
    <row r="116" spans="3:13" ht="26.25" hidden="1" x14ac:dyDescent="0.55000000000000004">
      <c r="C116" s="1177" t="s">
        <v>469</v>
      </c>
      <c r="D116" s="1177"/>
      <c r="E116" s="1177"/>
      <c r="F116" s="1177"/>
      <c r="G116" s="1177"/>
      <c r="H116" s="1177"/>
      <c r="I116" s="1177"/>
      <c r="J116" s="1177"/>
      <c r="K116" s="1177"/>
      <c r="L116" s="1177"/>
      <c r="M116" s="1177"/>
    </row>
    <row r="117" spans="3:13" ht="26.25" hidden="1" x14ac:dyDescent="0.55000000000000004">
      <c r="C117" s="1177" t="s">
        <v>470</v>
      </c>
      <c r="D117" s="1177"/>
      <c r="E117" s="1177"/>
      <c r="F117" s="1177"/>
      <c r="G117" s="1177"/>
      <c r="H117" s="1177"/>
      <c r="I117" s="1177"/>
      <c r="J117" s="1177"/>
      <c r="K117" s="1177"/>
      <c r="L117" s="1177"/>
      <c r="M117" s="1177"/>
    </row>
    <row r="118" spans="3:13" ht="26.25" hidden="1" x14ac:dyDescent="0.55000000000000004">
      <c r="C118" s="1177" t="s">
        <v>471</v>
      </c>
      <c r="D118" s="1177"/>
      <c r="E118" s="1177"/>
      <c r="F118" s="1177"/>
      <c r="G118" s="1177"/>
      <c r="H118" s="1177"/>
      <c r="I118" s="1177"/>
      <c r="J118" s="1177"/>
      <c r="K118" s="1177"/>
      <c r="L118" s="1177"/>
      <c r="M118" s="1177"/>
    </row>
    <row r="119" spans="3:13" ht="26.25" hidden="1" x14ac:dyDescent="0.55000000000000004">
      <c r="C119" s="1177" t="s">
        <v>472</v>
      </c>
      <c r="D119" s="1177"/>
      <c r="E119" s="1177"/>
      <c r="F119" s="1177"/>
      <c r="G119" s="1177"/>
      <c r="H119" s="1177"/>
      <c r="I119" s="1177"/>
      <c r="J119" s="1177"/>
      <c r="K119" s="1177"/>
      <c r="L119" s="1177"/>
      <c r="M119" s="1177"/>
    </row>
    <row r="120" spans="3:13" ht="26.25" hidden="1" x14ac:dyDescent="0.55000000000000004">
      <c r="C120" s="1177" t="s">
        <v>473</v>
      </c>
      <c r="D120" s="1177"/>
      <c r="E120" s="1177"/>
      <c r="F120" s="1177"/>
      <c r="G120" s="1177"/>
      <c r="H120" s="1177"/>
      <c r="I120" s="1177"/>
      <c r="J120" s="1177"/>
      <c r="K120" s="1177"/>
      <c r="L120" s="1177"/>
      <c r="M120" s="1177"/>
    </row>
    <row r="122" spans="3:13" x14ac:dyDescent="0.5">
      <c r="J122" s="301"/>
      <c r="K122" s="301"/>
    </row>
    <row r="123" spans="3:13" x14ac:dyDescent="0.5">
      <c r="L123" s="301"/>
    </row>
  </sheetData>
  <mergeCells count="21">
    <mergeCell ref="C115:M115"/>
    <mergeCell ref="A1:M1"/>
    <mergeCell ref="A2:M2"/>
    <mergeCell ref="A3:M3"/>
    <mergeCell ref="A4:M4"/>
    <mergeCell ref="A5:M5"/>
    <mergeCell ref="A6:A7"/>
    <mergeCell ref="B6:C7"/>
    <mergeCell ref="D6:F6"/>
    <mergeCell ref="G6:I6"/>
    <mergeCell ref="J6:L6"/>
    <mergeCell ref="A104:C104"/>
    <mergeCell ref="A105:C105"/>
    <mergeCell ref="C112:M112"/>
    <mergeCell ref="C113:M113"/>
    <mergeCell ref="C114:M114"/>
    <mergeCell ref="C116:M116"/>
    <mergeCell ref="C117:M117"/>
    <mergeCell ref="C118:M118"/>
    <mergeCell ref="C119:M119"/>
    <mergeCell ref="C120:M120"/>
  </mergeCells>
  <pageMargins left="0.35433070866141736" right="0.35433070866141736" top="0.47" bottom="0.51181102362204722" header="0.31496062992125984" footer="0.19685039370078741"/>
  <pageSetup paperSize="9" scale="82" orientation="landscape" r:id="rId1"/>
  <headerFooter>
    <oddFooter>&amp;Lกลุ่มบริหารงานบัญชีและงบประมาณ&amp;Rหน้าที่ 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F786"/>
  <sheetViews>
    <sheetView zoomScale="70" zoomScaleNormal="70" workbookViewId="0">
      <selection activeCell="F9" sqref="F9"/>
    </sheetView>
  </sheetViews>
  <sheetFormatPr defaultRowHeight="24" x14ac:dyDescent="0.5"/>
  <cols>
    <col min="1" max="1" width="19.85546875" style="84" customWidth="1"/>
    <col min="2" max="2" width="23.28515625" style="244" customWidth="1"/>
    <col min="3" max="3" width="18.5703125" style="244" hidden="1" customWidth="1"/>
    <col min="4" max="4" width="26" style="88" customWidth="1"/>
    <col min="5" max="5" width="21.5703125" style="84" customWidth="1"/>
    <col min="6" max="6" width="23.5703125" style="84" customWidth="1"/>
    <col min="7" max="7" width="21.7109375" style="84" customWidth="1"/>
    <col min="8" max="8" width="22.140625" style="84" customWidth="1"/>
    <col min="9" max="9" width="17.28515625" style="84" customWidth="1"/>
    <col min="10" max="10" width="23.42578125" style="84" bestFit="1" customWidth="1"/>
    <col min="11" max="11" width="41.28515625" style="84" hidden="1" customWidth="1"/>
    <col min="12" max="32" width="9.140625" style="84" hidden="1" customWidth="1"/>
    <col min="33" max="97" width="9.140625" style="84" customWidth="1"/>
    <col min="98" max="98" width="1.42578125" style="84" customWidth="1"/>
    <col min="99" max="112" width="9.140625" style="84" customWidth="1"/>
    <col min="113" max="113" width="1.42578125" style="84" customWidth="1"/>
    <col min="114" max="16384" width="9.140625" style="84"/>
  </cols>
  <sheetData>
    <row r="1" spans="1:14" s="251" customFormat="1" ht="39.75" x14ac:dyDescent="0.5">
      <c r="A1" s="1046" t="s">
        <v>57</v>
      </c>
      <c r="B1" s="1046"/>
      <c r="C1" s="1046"/>
      <c r="D1" s="1046"/>
      <c r="E1" s="1046"/>
      <c r="F1" s="1046"/>
      <c r="G1" s="1046"/>
      <c r="H1" s="1046"/>
      <c r="I1" s="1046"/>
      <c r="J1" s="1046"/>
    </row>
    <row r="2" spans="1:14" s="251" customFormat="1" ht="39.75" x14ac:dyDescent="0.5">
      <c r="A2" s="1046" t="s">
        <v>994</v>
      </c>
      <c r="B2" s="1046"/>
      <c r="C2" s="1046"/>
      <c r="D2" s="1046"/>
      <c r="E2" s="1046"/>
      <c r="F2" s="1046"/>
      <c r="G2" s="1046"/>
      <c r="H2" s="1046"/>
      <c r="I2" s="1046"/>
      <c r="J2" s="1046"/>
    </row>
    <row r="3" spans="1:14" s="251" customFormat="1" ht="39.75" x14ac:dyDescent="0.5">
      <c r="A3" s="1047" t="str">
        <f>+รายจ่ายจริง!A3:P3</f>
        <v>ตั้งแต่วันที่ 1  ตุลาคม 2564 ถึงวันที่ 31 ตุลาคม 2564</v>
      </c>
      <c r="B3" s="1047"/>
      <c r="C3" s="1047"/>
      <c r="D3" s="1047"/>
      <c r="E3" s="1047"/>
      <c r="F3" s="1047"/>
      <c r="G3" s="1047"/>
      <c r="H3" s="1047"/>
      <c r="I3" s="1047"/>
      <c r="J3" s="1047"/>
    </row>
    <row r="4" spans="1:14" s="160" customFormat="1" ht="30.75" x14ac:dyDescent="0.5">
      <c r="A4" s="1048" t="s">
        <v>210</v>
      </c>
      <c r="B4" s="1057" t="s">
        <v>59</v>
      </c>
      <c r="C4" s="1058"/>
      <c r="D4" s="1059"/>
      <c r="E4" s="803" t="s">
        <v>166</v>
      </c>
      <c r="F4" s="805" t="s">
        <v>17</v>
      </c>
      <c r="G4" s="803" t="s">
        <v>62</v>
      </c>
      <c r="H4" s="803" t="s">
        <v>62</v>
      </c>
      <c r="I4" s="1057" t="s">
        <v>66</v>
      </c>
      <c r="J4" s="1059"/>
      <c r="K4" s="160" t="s">
        <v>1011</v>
      </c>
    </row>
    <row r="5" spans="1:14" s="160" customFormat="1" ht="30.75" x14ac:dyDescent="0.5">
      <c r="A5" s="1049"/>
      <c r="B5" s="698" t="s">
        <v>859</v>
      </c>
      <c r="C5" s="698" t="s">
        <v>858</v>
      </c>
      <c r="D5" s="828" t="s">
        <v>739</v>
      </c>
      <c r="E5" s="698" t="s">
        <v>785</v>
      </c>
      <c r="F5" s="806" t="s">
        <v>2</v>
      </c>
      <c r="G5" s="698" t="s">
        <v>72</v>
      </c>
      <c r="H5" s="698" t="s">
        <v>102</v>
      </c>
      <c r="I5" s="698" t="s">
        <v>111</v>
      </c>
      <c r="J5" s="698" t="s">
        <v>830</v>
      </c>
    </row>
    <row r="6" spans="1:14" s="86" customFormat="1" ht="27.75" x14ac:dyDescent="0.5">
      <c r="A6" s="1050"/>
      <c r="B6" s="807">
        <v>1</v>
      </c>
      <c r="C6" s="807">
        <v>2</v>
      </c>
      <c r="D6" s="807">
        <v>2</v>
      </c>
      <c r="E6" s="807">
        <v>3</v>
      </c>
      <c r="F6" s="808">
        <v>4</v>
      </c>
      <c r="G6" s="807" t="s">
        <v>1009</v>
      </c>
      <c r="H6" s="807" t="s">
        <v>1010</v>
      </c>
      <c r="I6" s="804"/>
      <c r="J6" s="804" t="s">
        <v>109</v>
      </c>
    </row>
    <row r="7" spans="1:14" ht="44.25" customHeight="1" x14ac:dyDescent="0.5">
      <c r="A7" s="141" t="s">
        <v>13</v>
      </c>
      <c r="B7" s="134">
        <f>+รายจ่ายจริง!G79</f>
        <v>1390052000</v>
      </c>
      <c r="C7" s="802">
        <f>+D7-B7</f>
        <v>-695026000</v>
      </c>
      <c r="D7" s="175">
        <f>+รายจ่ายจริง!G80</f>
        <v>695026000</v>
      </c>
      <c r="E7" s="136">
        <f>+รายจ่ายจริง!G81</f>
        <v>0</v>
      </c>
      <c r="F7" s="257">
        <f>+รายจ่ายจริง!G82</f>
        <v>109106629.47</v>
      </c>
      <c r="G7" s="134">
        <f>+D7-F7</f>
        <v>585919370.52999997</v>
      </c>
      <c r="H7" s="138">
        <f>+D7-E7-F7</f>
        <v>585919370.52999997</v>
      </c>
      <c r="I7" s="699">
        <f>+F7*100/B7</f>
        <v>7.8491041680455123</v>
      </c>
      <c r="J7" s="699">
        <f>+K7*100/B7</f>
        <v>7.8491041680455123</v>
      </c>
      <c r="K7" s="700">
        <f>+E7+F7</f>
        <v>109106629.47</v>
      </c>
    </row>
    <row r="8" spans="1:14" ht="44.25" customHeight="1" x14ac:dyDescent="0.5">
      <c r="A8" s="141" t="s">
        <v>14</v>
      </c>
      <c r="B8" s="134">
        <f>+รายจ่ายจริง!J79</f>
        <v>432541700</v>
      </c>
      <c r="C8" s="802">
        <f>+D8-B8</f>
        <v>-216271200</v>
      </c>
      <c r="D8" s="175">
        <f>+รายจ่ายจริง!J80</f>
        <v>216270500</v>
      </c>
      <c r="E8" s="136">
        <f>+รายจ่ายจริง!J81</f>
        <v>11020747.960000001</v>
      </c>
      <c r="F8" s="257">
        <f>+รายจ่ายจริง!J82</f>
        <v>8016568.5899999999</v>
      </c>
      <c r="G8" s="134">
        <f t="shared" ref="G8:G15" si="0">+D8-F8</f>
        <v>208253931.41</v>
      </c>
      <c r="H8" s="138">
        <f t="shared" ref="H8:H15" si="1">+D8-E8-F8</f>
        <v>197233183.44999999</v>
      </c>
      <c r="I8" s="699">
        <f t="shared" ref="I8:I12" si="2">+F8*100/B8</f>
        <v>1.8533631763134051</v>
      </c>
      <c r="J8" s="699">
        <f t="shared" ref="J8:J12" si="3">+K8*100/B8</f>
        <v>4.4012673344558459</v>
      </c>
      <c r="K8" s="700">
        <f t="shared" ref="K8:K15" si="4">+E8+F8</f>
        <v>19037316.550000001</v>
      </c>
    </row>
    <row r="9" spans="1:14" s="88" customFormat="1" ht="44.25" customHeight="1" x14ac:dyDescent="0.5">
      <c r="A9" s="141" t="s">
        <v>15</v>
      </c>
      <c r="B9" s="138">
        <f>SUM(B10:B11)</f>
        <v>118294300</v>
      </c>
      <c r="C9" s="138">
        <f>SUM(C10:C11)</f>
        <v>-50070800</v>
      </c>
      <c r="D9" s="138">
        <f>SUM(D10:D11)</f>
        <v>68223500</v>
      </c>
      <c r="E9" s="138">
        <f>SUM(E10:E11)</f>
        <v>7587410</v>
      </c>
      <c r="F9" s="138">
        <f>SUM(F10:F11)</f>
        <v>1322506.5</v>
      </c>
      <c r="G9" s="138">
        <f t="shared" si="0"/>
        <v>66900993.5</v>
      </c>
      <c r="H9" s="138">
        <f t="shared" si="1"/>
        <v>59313583.5</v>
      </c>
      <c r="I9" s="699">
        <f t="shared" si="2"/>
        <v>1.1179799026664852</v>
      </c>
      <c r="J9" s="699">
        <f t="shared" si="3"/>
        <v>7.5319913977258413</v>
      </c>
      <c r="K9" s="700">
        <f t="shared" si="4"/>
        <v>8909916.5</v>
      </c>
    </row>
    <row r="10" spans="1:14" ht="44.25" customHeight="1" x14ac:dyDescent="0.5">
      <c r="A10" s="252" t="s">
        <v>212</v>
      </c>
      <c r="B10" s="134">
        <f>+รายจ่ายจริง!K79</f>
        <v>19128700</v>
      </c>
      <c r="C10" s="134">
        <f>+D10-B10</f>
        <v>0</v>
      </c>
      <c r="D10" s="175">
        <f>+รายจ่ายจริง!K80</f>
        <v>19128700</v>
      </c>
      <c r="E10" s="136">
        <f>+รายจ่ายจริง!K81</f>
        <v>1351610</v>
      </c>
      <c r="F10" s="257">
        <f>+รายจ่ายจริง!K82</f>
        <v>1322506.5</v>
      </c>
      <c r="G10" s="134">
        <f t="shared" si="0"/>
        <v>17806193.5</v>
      </c>
      <c r="H10" s="138">
        <f t="shared" si="1"/>
        <v>16454583.5</v>
      </c>
      <c r="I10" s="699">
        <f t="shared" si="2"/>
        <v>6.913729108616895</v>
      </c>
      <c r="J10" s="699">
        <f t="shared" si="3"/>
        <v>13.979603945903277</v>
      </c>
      <c r="K10" s="700">
        <f t="shared" si="4"/>
        <v>2674116.5</v>
      </c>
    </row>
    <row r="11" spans="1:14" ht="44.25" customHeight="1" x14ac:dyDescent="0.5">
      <c r="A11" s="253" t="s">
        <v>214</v>
      </c>
      <c r="B11" s="135">
        <f>+รายจ่ายจริง!L79</f>
        <v>99165600</v>
      </c>
      <c r="C11" s="802">
        <f>+D11-B11</f>
        <v>-50070800</v>
      </c>
      <c r="D11" s="175">
        <f>+รายจ่ายจริง!L80</f>
        <v>49094800</v>
      </c>
      <c r="E11" s="136">
        <f>+รายจ่ายจริง!L81</f>
        <v>6235800</v>
      </c>
      <c r="F11" s="257">
        <f>+รายจ่ายจริง!L82</f>
        <v>0</v>
      </c>
      <c r="G11" s="134">
        <f t="shared" si="0"/>
        <v>49094800</v>
      </c>
      <c r="H11" s="138">
        <f t="shared" si="1"/>
        <v>42859000</v>
      </c>
      <c r="I11" s="699">
        <f t="shared" si="2"/>
        <v>0</v>
      </c>
      <c r="J11" s="699">
        <f t="shared" si="3"/>
        <v>6.2882693191993999</v>
      </c>
      <c r="K11" s="700">
        <f t="shared" si="4"/>
        <v>6235800</v>
      </c>
    </row>
    <row r="12" spans="1:14" ht="44.25" customHeight="1" x14ac:dyDescent="0.5">
      <c r="A12" s="141" t="s">
        <v>16</v>
      </c>
      <c r="B12" s="134">
        <f>+รายจ่ายจริง!O79</f>
        <v>28793900</v>
      </c>
      <c r="C12" s="134">
        <f>+D12-B12</f>
        <v>-14397100</v>
      </c>
      <c r="D12" s="175">
        <f>+รายจ่ายจริง!O80</f>
        <v>14396800</v>
      </c>
      <c r="E12" s="136">
        <f>+รายจ่ายจริง!O81</f>
        <v>0</v>
      </c>
      <c r="F12" s="257">
        <f>+รายจ่ายจริง!O82</f>
        <v>0</v>
      </c>
      <c r="G12" s="134">
        <f t="shared" si="0"/>
        <v>14396800</v>
      </c>
      <c r="H12" s="138">
        <f t="shared" si="1"/>
        <v>14396800</v>
      </c>
      <c r="I12" s="699">
        <f t="shared" si="2"/>
        <v>0</v>
      </c>
      <c r="J12" s="699">
        <f t="shared" si="3"/>
        <v>0</v>
      </c>
      <c r="K12" s="700">
        <f t="shared" si="4"/>
        <v>0</v>
      </c>
    </row>
    <row r="13" spans="1:14" s="318" customFormat="1" ht="54" customHeight="1" x14ac:dyDescent="0.5">
      <c r="A13" s="425" t="s">
        <v>289</v>
      </c>
      <c r="B13" s="426">
        <f>SUM(B7+B8+B9+B12)</f>
        <v>1969681900</v>
      </c>
      <c r="C13" s="845">
        <f>SUM(C7+C8+C9+C12)</f>
        <v>-975765100</v>
      </c>
      <c r="D13" s="426">
        <f>SUM(D7+D8+D9+D12)</f>
        <v>993916800</v>
      </c>
      <c r="E13" s="426">
        <f>SUM(E7+E8+E9+E12)</f>
        <v>18608157.960000001</v>
      </c>
      <c r="F13" s="426">
        <f>SUM(F7+F8+F9+F12)</f>
        <v>118445704.56</v>
      </c>
      <c r="G13" s="426">
        <f t="shared" si="0"/>
        <v>875471095.44000006</v>
      </c>
      <c r="H13" s="426">
        <f t="shared" si="1"/>
        <v>856862937.48000002</v>
      </c>
      <c r="I13" s="701">
        <f t="shared" ref="I13:I15" si="5">+F13*100/B13</f>
        <v>6.0134433158978613</v>
      </c>
      <c r="J13" s="701">
        <f t="shared" ref="J13:J15" si="6">+K13*100/B13</f>
        <v>6.958172409463681</v>
      </c>
      <c r="K13" s="700">
        <f>+E13+F13</f>
        <v>137053862.52000001</v>
      </c>
    </row>
    <row r="14" spans="1:14" s="90" customFormat="1" ht="54" customHeight="1" x14ac:dyDescent="0.5">
      <c r="A14" s="702" t="s">
        <v>287</v>
      </c>
      <c r="B14" s="140">
        <f>+B7+B8+B12</f>
        <v>1851387600</v>
      </c>
      <c r="C14" s="829">
        <f>+C7+C8+C12</f>
        <v>-925694300</v>
      </c>
      <c r="D14" s="140">
        <f>+D7+D8+D12</f>
        <v>925693300</v>
      </c>
      <c r="E14" s="140">
        <f>+E7+E8+E12</f>
        <v>11020747.960000001</v>
      </c>
      <c r="F14" s="846">
        <f>+F7+F8+F12</f>
        <v>117123198.06</v>
      </c>
      <c r="G14" s="140">
        <f t="shared" si="0"/>
        <v>808570101.94000006</v>
      </c>
      <c r="H14" s="140">
        <f t="shared" si="1"/>
        <v>797549353.98000002</v>
      </c>
      <c r="I14" s="703">
        <f t="shared" si="5"/>
        <v>6.3262386579665977</v>
      </c>
      <c r="J14" s="703">
        <f t="shared" si="6"/>
        <v>6.9215082795196432</v>
      </c>
      <c r="K14" s="700">
        <f t="shared" si="4"/>
        <v>128143946.02000001</v>
      </c>
      <c r="N14" s="976">
        <f>+D13*100/B13</f>
        <v>50.460777448378849</v>
      </c>
    </row>
    <row r="15" spans="1:14" s="90" customFormat="1" ht="54" customHeight="1" x14ac:dyDescent="0.5">
      <c r="A15" s="702" t="s">
        <v>288</v>
      </c>
      <c r="B15" s="140">
        <f>+B9</f>
        <v>118294300</v>
      </c>
      <c r="C15" s="140">
        <f>+C9</f>
        <v>-50070800</v>
      </c>
      <c r="D15" s="140">
        <f>+D9</f>
        <v>68223500</v>
      </c>
      <c r="E15" s="140">
        <f>+E9</f>
        <v>7587410</v>
      </c>
      <c r="F15" s="140">
        <f>+F9</f>
        <v>1322506.5</v>
      </c>
      <c r="G15" s="140">
        <f t="shared" si="0"/>
        <v>66900993.5</v>
      </c>
      <c r="H15" s="140">
        <f t="shared" si="1"/>
        <v>59313583.5</v>
      </c>
      <c r="I15" s="703">
        <f t="shared" si="5"/>
        <v>1.1179799026664852</v>
      </c>
      <c r="J15" s="703">
        <f t="shared" si="6"/>
        <v>7.5319913977258413</v>
      </c>
      <c r="K15" s="700">
        <f t="shared" si="4"/>
        <v>8909916.5</v>
      </c>
    </row>
    <row r="16" spans="1:14" s="302" customFormat="1" ht="36" hidden="1" x14ac:dyDescent="0.5">
      <c r="A16" s="1051" t="s">
        <v>855</v>
      </c>
      <c r="B16" s="1051"/>
      <c r="C16" s="1051"/>
      <c r="D16" s="1051"/>
      <c r="E16" s="1051"/>
      <c r="F16" s="1051"/>
      <c r="G16" s="1051"/>
      <c r="H16" s="1051"/>
      <c r="I16" s="1051"/>
      <c r="J16" s="1051"/>
      <c r="K16" s="704"/>
    </row>
    <row r="17" spans="1:11" s="302" customFormat="1" ht="27.75" hidden="1" x14ac:dyDescent="0.5">
      <c r="A17" s="1052" t="s">
        <v>264</v>
      </c>
      <c r="B17" s="1052"/>
      <c r="C17" s="1052"/>
      <c r="D17" s="1052"/>
      <c r="E17" s="705" t="s">
        <v>171</v>
      </c>
      <c r="F17" s="705" t="s">
        <v>172</v>
      </c>
      <c r="G17" s="800" t="s">
        <v>173</v>
      </c>
      <c r="H17" s="906" t="s">
        <v>174</v>
      </c>
      <c r="I17" s="1053" t="s">
        <v>810</v>
      </c>
      <c r="J17" s="1054"/>
      <c r="K17" s="706"/>
    </row>
    <row r="18" spans="1:11" s="302" customFormat="1" ht="39.75" hidden="1" x14ac:dyDescent="0.5">
      <c r="A18" s="707" t="s">
        <v>286</v>
      </c>
      <c r="B18" s="1055" t="s">
        <v>290</v>
      </c>
      <c r="C18" s="1056"/>
      <c r="D18" s="708" t="s">
        <v>83</v>
      </c>
      <c r="E18" s="135">
        <v>32</v>
      </c>
      <c r="F18" s="135">
        <v>54</v>
      </c>
      <c r="G18" s="135">
        <v>77</v>
      </c>
      <c r="H18" s="135">
        <v>100</v>
      </c>
      <c r="I18" s="764" t="s">
        <v>462</v>
      </c>
      <c r="J18" s="847">
        <f>+I13-H18</f>
        <v>-93.98655668410214</v>
      </c>
      <c r="K18" s="704"/>
    </row>
    <row r="19" spans="1:11" s="302" customFormat="1" ht="39.75" hidden="1" x14ac:dyDescent="0.5">
      <c r="A19" s="707" t="s">
        <v>287</v>
      </c>
      <c r="B19" s="1055" t="s">
        <v>290</v>
      </c>
      <c r="C19" s="1056"/>
      <c r="D19" s="708" t="s">
        <v>83</v>
      </c>
      <c r="E19" s="135">
        <v>36</v>
      </c>
      <c r="F19" s="135">
        <v>57</v>
      </c>
      <c r="G19" s="135">
        <v>80</v>
      </c>
      <c r="H19" s="135">
        <v>100</v>
      </c>
      <c r="I19" s="764" t="s">
        <v>462</v>
      </c>
      <c r="J19" s="847">
        <f>+I14-H19</f>
        <v>-93.673761342033401</v>
      </c>
      <c r="K19" s="704"/>
    </row>
    <row r="20" spans="1:11" s="302" customFormat="1" ht="39.75" hidden="1" x14ac:dyDescent="0.5">
      <c r="A20" s="707" t="s">
        <v>288</v>
      </c>
      <c r="B20" s="1055" t="s">
        <v>290</v>
      </c>
      <c r="C20" s="1056"/>
      <c r="D20" s="708" t="s">
        <v>83</v>
      </c>
      <c r="E20" s="135">
        <v>20</v>
      </c>
      <c r="F20" s="135">
        <v>45</v>
      </c>
      <c r="G20" s="135">
        <v>65</v>
      </c>
      <c r="H20" s="135">
        <v>100</v>
      </c>
      <c r="I20" s="764" t="s">
        <v>462</v>
      </c>
      <c r="J20" s="847">
        <f>+I15-H20</f>
        <v>-98.882020097333509</v>
      </c>
      <c r="K20" s="704"/>
    </row>
    <row r="21" spans="1:11" s="854" customFormat="1" ht="11.25" customHeight="1" x14ac:dyDescent="0.5">
      <c r="A21" s="855"/>
      <c r="B21" s="856"/>
      <c r="C21" s="856"/>
      <c r="D21" s="856"/>
      <c r="E21" s="857"/>
      <c r="F21" s="857"/>
      <c r="G21" s="857"/>
      <c r="H21" s="858"/>
      <c r="I21" s="859"/>
      <c r="J21" s="860"/>
      <c r="K21" s="853"/>
    </row>
    <row r="22" spans="1:11" s="901" customFormat="1" ht="33" x14ac:dyDescent="0.5">
      <c r="A22" s="977" t="s">
        <v>1048</v>
      </c>
      <c r="B22" s="977"/>
      <c r="C22" s="977"/>
      <c r="D22" s="977"/>
      <c r="E22" s="977"/>
      <c r="F22" s="977"/>
      <c r="G22" s="977"/>
      <c r="H22" s="977"/>
      <c r="I22" s="977"/>
      <c r="J22" s="977"/>
      <c r="K22" s="978"/>
    </row>
    <row r="23" spans="1:11" s="980" customFormat="1" ht="33" x14ac:dyDescent="0.5">
      <c r="A23" s="977" t="s">
        <v>1083</v>
      </c>
      <c r="B23" s="979"/>
      <c r="C23" s="979"/>
      <c r="E23" s="981"/>
      <c r="F23" s="982"/>
      <c r="G23" s="982"/>
      <c r="J23" s="982"/>
    </row>
    <row r="24" spans="1:11" s="980" customFormat="1" ht="33" x14ac:dyDescent="0.5">
      <c r="A24" s="977" t="s">
        <v>1047</v>
      </c>
      <c r="B24" s="979"/>
      <c r="C24" s="979"/>
      <c r="E24" s="981"/>
      <c r="F24" s="982"/>
      <c r="G24" s="982"/>
    </row>
    <row r="25" spans="1:11" s="246" customFormat="1" ht="36" x14ac:dyDescent="0.8">
      <c r="A25" s="1039" t="s">
        <v>1077</v>
      </c>
      <c r="B25" s="1039"/>
      <c r="C25" s="1039"/>
      <c r="D25" s="1039"/>
      <c r="E25" s="1039"/>
      <c r="F25" s="1039"/>
      <c r="G25" s="1039"/>
      <c r="H25" s="1039"/>
      <c r="I25" s="1039"/>
      <c r="J25" s="1039"/>
    </row>
    <row r="26" spans="1:11" s="247" customFormat="1" ht="18.75" hidden="1" customHeight="1" x14ac:dyDescent="0.5">
      <c r="A26" s="342"/>
      <c r="B26" s="342"/>
      <c r="C26" s="342"/>
      <c r="D26" s="342"/>
      <c r="E26" s="342"/>
      <c r="F26" s="343"/>
      <c r="G26" s="343"/>
      <c r="H26" s="343"/>
      <c r="I26" s="343"/>
      <c r="J26" s="343"/>
    </row>
    <row r="27" spans="1:11" s="160" customFormat="1" ht="30.75" x14ac:dyDescent="0.5">
      <c r="A27" s="1031" t="s">
        <v>58</v>
      </c>
      <c r="B27" s="1032"/>
      <c r="C27" s="1032"/>
      <c r="D27" s="1032"/>
      <c r="E27" s="1033"/>
      <c r="F27" s="263" t="s">
        <v>293</v>
      </c>
      <c r="G27" s="264" t="s">
        <v>17</v>
      </c>
      <c r="H27" s="264" t="s">
        <v>60</v>
      </c>
      <c r="I27" s="264" t="s">
        <v>66</v>
      </c>
      <c r="J27" s="264" t="s">
        <v>165</v>
      </c>
    </row>
    <row r="28" spans="1:11" s="180" customFormat="1" ht="27.75" x14ac:dyDescent="0.5">
      <c r="A28" s="765">
        <v>1</v>
      </c>
      <c r="B28" s="715" t="s">
        <v>14</v>
      </c>
      <c r="C28" s="436"/>
      <c r="D28" s="421"/>
      <c r="E28" s="437"/>
      <c r="F28" s="262">
        <f>+F29</f>
        <v>721233.5</v>
      </c>
      <c r="G28" s="262">
        <f t="shared" ref="G28:H28" si="7">+G29</f>
        <v>0</v>
      </c>
      <c r="H28" s="262">
        <f t="shared" si="7"/>
        <v>721233.5</v>
      </c>
      <c r="I28" s="262">
        <f t="shared" ref="I28:I35" si="8">+G28*100/F28</f>
        <v>0</v>
      </c>
      <c r="J28" s="262"/>
    </row>
    <row r="29" spans="1:11" s="180" customFormat="1" ht="73.5" customHeight="1" x14ac:dyDescent="0.5">
      <c r="A29" s="765"/>
      <c r="B29" s="1040" t="s">
        <v>980</v>
      </c>
      <c r="C29" s="1040"/>
      <c r="D29" s="1040"/>
      <c r="E29" s="1041"/>
      <c r="F29" s="254">
        <v>721233.5</v>
      </c>
      <c r="G29" s="254"/>
      <c r="H29" s="254">
        <f>+F29-G29</f>
        <v>721233.5</v>
      </c>
      <c r="I29" s="262">
        <f t="shared" si="8"/>
        <v>0</v>
      </c>
      <c r="J29" s="984" t="s">
        <v>1073</v>
      </c>
    </row>
    <row r="30" spans="1:11" s="180" customFormat="1" ht="28.5" customHeight="1" x14ac:dyDescent="0.5">
      <c r="A30" s="765">
        <v>2</v>
      </c>
      <c r="B30" s="715" t="s">
        <v>15</v>
      </c>
      <c r="C30" s="436"/>
      <c r="D30" s="421"/>
      <c r="E30" s="261"/>
      <c r="F30" s="262">
        <f>SUM(F31:F34)</f>
        <v>20862347.390000001</v>
      </c>
      <c r="G30" s="262">
        <f t="shared" ref="G30:H30" si="9">SUM(G31:G34)</f>
        <v>0</v>
      </c>
      <c r="H30" s="262">
        <f t="shared" si="9"/>
        <v>20862347.390000001</v>
      </c>
      <c r="I30" s="262">
        <f t="shared" si="8"/>
        <v>0</v>
      </c>
      <c r="J30" s="262"/>
    </row>
    <row r="31" spans="1:11" s="180" customFormat="1" ht="28.5" customHeight="1" x14ac:dyDescent="0.5">
      <c r="A31" s="765"/>
      <c r="B31" s="1040" t="s">
        <v>976</v>
      </c>
      <c r="C31" s="1040"/>
      <c r="D31" s="1040"/>
      <c r="E31" s="1041"/>
      <c r="F31" s="254">
        <f>+เงินกันปี63!J25</f>
        <v>11135650</v>
      </c>
      <c r="G31" s="254">
        <v>0</v>
      </c>
      <c r="H31" s="254">
        <f>+F31-G31</f>
        <v>11135650</v>
      </c>
      <c r="I31" s="262">
        <f t="shared" si="8"/>
        <v>0</v>
      </c>
      <c r="J31" s="254"/>
    </row>
    <row r="32" spans="1:11" s="180" customFormat="1" ht="28.5" customHeight="1" x14ac:dyDescent="0.5">
      <c r="A32" s="765"/>
      <c r="B32" s="1040" t="s">
        <v>977</v>
      </c>
      <c r="C32" s="1040"/>
      <c r="D32" s="1040"/>
      <c r="E32" s="1041"/>
      <c r="F32" s="254">
        <f>+เงินกันปี63!J29</f>
        <v>2339940.84</v>
      </c>
      <c r="G32" s="254">
        <v>0</v>
      </c>
      <c r="H32" s="254">
        <f t="shared" ref="H32:H34" si="10">+F32-G32</f>
        <v>2339940.84</v>
      </c>
      <c r="I32" s="262">
        <f t="shared" si="8"/>
        <v>0</v>
      </c>
      <c r="J32" s="254"/>
    </row>
    <row r="33" spans="1:10" s="180" customFormat="1" ht="28.5" customHeight="1" x14ac:dyDescent="0.5">
      <c r="A33" s="765"/>
      <c r="B33" s="1040" t="s">
        <v>978</v>
      </c>
      <c r="C33" s="1040"/>
      <c r="D33" s="1040"/>
      <c r="E33" s="1041"/>
      <c r="F33" s="254">
        <f>+เงินกันปี63!J31</f>
        <v>4231617.55</v>
      </c>
      <c r="G33" s="254"/>
      <c r="H33" s="254">
        <f t="shared" si="10"/>
        <v>4231617.55</v>
      </c>
      <c r="I33" s="262">
        <f t="shared" si="8"/>
        <v>0</v>
      </c>
      <c r="J33" s="254"/>
    </row>
    <row r="34" spans="1:10" s="180" customFormat="1" ht="28.5" customHeight="1" x14ac:dyDescent="0.5">
      <c r="A34" s="765"/>
      <c r="B34" s="1040" t="s">
        <v>979</v>
      </c>
      <c r="C34" s="1040"/>
      <c r="D34" s="1040"/>
      <c r="E34" s="1041"/>
      <c r="F34" s="254">
        <f>+เงินกันปี63!J35</f>
        <v>3155139</v>
      </c>
      <c r="G34" s="254"/>
      <c r="H34" s="254">
        <f t="shared" si="10"/>
        <v>3155139</v>
      </c>
      <c r="I34" s="262">
        <f t="shared" si="8"/>
        <v>0</v>
      </c>
      <c r="J34" s="262" t="s">
        <v>1012</v>
      </c>
    </row>
    <row r="35" spans="1:10" s="251" customFormat="1" ht="33" x14ac:dyDescent="0.5">
      <c r="A35" s="1036" t="s">
        <v>297</v>
      </c>
      <c r="B35" s="1037"/>
      <c r="C35" s="1037"/>
      <c r="D35" s="1037"/>
      <c r="E35" s="1038"/>
      <c r="F35" s="262">
        <f>+F28+F30</f>
        <v>21583580.890000001</v>
      </c>
      <c r="G35" s="262">
        <f t="shared" ref="G35:H35" si="11">+G28+G30</f>
        <v>0</v>
      </c>
      <c r="H35" s="262">
        <f t="shared" si="11"/>
        <v>21583580.890000001</v>
      </c>
      <c r="I35" s="262">
        <f t="shared" si="8"/>
        <v>0</v>
      </c>
      <c r="J35" s="255"/>
    </row>
    <row r="36" spans="1:10" s="246" customFormat="1" ht="36" x14ac:dyDescent="0.8">
      <c r="A36" s="1039" t="s">
        <v>892</v>
      </c>
      <c r="B36" s="1039"/>
      <c r="C36" s="1039"/>
      <c r="D36" s="1039"/>
      <c r="E36" s="1039"/>
      <c r="F36" s="1039"/>
      <c r="G36" s="1039"/>
      <c r="H36" s="1039"/>
      <c r="I36" s="1039"/>
      <c r="J36" s="1039"/>
    </row>
    <row r="37" spans="1:10" s="247" customFormat="1" ht="18.75" hidden="1" customHeight="1" x14ac:dyDescent="0.5">
      <c r="A37" s="342"/>
      <c r="B37" s="342"/>
      <c r="C37" s="342"/>
      <c r="D37" s="342"/>
      <c r="E37" s="342"/>
      <c r="F37" s="343"/>
      <c r="G37" s="343"/>
      <c r="H37" s="343"/>
      <c r="I37" s="343"/>
      <c r="J37" s="343"/>
    </row>
    <row r="38" spans="1:10" s="247" customFormat="1" ht="18.75" hidden="1" customHeight="1" x14ac:dyDescent="0.5">
      <c r="A38" s="342"/>
      <c r="B38" s="342"/>
      <c r="C38" s="342"/>
      <c r="D38" s="342"/>
      <c r="E38" s="342"/>
      <c r="F38" s="343"/>
      <c r="G38" s="343"/>
      <c r="H38" s="343"/>
      <c r="I38" s="343"/>
      <c r="J38" s="343"/>
    </row>
    <row r="39" spans="1:10" s="160" customFormat="1" ht="30.75" x14ac:dyDescent="0.5">
      <c r="A39" s="1031" t="s">
        <v>58</v>
      </c>
      <c r="B39" s="1032"/>
      <c r="C39" s="1032"/>
      <c r="D39" s="1032"/>
      <c r="E39" s="1033"/>
      <c r="F39" s="263" t="s">
        <v>293</v>
      </c>
      <c r="G39" s="264" t="s">
        <v>17</v>
      </c>
      <c r="H39" s="264" t="s">
        <v>60</v>
      </c>
      <c r="I39" s="264" t="s">
        <v>66</v>
      </c>
      <c r="J39" s="264" t="s">
        <v>165</v>
      </c>
    </row>
    <row r="40" spans="1:10" s="180" customFormat="1" ht="30.75" customHeight="1" x14ac:dyDescent="0.5">
      <c r="A40" s="765">
        <v>1</v>
      </c>
      <c r="B40" s="715" t="s">
        <v>14</v>
      </c>
      <c r="C40" s="436"/>
      <c r="D40" s="421"/>
      <c r="E40" s="437"/>
      <c r="F40" s="262">
        <f>+เงินกันปี64!H22</f>
        <v>9240390</v>
      </c>
      <c r="G40" s="262">
        <f>+เงินกันปี64!I22</f>
        <v>819072</v>
      </c>
      <c r="H40" s="262">
        <f>+เงินกันปี64!J22</f>
        <v>8421318</v>
      </c>
      <c r="I40" s="262">
        <f t="shared" ref="I40:I43" si="12">+G40*100/F40</f>
        <v>8.8640414527958242</v>
      </c>
      <c r="J40" s="262"/>
    </row>
    <row r="41" spans="1:10" s="180" customFormat="1" ht="30.75" customHeight="1" x14ac:dyDescent="0.5">
      <c r="A41" s="765">
        <v>2</v>
      </c>
      <c r="B41" s="715" t="s">
        <v>15</v>
      </c>
      <c r="C41" s="436"/>
      <c r="D41" s="421"/>
      <c r="E41" s="261"/>
      <c r="F41" s="262">
        <f>SUM(F42:F43)</f>
        <v>121075475.32000001</v>
      </c>
      <c r="G41" s="262">
        <f t="shared" ref="G41:H41" si="13">SUM(G42:G43)</f>
        <v>13433113</v>
      </c>
      <c r="H41" s="262">
        <f t="shared" si="13"/>
        <v>107642362.32000001</v>
      </c>
      <c r="I41" s="262">
        <f t="shared" si="12"/>
        <v>11.094825739479079</v>
      </c>
      <c r="J41" s="262"/>
    </row>
    <row r="42" spans="1:10" s="180" customFormat="1" ht="30.75" customHeight="1" x14ac:dyDescent="0.5">
      <c r="A42" s="765"/>
      <c r="B42" s="1040" t="s">
        <v>981</v>
      </c>
      <c r="C42" s="1040"/>
      <c r="D42" s="1040"/>
      <c r="E42" s="1041"/>
      <c r="F42" s="254">
        <f>+เงินกันปี64!H23+เงินกันปี64!H24+เงินกันปี64!H25+เงินกันปี64!H26+เงินกันปี64!H27+เงินกันปี64!H28+เงินกันปี64!H29+เงินกันปี64!H30+เงินกันปี64!H31+เงินกันปี64!H32+เงินกันปี64!H33</f>
        <v>3678102.5</v>
      </c>
      <c r="G42" s="254">
        <f>+เงินกันปี64!I23+เงินกันปี64!I24+เงินกันปี64!I25+เงินกันปี64!I26+เงินกันปี64!I27+เงินกันปี64!I28+เงินกันปี64!I29+เงินกันปี64!I30+เงินกันปี64!I31+เงินกันปี64!I32+เงินกันปี64!I33</f>
        <v>619720</v>
      </c>
      <c r="H42" s="254">
        <f>+เงินกันปี64!J23+เงินกันปี64!J24+เงินกันปี64!J25+เงินกันปี64!J26+เงินกันปี64!J27+เงินกันปี64!J28+เงินกันปี64!J29+เงินกันปี64!J30+เงินกันปี64!J31+เงินกันปี64!J32+เงินกันปี64!J33</f>
        <v>3058382.5</v>
      </c>
      <c r="I42" s="262">
        <f t="shared" si="12"/>
        <v>16.848905108000661</v>
      </c>
      <c r="J42" s="254"/>
    </row>
    <row r="43" spans="1:10" s="180" customFormat="1" ht="30.75" customHeight="1" x14ac:dyDescent="0.5">
      <c r="A43" s="765"/>
      <c r="B43" s="1040" t="s">
        <v>982</v>
      </c>
      <c r="C43" s="1040"/>
      <c r="D43" s="1040"/>
      <c r="E43" s="1041"/>
      <c r="F43" s="254">
        <f>+เงินกันปี64!H34+เงินกันปี64!H35+เงินกันปี64!H36+เงินกันปี64!H37+เงินกันปี64!H38+เงินกันปี64!H39+เงินกันปี64!H40+เงินกันปี64!H41+เงินกันปี64!H42+เงินกันปี64!H43+เงินกันปี64!H44+เงินกันปี64!H45+เงินกันปี64!H46+เงินกันปี64!H47+เงินกันปี64!H48+เงินกันปี64!H49+เงินกันปี64!H50+เงินกันปี64!H51</f>
        <v>117397372.82000001</v>
      </c>
      <c r="G43" s="254">
        <f>+เงินกันปี64!I34+เงินกันปี64!I35+เงินกันปี64!I36+เงินกันปี64!I37+เงินกันปี64!I38+เงินกันปี64!I39+เงินกันปี64!I40+เงินกันปี64!I41+เงินกันปี64!I42+เงินกันปี64!I43+เงินกันปี64!I44+เงินกันปี64!I45+เงินกันปี64!I46+เงินกันปี64!I47+เงินกันปี64!I48+เงินกันปี64!I49+เงินกันปี64!I50+เงินกันปี64!I51</f>
        <v>12813393</v>
      </c>
      <c r="H43" s="254">
        <f>+เงินกันปี64!J34+เงินกันปี64!J35+เงินกันปี64!J36+เงินกันปี64!J37+เงินกันปี64!J38+เงินกันปี64!J39+เงินกันปี64!J40+เงินกันปี64!J41+เงินกันปี64!J42+เงินกันปี64!J43+เงินกันปี64!J44+เงินกันปี64!J45+เงินกันปี64!J46+เงินกันปี64!J47+เงินกันปี64!J48+เงินกันปี64!J49+เงินกันปี64!J50+เงินกันปี64!J51</f>
        <v>104583979.82000001</v>
      </c>
      <c r="I43" s="262">
        <f t="shared" si="12"/>
        <v>10.914548334608975</v>
      </c>
      <c r="J43" s="254"/>
    </row>
    <row r="44" spans="1:10" s="180" customFormat="1" ht="30.75" customHeight="1" x14ac:dyDescent="0.5">
      <c r="A44" s="765">
        <v>3</v>
      </c>
      <c r="B44" s="715" t="s">
        <v>16</v>
      </c>
      <c r="C44" s="436"/>
      <c r="D44" s="421"/>
      <c r="E44" s="261"/>
      <c r="F44" s="262">
        <f>SUM(F45:F46)</f>
        <v>11129007.4</v>
      </c>
      <c r="G44" s="262">
        <f t="shared" ref="G44:H44" si="14">SUM(G45:G46)</f>
        <v>1058012.3999999999</v>
      </c>
      <c r="H44" s="262">
        <f t="shared" si="14"/>
        <v>10070995</v>
      </c>
      <c r="I44" s="262">
        <f t="shared" ref="I44:I46" si="15">+G44*100/F44</f>
        <v>9.5067993215639319</v>
      </c>
      <c r="J44" s="262"/>
    </row>
    <row r="45" spans="1:10" s="114" customFormat="1" ht="30.75" customHeight="1" x14ac:dyDescent="0.5">
      <c r="A45" s="248"/>
      <c r="B45" s="1040" t="s">
        <v>1044</v>
      </c>
      <c r="C45" s="1040"/>
      <c r="D45" s="1040"/>
      <c r="E45" s="1041"/>
      <c r="F45" s="254">
        <f>+เงินกันปี64!H62</f>
        <v>6129007.4000000004</v>
      </c>
      <c r="G45" s="254">
        <f>+เงินกันปี64!I62</f>
        <v>1058012.3999999999</v>
      </c>
      <c r="H45" s="254">
        <f>+เงินกันปี64!J62</f>
        <v>5070995</v>
      </c>
      <c r="I45" s="262">
        <f t="shared" si="15"/>
        <v>17.262377591516692</v>
      </c>
      <c r="J45" s="254"/>
    </row>
    <row r="46" spans="1:10" s="114" customFormat="1" ht="83.25" x14ac:dyDescent="0.5">
      <c r="A46" s="248"/>
      <c r="B46" s="1042" t="s">
        <v>1074</v>
      </c>
      <c r="C46" s="1042"/>
      <c r="D46" s="1042"/>
      <c r="E46" s="1043"/>
      <c r="F46" s="424">
        <f>+เงินกันปี64!H63</f>
        <v>5000000</v>
      </c>
      <c r="G46" s="424">
        <f>+เงินกันปี64!I63</f>
        <v>0</v>
      </c>
      <c r="H46" s="424">
        <f>+เงินกันปี64!J63</f>
        <v>5000000</v>
      </c>
      <c r="I46" s="262">
        <f t="shared" si="15"/>
        <v>0</v>
      </c>
      <c r="J46" s="983" t="s">
        <v>1081</v>
      </c>
    </row>
    <row r="47" spans="1:10" s="901" customFormat="1" ht="38.25" customHeight="1" x14ac:dyDescent="0.5">
      <c r="A47" s="1036" t="s">
        <v>297</v>
      </c>
      <c r="B47" s="1037"/>
      <c r="C47" s="1037"/>
      <c r="D47" s="1037"/>
      <c r="E47" s="1038"/>
      <c r="F47" s="262">
        <f>+F40+F41+F44</f>
        <v>141444872.72</v>
      </c>
      <c r="G47" s="262">
        <f t="shared" ref="G47:H47" si="16">+G40+G41+G44</f>
        <v>15310197.4</v>
      </c>
      <c r="H47" s="262">
        <f t="shared" si="16"/>
        <v>126134675.32000001</v>
      </c>
      <c r="I47" s="712">
        <f t="shared" ref="I47" si="17">+G47*100/F47</f>
        <v>10.824144492185026</v>
      </c>
      <c r="J47" s="255"/>
    </row>
    <row r="48" spans="1:10" s="975" customFormat="1" ht="33" x14ac:dyDescent="0.5">
      <c r="A48" s="1044" t="s">
        <v>1046</v>
      </c>
      <c r="B48" s="1044"/>
      <c r="C48" s="1044"/>
      <c r="D48" s="1044"/>
      <c r="E48" s="1044"/>
      <c r="F48" s="1044"/>
      <c r="G48" s="1044"/>
      <c r="H48" s="1044"/>
      <c r="I48" s="1044"/>
      <c r="J48" s="974"/>
    </row>
    <row r="49" spans="1:10" s="160" customFormat="1" ht="32.25" hidden="1" customHeight="1" x14ac:dyDescent="0.5">
      <c r="A49" s="1045"/>
      <c r="B49" s="1045"/>
      <c r="C49" s="1045"/>
      <c r="D49" s="1045"/>
      <c r="E49" s="1045"/>
      <c r="F49" s="1045"/>
      <c r="G49" s="1045"/>
      <c r="H49" s="1045"/>
      <c r="I49" s="1045"/>
      <c r="J49" s="713"/>
    </row>
    <row r="50" spans="1:10" s="160" customFormat="1" ht="32.25" hidden="1" customHeight="1" x14ac:dyDescent="0.5">
      <c r="A50" s="694"/>
      <c r="B50" s="694"/>
      <c r="C50" s="694"/>
      <c r="D50" s="694"/>
      <c r="E50" s="694"/>
      <c r="F50" s="694"/>
      <c r="G50" s="694"/>
      <c r="H50" s="694"/>
      <c r="I50" s="694"/>
      <c r="J50" s="713"/>
    </row>
    <row r="51" spans="1:10" s="246" customFormat="1" ht="36" hidden="1" x14ac:dyDescent="0.8">
      <c r="A51" s="1039" t="s">
        <v>760</v>
      </c>
      <c r="B51" s="1039"/>
      <c r="C51" s="1039"/>
      <c r="D51" s="1039"/>
      <c r="E51" s="1039"/>
      <c r="F51" s="1039"/>
      <c r="G51" s="1039"/>
      <c r="H51" s="1039"/>
      <c r="I51" s="1039"/>
      <c r="J51" s="1039"/>
    </row>
    <row r="52" spans="1:10" s="160" customFormat="1" ht="51" hidden="1" customHeight="1" x14ac:dyDescent="0.5">
      <c r="A52" s="1031" t="s">
        <v>58</v>
      </c>
      <c r="B52" s="1032"/>
      <c r="C52" s="1032"/>
      <c r="D52" s="1032"/>
      <c r="E52" s="1033"/>
      <c r="F52" s="263" t="s">
        <v>293</v>
      </c>
      <c r="G52" s="264" t="s">
        <v>17</v>
      </c>
      <c r="H52" s="264" t="s">
        <v>60</v>
      </c>
      <c r="I52" s="264" t="s">
        <v>66</v>
      </c>
      <c r="J52" s="709"/>
    </row>
    <row r="53" spans="1:10" s="180" customFormat="1" ht="51" hidden="1" customHeight="1" x14ac:dyDescent="0.5">
      <c r="A53" s="1034" t="s">
        <v>761</v>
      </c>
      <c r="B53" s="1035"/>
      <c r="C53" s="436"/>
      <c r="D53" s="421"/>
      <c r="E53" s="437"/>
      <c r="F53" s="262">
        <f>SUM(F54:F55)</f>
        <v>619500</v>
      </c>
      <c r="G53" s="262">
        <f t="shared" ref="G53:H53" si="18">SUM(G54:G55)</f>
        <v>0</v>
      </c>
      <c r="H53" s="262">
        <f t="shared" si="18"/>
        <v>619500</v>
      </c>
      <c r="I53" s="262">
        <f>+G53*100/F53</f>
        <v>0</v>
      </c>
      <c r="J53" s="710"/>
    </row>
    <row r="54" spans="1:10" s="180" customFormat="1" ht="51" hidden="1" customHeight="1" x14ac:dyDescent="0.5">
      <c r="A54" s="714" t="s">
        <v>795</v>
      </c>
      <c r="B54" s="715" t="s">
        <v>762</v>
      </c>
      <c r="C54" s="249"/>
      <c r="D54" s="421"/>
      <c r="E54" s="261"/>
      <c r="F54" s="254">
        <f>+'เบิกแทน กรมคุม'!D104</f>
        <v>0</v>
      </c>
      <c r="G54" s="254">
        <f>+'เบิกแทน กรมคุม'!E104</f>
        <v>0</v>
      </c>
      <c r="H54" s="254">
        <f>SUM(F54-G54)</f>
        <v>0</v>
      </c>
      <c r="I54" s="254" t="e">
        <f>+G54*100/F54</f>
        <v>#DIV/0!</v>
      </c>
      <c r="J54" s="710"/>
    </row>
    <row r="55" spans="1:10" s="160" customFormat="1" ht="51" hidden="1" customHeight="1" x14ac:dyDescent="0.5">
      <c r="A55" s="714" t="s">
        <v>796</v>
      </c>
      <c r="B55" s="1029" t="s">
        <v>794</v>
      </c>
      <c r="C55" s="1030"/>
      <c r="D55" s="1030"/>
      <c r="E55" s="1030"/>
      <c r="F55" s="254">
        <v>619500</v>
      </c>
      <c r="G55" s="254">
        <f>+'เบิกแทน กรมคุม'!H104</f>
        <v>0</v>
      </c>
      <c r="H55" s="254">
        <f>+F55-G55</f>
        <v>619500</v>
      </c>
      <c r="I55" s="254">
        <f>+G55*100/F55</f>
        <v>0</v>
      </c>
      <c r="J55" s="711"/>
    </row>
    <row r="56" spans="1:10" s="160" customFormat="1" ht="32.25" hidden="1" customHeight="1" x14ac:dyDescent="0.5">
      <c r="A56" s="160" t="s">
        <v>786</v>
      </c>
      <c r="B56" s="243"/>
      <c r="C56" s="243"/>
    </row>
    <row r="57" spans="1:10" hidden="1" x14ac:dyDescent="0.5"/>
    <row r="58" spans="1:10" hidden="1" x14ac:dyDescent="0.5"/>
    <row r="59" spans="1:10" hidden="1" x14ac:dyDescent="0.5"/>
    <row r="60" spans="1:10" hidden="1" x14ac:dyDescent="0.5"/>
    <row r="61" spans="1:10" hidden="1" x14ac:dyDescent="0.5"/>
    <row r="62" spans="1:10" hidden="1" x14ac:dyDescent="0.5"/>
    <row r="63" spans="1:10" hidden="1" x14ac:dyDescent="0.5"/>
    <row r="64" spans="1:10" hidden="1" x14ac:dyDescent="0.5"/>
    <row r="65" hidden="1" x14ac:dyDescent="0.5"/>
    <row r="66" hidden="1" x14ac:dyDescent="0.5"/>
    <row r="67" hidden="1" x14ac:dyDescent="0.5"/>
    <row r="68" hidden="1" x14ac:dyDescent="0.5"/>
    <row r="69" hidden="1" x14ac:dyDescent="0.5"/>
    <row r="70" hidden="1" x14ac:dyDescent="0.5"/>
    <row r="71" hidden="1" x14ac:dyDescent="0.5"/>
    <row r="72" hidden="1" x14ac:dyDescent="0.5"/>
    <row r="73" hidden="1" x14ac:dyDescent="0.5"/>
    <row r="74" hidden="1" x14ac:dyDescent="0.5"/>
    <row r="75" hidden="1" x14ac:dyDescent="0.5"/>
    <row r="76" hidden="1" x14ac:dyDescent="0.5"/>
    <row r="77" hidden="1" x14ac:dyDescent="0.5"/>
    <row r="78" hidden="1" x14ac:dyDescent="0.5"/>
    <row r="79" hidden="1" x14ac:dyDescent="0.5"/>
    <row r="80" hidden="1" x14ac:dyDescent="0.5"/>
    <row r="81" hidden="1" x14ac:dyDescent="0.5"/>
    <row r="82" hidden="1" x14ac:dyDescent="0.5"/>
    <row r="83" hidden="1" x14ac:dyDescent="0.5"/>
    <row r="84" hidden="1" x14ac:dyDescent="0.5"/>
    <row r="85" hidden="1" x14ac:dyDescent="0.5"/>
    <row r="86" hidden="1" x14ac:dyDescent="0.5"/>
    <row r="87" hidden="1" x14ac:dyDescent="0.5"/>
    <row r="88" hidden="1" x14ac:dyDescent="0.5"/>
    <row r="89" hidden="1" x14ac:dyDescent="0.5"/>
    <row r="90" hidden="1" x14ac:dyDescent="0.5"/>
    <row r="91" hidden="1" x14ac:dyDescent="0.5"/>
    <row r="92" hidden="1" x14ac:dyDescent="0.5"/>
    <row r="93" hidden="1" x14ac:dyDescent="0.5"/>
    <row r="94" hidden="1" x14ac:dyDescent="0.5"/>
    <row r="95" hidden="1" x14ac:dyDescent="0.5"/>
    <row r="96" hidden="1" x14ac:dyDescent="0.5"/>
    <row r="97" hidden="1" x14ac:dyDescent="0.5"/>
    <row r="98" hidden="1" x14ac:dyDescent="0.5"/>
    <row r="99" hidden="1" x14ac:dyDescent="0.5"/>
    <row r="100" hidden="1" x14ac:dyDescent="0.5"/>
    <row r="101" hidden="1" x14ac:dyDescent="0.5"/>
    <row r="102" hidden="1" x14ac:dyDescent="0.5"/>
    <row r="103" hidden="1" x14ac:dyDescent="0.5"/>
    <row r="104" hidden="1" x14ac:dyDescent="0.5"/>
    <row r="105" hidden="1" x14ac:dyDescent="0.5"/>
    <row r="106" hidden="1" x14ac:dyDescent="0.5"/>
    <row r="107" hidden="1" x14ac:dyDescent="0.5"/>
    <row r="108" hidden="1" x14ac:dyDescent="0.5"/>
    <row r="109" hidden="1" x14ac:dyDescent="0.5"/>
    <row r="110" hidden="1" x14ac:dyDescent="0.5"/>
    <row r="111" hidden="1" x14ac:dyDescent="0.5"/>
    <row r="112" hidden="1" x14ac:dyDescent="0.5"/>
    <row r="113" hidden="1" x14ac:dyDescent="0.5"/>
    <row r="114" hidden="1" x14ac:dyDescent="0.5"/>
    <row r="115" hidden="1" x14ac:dyDescent="0.5"/>
    <row r="116" hidden="1" x14ac:dyDescent="0.5"/>
    <row r="117" hidden="1" x14ac:dyDescent="0.5"/>
    <row r="118" hidden="1" x14ac:dyDescent="0.5"/>
    <row r="119" hidden="1" x14ac:dyDescent="0.5"/>
    <row r="120" hidden="1" x14ac:dyDescent="0.5"/>
    <row r="121" hidden="1" x14ac:dyDescent="0.5"/>
    <row r="122" hidden="1" x14ac:dyDescent="0.5"/>
    <row r="123" hidden="1" x14ac:dyDescent="0.5"/>
    <row r="124" hidden="1" x14ac:dyDescent="0.5"/>
    <row r="125" hidden="1" x14ac:dyDescent="0.5"/>
    <row r="126" hidden="1" x14ac:dyDescent="0.5"/>
    <row r="127" hidden="1" x14ac:dyDescent="0.5"/>
    <row r="128" hidden="1" x14ac:dyDescent="0.5"/>
    <row r="129" hidden="1" x14ac:dyDescent="0.5"/>
    <row r="130" hidden="1" x14ac:dyDescent="0.5"/>
    <row r="131" hidden="1" x14ac:dyDescent="0.5"/>
    <row r="132" hidden="1" x14ac:dyDescent="0.5"/>
    <row r="133" hidden="1" x14ac:dyDescent="0.5"/>
    <row r="134" hidden="1" x14ac:dyDescent="0.5"/>
    <row r="135" hidden="1" x14ac:dyDescent="0.5"/>
    <row r="136" hidden="1" x14ac:dyDescent="0.5"/>
    <row r="137" hidden="1" x14ac:dyDescent="0.5"/>
    <row r="138" hidden="1" x14ac:dyDescent="0.5"/>
    <row r="139" hidden="1" x14ac:dyDescent="0.5"/>
    <row r="140" hidden="1" x14ac:dyDescent="0.5"/>
    <row r="141" hidden="1" x14ac:dyDescent="0.5"/>
    <row r="142" hidden="1" x14ac:dyDescent="0.5"/>
    <row r="143" hidden="1" x14ac:dyDescent="0.5"/>
    <row r="144" hidden="1" x14ac:dyDescent="0.5"/>
    <row r="145" hidden="1" x14ac:dyDescent="0.5"/>
    <row r="146" hidden="1" x14ac:dyDescent="0.5"/>
    <row r="147" hidden="1" x14ac:dyDescent="0.5"/>
    <row r="148" hidden="1" x14ac:dyDescent="0.5"/>
    <row r="149" hidden="1" x14ac:dyDescent="0.5"/>
    <row r="150" hidden="1" x14ac:dyDescent="0.5"/>
    <row r="151" hidden="1" x14ac:dyDescent="0.5"/>
    <row r="152" hidden="1" x14ac:dyDescent="0.5"/>
    <row r="153" hidden="1" x14ac:dyDescent="0.5"/>
    <row r="154" hidden="1" x14ac:dyDescent="0.5"/>
    <row r="155" hidden="1" x14ac:dyDescent="0.5"/>
    <row r="156" hidden="1" x14ac:dyDescent="0.5"/>
    <row r="157" hidden="1" x14ac:dyDescent="0.5"/>
    <row r="158" hidden="1" x14ac:dyDescent="0.5"/>
    <row r="159" hidden="1" x14ac:dyDescent="0.5"/>
    <row r="160" hidden="1" x14ac:dyDescent="0.5"/>
    <row r="161" hidden="1" x14ac:dyDescent="0.5"/>
    <row r="162" hidden="1" x14ac:dyDescent="0.5"/>
    <row r="163" hidden="1" x14ac:dyDescent="0.5"/>
    <row r="164" hidden="1" x14ac:dyDescent="0.5"/>
    <row r="165" hidden="1" x14ac:dyDescent="0.5"/>
    <row r="166" hidden="1" x14ac:dyDescent="0.5"/>
    <row r="167" hidden="1" x14ac:dyDescent="0.5"/>
    <row r="168" hidden="1" x14ac:dyDescent="0.5"/>
    <row r="169" hidden="1" x14ac:dyDescent="0.5"/>
    <row r="170" hidden="1" x14ac:dyDescent="0.5"/>
    <row r="171" hidden="1" x14ac:dyDescent="0.5"/>
    <row r="172" hidden="1" x14ac:dyDescent="0.5"/>
    <row r="173" hidden="1" x14ac:dyDescent="0.5"/>
    <row r="174" hidden="1" x14ac:dyDescent="0.5"/>
    <row r="175" hidden="1" x14ac:dyDescent="0.5"/>
    <row r="176" hidden="1" x14ac:dyDescent="0.5"/>
    <row r="177" hidden="1" x14ac:dyDescent="0.5"/>
    <row r="178" hidden="1" x14ac:dyDescent="0.5"/>
    <row r="179" hidden="1" x14ac:dyDescent="0.5"/>
    <row r="180" hidden="1" x14ac:dyDescent="0.5"/>
    <row r="181" hidden="1" x14ac:dyDescent="0.5"/>
    <row r="182" hidden="1" x14ac:dyDescent="0.5"/>
    <row r="183" hidden="1" x14ac:dyDescent="0.5"/>
    <row r="184" hidden="1" x14ac:dyDescent="0.5"/>
    <row r="185" hidden="1" x14ac:dyDescent="0.5"/>
    <row r="186" hidden="1" x14ac:dyDescent="0.5"/>
    <row r="187" hidden="1" x14ac:dyDescent="0.5"/>
    <row r="188" hidden="1" x14ac:dyDescent="0.5"/>
    <row r="189" hidden="1" x14ac:dyDescent="0.5"/>
    <row r="190" hidden="1" x14ac:dyDescent="0.5"/>
    <row r="191" hidden="1" x14ac:dyDescent="0.5"/>
    <row r="192" hidden="1" x14ac:dyDescent="0.5"/>
    <row r="193" hidden="1" x14ac:dyDescent="0.5"/>
    <row r="194" hidden="1" x14ac:dyDescent="0.5"/>
    <row r="195" hidden="1" x14ac:dyDescent="0.5"/>
    <row r="196" hidden="1" x14ac:dyDescent="0.5"/>
    <row r="197" hidden="1" x14ac:dyDescent="0.5"/>
    <row r="198" hidden="1" x14ac:dyDescent="0.5"/>
    <row r="199" hidden="1" x14ac:dyDescent="0.5"/>
    <row r="200" hidden="1" x14ac:dyDescent="0.5"/>
    <row r="201" hidden="1" x14ac:dyDescent="0.5"/>
    <row r="202" hidden="1" x14ac:dyDescent="0.5"/>
    <row r="203" hidden="1" x14ac:dyDescent="0.5"/>
    <row r="204" hidden="1" x14ac:dyDescent="0.5"/>
    <row r="205" hidden="1" x14ac:dyDescent="0.5"/>
    <row r="206" hidden="1" x14ac:dyDescent="0.5"/>
    <row r="207" hidden="1" x14ac:dyDescent="0.5"/>
    <row r="208" hidden="1" x14ac:dyDescent="0.5"/>
    <row r="209" hidden="1" x14ac:dyDescent="0.5"/>
    <row r="210" hidden="1" x14ac:dyDescent="0.5"/>
    <row r="211" hidden="1" x14ac:dyDescent="0.5"/>
    <row r="212" hidden="1" x14ac:dyDescent="0.5"/>
    <row r="213" hidden="1" x14ac:dyDescent="0.5"/>
    <row r="214" hidden="1" x14ac:dyDescent="0.5"/>
    <row r="215" hidden="1" x14ac:dyDescent="0.5"/>
    <row r="216" hidden="1" x14ac:dyDescent="0.5"/>
    <row r="217" hidden="1" x14ac:dyDescent="0.5"/>
    <row r="218" hidden="1" x14ac:dyDescent="0.5"/>
    <row r="219" hidden="1" x14ac:dyDescent="0.5"/>
    <row r="220" hidden="1" x14ac:dyDescent="0.5"/>
    <row r="221" hidden="1" x14ac:dyDescent="0.5"/>
    <row r="222" hidden="1" x14ac:dyDescent="0.5"/>
    <row r="223" hidden="1" x14ac:dyDescent="0.5"/>
    <row r="224" hidden="1" x14ac:dyDescent="0.5"/>
    <row r="225" hidden="1" x14ac:dyDescent="0.5"/>
    <row r="226" hidden="1" x14ac:dyDescent="0.5"/>
    <row r="227" hidden="1" x14ac:dyDescent="0.5"/>
    <row r="228" hidden="1" x14ac:dyDescent="0.5"/>
    <row r="229" hidden="1" x14ac:dyDescent="0.5"/>
    <row r="230" hidden="1" x14ac:dyDescent="0.5"/>
    <row r="231" hidden="1" x14ac:dyDescent="0.5"/>
    <row r="232" hidden="1" x14ac:dyDescent="0.5"/>
    <row r="233" hidden="1" x14ac:dyDescent="0.5"/>
    <row r="234" hidden="1" x14ac:dyDescent="0.5"/>
    <row r="235" hidden="1" x14ac:dyDescent="0.5"/>
    <row r="236" hidden="1" x14ac:dyDescent="0.5"/>
    <row r="237" hidden="1" x14ac:dyDescent="0.5"/>
    <row r="238" hidden="1" x14ac:dyDescent="0.5"/>
    <row r="239" hidden="1" x14ac:dyDescent="0.5"/>
    <row r="240" hidden="1" x14ac:dyDescent="0.5"/>
    <row r="241" hidden="1" x14ac:dyDescent="0.5"/>
    <row r="242" hidden="1" x14ac:dyDescent="0.5"/>
    <row r="243" hidden="1" x14ac:dyDescent="0.5"/>
    <row r="244" hidden="1" x14ac:dyDescent="0.5"/>
    <row r="245" hidden="1" x14ac:dyDescent="0.5"/>
    <row r="246" hidden="1" x14ac:dyDescent="0.5"/>
    <row r="247" hidden="1" x14ac:dyDescent="0.5"/>
    <row r="248" hidden="1" x14ac:dyDescent="0.5"/>
    <row r="249" hidden="1" x14ac:dyDescent="0.5"/>
    <row r="250" hidden="1" x14ac:dyDescent="0.5"/>
    <row r="251" hidden="1" x14ac:dyDescent="0.5"/>
    <row r="252" hidden="1" x14ac:dyDescent="0.5"/>
    <row r="253" hidden="1" x14ac:dyDescent="0.5"/>
    <row r="254" hidden="1" x14ac:dyDescent="0.5"/>
    <row r="255" hidden="1" x14ac:dyDescent="0.5"/>
    <row r="256" hidden="1" x14ac:dyDescent="0.5"/>
    <row r="257" hidden="1" x14ac:dyDescent="0.5"/>
    <row r="258" hidden="1" x14ac:dyDescent="0.5"/>
    <row r="259" hidden="1" x14ac:dyDescent="0.5"/>
    <row r="260" hidden="1" x14ac:dyDescent="0.5"/>
    <row r="261" hidden="1" x14ac:dyDescent="0.5"/>
    <row r="262" hidden="1" x14ac:dyDescent="0.5"/>
    <row r="263" hidden="1" x14ac:dyDescent="0.5"/>
    <row r="264" hidden="1" x14ac:dyDescent="0.5"/>
    <row r="265" hidden="1" x14ac:dyDescent="0.5"/>
    <row r="266" hidden="1" x14ac:dyDescent="0.5"/>
    <row r="267" hidden="1" x14ac:dyDescent="0.5"/>
    <row r="268" hidden="1" x14ac:dyDescent="0.5"/>
    <row r="269" hidden="1" x14ac:dyDescent="0.5"/>
    <row r="270" hidden="1" x14ac:dyDescent="0.5"/>
    <row r="271" hidden="1" x14ac:dyDescent="0.5"/>
    <row r="272" hidden="1" x14ac:dyDescent="0.5"/>
    <row r="273" hidden="1" x14ac:dyDescent="0.5"/>
    <row r="274" hidden="1" x14ac:dyDescent="0.5"/>
    <row r="275" hidden="1" x14ac:dyDescent="0.5"/>
    <row r="276" hidden="1" x14ac:dyDescent="0.5"/>
    <row r="277" hidden="1" x14ac:dyDescent="0.5"/>
    <row r="278" hidden="1" x14ac:dyDescent="0.5"/>
    <row r="279" hidden="1" x14ac:dyDescent="0.5"/>
    <row r="280" hidden="1" x14ac:dyDescent="0.5"/>
    <row r="281" hidden="1" x14ac:dyDescent="0.5"/>
    <row r="282" hidden="1" x14ac:dyDescent="0.5"/>
    <row r="283" hidden="1" x14ac:dyDescent="0.5"/>
    <row r="284" hidden="1" x14ac:dyDescent="0.5"/>
    <row r="285" hidden="1" x14ac:dyDescent="0.5"/>
    <row r="286" hidden="1" x14ac:dyDescent="0.5"/>
    <row r="287" hidden="1" x14ac:dyDescent="0.5"/>
    <row r="288" hidden="1" x14ac:dyDescent="0.5"/>
    <row r="289" hidden="1" x14ac:dyDescent="0.5"/>
    <row r="290" hidden="1" x14ac:dyDescent="0.5"/>
    <row r="291" hidden="1" x14ac:dyDescent="0.5"/>
    <row r="292" hidden="1" x14ac:dyDescent="0.5"/>
    <row r="293" hidden="1" x14ac:dyDescent="0.5"/>
    <row r="294" hidden="1" x14ac:dyDescent="0.5"/>
    <row r="295" hidden="1" x14ac:dyDescent="0.5"/>
    <row r="296" hidden="1" x14ac:dyDescent="0.5"/>
    <row r="297" hidden="1" x14ac:dyDescent="0.5"/>
    <row r="298" hidden="1" x14ac:dyDescent="0.5"/>
    <row r="299" hidden="1" x14ac:dyDescent="0.5"/>
    <row r="300" hidden="1" x14ac:dyDescent="0.5"/>
    <row r="301" hidden="1" x14ac:dyDescent="0.5"/>
    <row r="302" hidden="1" x14ac:dyDescent="0.5"/>
    <row r="303" hidden="1" x14ac:dyDescent="0.5"/>
    <row r="304" hidden="1" x14ac:dyDescent="0.5"/>
    <row r="305" hidden="1" x14ac:dyDescent="0.5"/>
    <row r="306" hidden="1" x14ac:dyDescent="0.5"/>
    <row r="307" hidden="1" x14ac:dyDescent="0.5"/>
    <row r="308" hidden="1" x14ac:dyDescent="0.5"/>
    <row r="309" hidden="1" x14ac:dyDescent="0.5"/>
    <row r="310" hidden="1" x14ac:dyDescent="0.5"/>
    <row r="311" hidden="1" x14ac:dyDescent="0.5"/>
    <row r="312" hidden="1" x14ac:dyDescent="0.5"/>
    <row r="313" hidden="1" x14ac:dyDescent="0.5"/>
    <row r="314" hidden="1" x14ac:dyDescent="0.5"/>
    <row r="315" hidden="1" x14ac:dyDescent="0.5"/>
    <row r="316" hidden="1" x14ac:dyDescent="0.5"/>
    <row r="317" hidden="1" x14ac:dyDescent="0.5"/>
    <row r="318" hidden="1" x14ac:dyDescent="0.5"/>
    <row r="319" hidden="1" x14ac:dyDescent="0.5"/>
    <row r="320" hidden="1" x14ac:dyDescent="0.5"/>
    <row r="321" hidden="1" x14ac:dyDescent="0.5"/>
    <row r="322" hidden="1" x14ac:dyDescent="0.5"/>
    <row r="323" hidden="1" x14ac:dyDescent="0.5"/>
    <row r="324" hidden="1" x14ac:dyDescent="0.5"/>
    <row r="325" hidden="1" x14ac:dyDescent="0.5"/>
    <row r="326" hidden="1" x14ac:dyDescent="0.5"/>
    <row r="327" hidden="1" x14ac:dyDescent="0.5"/>
    <row r="328" hidden="1" x14ac:dyDescent="0.5"/>
    <row r="329" hidden="1" x14ac:dyDescent="0.5"/>
    <row r="330" hidden="1" x14ac:dyDescent="0.5"/>
    <row r="331" hidden="1" x14ac:dyDescent="0.5"/>
    <row r="332" hidden="1" x14ac:dyDescent="0.5"/>
    <row r="333" hidden="1" x14ac:dyDescent="0.5"/>
    <row r="334" hidden="1" x14ac:dyDescent="0.5"/>
    <row r="335" hidden="1" x14ac:dyDescent="0.5"/>
    <row r="336" hidden="1" x14ac:dyDescent="0.5"/>
    <row r="337" hidden="1" x14ac:dyDescent="0.5"/>
    <row r="338" hidden="1" x14ac:dyDescent="0.5"/>
    <row r="339" hidden="1" x14ac:dyDescent="0.5"/>
    <row r="340" hidden="1" x14ac:dyDescent="0.5"/>
    <row r="341" hidden="1" x14ac:dyDescent="0.5"/>
    <row r="342" hidden="1" x14ac:dyDescent="0.5"/>
    <row r="343" hidden="1" x14ac:dyDescent="0.5"/>
    <row r="344" hidden="1" x14ac:dyDescent="0.5"/>
    <row r="345" hidden="1" x14ac:dyDescent="0.5"/>
    <row r="346" hidden="1" x14ac:dyDescent="0.5"/>
    <row r="347" hidden="1" x14ac:dyDescent="0.5"/>
    <row r="348" hidden="1" x14ac:dyDescent="0.5"/>
    <row r="349" hidden="1" x14ac:dyDescent="0.5"/>
    <row r="350" hidden="1" x14ac:dyDescent="0.5"/>
    <row r="351" hidden="1" x14ac:dyDescent="0.5"/>
    <row r="352" hidden="1" x14ac:dyDescent="0.5"/>
    <row r="353" hidden="1" x14ac:dyDescent="0.5"/>
    <row r="354" hidden="1" x14ac:dyDescent="0.5"/>
    <row r="355" hidden="1" x14ac:dyDescent="0.5"/>
    <row r="356" hidden="1" x14ac:dyDescent="0.5"/>
    <row r="357" hidden="1" x14ac:dyDescent="0.5"/>
    <row r="358" hidden="1" x14ac:dyDescent="0.5"/>
    <row r="359" hidden="1" x14ac:dyDescent="0.5"/>
    <row r="360" hidden="1" x14ac:dyDescent="0.5"/>
    <row r="361" hidden="1" x14ac:dyDescent="0.5"/>
    <row r="362" hidden="1" x14ac:dyDescent="0.5"/>
    <row r="363" hidden="1" x14ac:dyDescent="0.5"/>
    <row r="364" hidden="1" x14ac:dyDescent="0.5"/>
    <row r="365" hidden="1" x14ac:dyDescent="0.5"/>
    <row r="366" hidden="1" x14ac:dyDescent="0.5"/>
    <row r="367" hidden="1" x14ac:dyDescent="0.5"/>
    <row r="368" hidden="1" x14ac:dyDescent="0.5"/>
    <row r="369" hidden="1" x14ac:dyDescent="0.5"/>
    <row r="370" hidden="1" x14ac:dyDescent="0.5"/>
    <row r="371" hidden="1" x14ac:dyDescent="0.5"/>
    <row r="372" hidden="1" x14ac:dyDescent="0.5"/>
    <row r="373" hidden="1" x14ac:dyDescent="0.5"/>
    <row r="374" hidden="1" x14ac:dyDescent="0.5"/>
    <row r="375" hidden="1" x14ac:dyDescent="0.5"/>
    <row r="376" hidden="1" x14ac:dyDescent="0.5"/>
    <row r="377" hidden="1" x14ac:dyDescent="0.5"/>
    <row r="378" hidden="1" x14ac:dyDescent="0.5"/>
    <row r="379" hidden="1" x14ac:dyDescent="0.5"/>
    <row r="380" hidden="1" x14ac:dyDescent="0.5"/>
    <row r="381" hidden="1" x14ac:dyDescent="0.5"/>
    <row r="382" hidden="1" x14ac:dyDescent="0.5"/>
    <row r="383" hidden="1" x14ac:dyDescent="0.5"/>
    <row r="384" hidden="1" x14ac:dyDescent="0.5"/>
    <row r="385" hidden="1" x14ac:dyDescent="0.5"/>
    <row r="386" hidden="1" x14ac:dyDescent="0.5"/>
    <row r="387" hidden="1" x14ac:dyDescent="0.5"/>
    <row r="388" hidden="1" x14ac:dyDescent="0.5"/>
    <row r="389" hidden="1" x14ac:dyDescent="0.5"/>
    <row r="390" hidden="1" x14ac:dyDescent="0.5"/>
    <row r="391" hidden="1" x14ac:dyDescent="0.5"/>
    <row r="392" hidden="1" x14ac:dyDescent="0.5"/>
    <row r="393" hidden="1" x14ac:dyDescent="0.5"/>
    <row r="394" hidden="1" x14ac:dyDescent="0.5"/>
    <row r="395" hidden="1" x14ac:dyDescent="0.5"/>
    <row r="396" hidden="1" x14ac:dyDescent="0.5"/>
    <row r="397" hidden="1" x14ac:dyDescent="0.5"/>
    <row r="398" hidden="1" x14ac:dyDescent="0.5"/>
    <row r="399" hidden="1" x14ac:dyDescent="0.5"/>
    <row r="400" hidden="1" x14ac:dyDescent="0.5"/>
    <row r="401" hidden="1" x14ac:dyDescent="0.5"/>
    <row r="402" hidden="1" x14ac:dyDescent="0.5"/>
    <row r="403" hidden="1" x14ac:dyDescent="0.5"/>
    <row r="404" hidden="1" x14ac:dyDescent="0.5"/>
    <row r="405" hidden="1" x14ac:dyDescent="0.5"/>
    <row r="406" hidden="1" x14ac:dyDescent="0.5"/>
    <row r="407" hidden="1" x14ac:dyDescent="0.5"/>
    <row r="408" hidden="1" x14ac:dyDescent="0.5"/>
    <row r="409" hidden="1" x14ac:dyDescent="0.5"/>
    <row r="410" hidden="1" x14ac:dyDescent="0.5"/>
    <row r="411" hidden="1" x14ac:dyDescent="0.5"/>
    <row r="412" hidden="1" x14ac:dyDescent="0.5"/>
    <row r="413" hidden="1" x14ac:dyDescent="0.5"/>
    <row r="414" hidden="1" x14ac:dyDescent="0.5"/>
    <row r="415" hidden="1" x14ac:dyDescent="0.5"/>
    <row r="416" hidden="1" x14ac:dyDescent="0.5"/>
    <row r="417" hidden="1" x14ac:dyDescent="0.5"/>
    <row r="418" hidden="1" x14ac:dyDescent="0.5"/>
    <row r="419" hidden="1" x14ac:dyDescent="0.5"/>
    <row r="420" hidden="1" x14ac:dyDescent="0.5"/>
    <row r="421" hidden="1" x14ac:dyDescent="0.5"/>
    <row r="422" hidden="1" x14ac:dyDescent="0.5"/>
    <row r="423" hidden="1" x14ac:dyDescent="0.5"/>
    <row r="424" hidden="1" x14ac:dyDescent="0.5"/>
    <row r="425" hidden="1" x14ac:dyDescent="0.5"/>
    <row r="426" hidden="1" x14ac:dyDescent="0.5"/>
    <row r="427" hidden="1" x14ac:dyDescent="0.5"/>
    <row r="428" hidden="1" x14ac:dyDescent="0.5"/>
    <row r="429" hidden="1" x14ac:dyDescent="0.5"/>
    <row r="430" hidden="1" x14ac:dyDescent="0.5"/>
    <row r="431" hidden="1" x14ac:dyDescent="0.5"/>
    <row r="432" hidden="1" x14ac:dyDescent="0.5"/>
    <row r="433" spans="9:9" hidden="1" x14ac:dyDescent="0.5"/>
    <row r="434" spans="9:9" hidden="1" x14ac:dyDescent="0.5"/>
    <row r="435" spans="9:9" hidden="1" x14ac:dyDescent="0.5"/>
    <row r="436" spans="9:9" hidden="1" x14ac:dyDescent="0.5"/>
    <row r="437" spans="9:9" hidden="1" x14ac:dyDescent="0.5"/>
    <row r="438" spans="9:9" hidden="1" x14ac:dyDescent="0.5"/>
    <row r="439" spans="9:9" hidden="1" x14ac:dyDescent="0.5"/>
    <row r="440" spans="9:9" hidden="1" x14ac:dyDescent="0.5"/>
    <row r="441" spans="9:9" hidden="1" x14ac:dyDescent="0.5">
      <c r="I441" s="195"/>
    </row>
    <row r="442" spans="9:9" hidden="1" x14ac:dyDescent="0.5"/>
    <row r="443" spans="9:9" hidden="1" x14ac:dyDescent="0.5"/>
    <row r="444" spans="9:9" hidden="1" x14ac:dyDescent="0.5"/>
    <row r="445" spans="9:9" hidden="1" x14ac:dyDescent="0.5"/>
    <row r="446" spans="9:9" hidden="1" x14ac:dyDescent="0.5"/>
    <row r="447" spans="9:9" hidden="1" x14ac:dyDescent="0.5"/>
    <row r="448" spans="9:9" hidden="1" x14ac:dyDescent="0.5"/>
    <row r="449" hidden="1" x14ac:dyDescent="0.5"/>
    <row r="450" hidden="1" x14ac:dyDescent="0.5"/>
    <row r="451" hidden="1" x14ac:dyDescent="0.5"/>
    <row r="452" hidden="1" x14ac:dyDescent="0.5"/>
    <row r="453" hidden="1" x14ac:dyDescent="0.5"/>
    <row r="454" hidden="1" x14ac:dyDescent="0.5"/>
    <row r="455" hidden="1" x14ac:dyDescent="0.5"/>
    <row r="456" hidden="1" x14ac:dyDescent="0.5"/>
    <row r="457" hidden="1" x14ac:dyDescent="0.5"/>
    <row r="458" hidden="1" x14ac:dyDescent="0.5"/>
    <row r="459" hidden="1" x14ac:dyDescent="0.5"/>
    <row r="460" hidden="1" x14ac:dyDescent="0.5"/>
    <row r="461" hidden="1" x14ac:dyDescent="0.5"/>
    <row r="462" hidden="1" x14ac:dyDescent="0.5"/>
    <row r="463" hidden="1" x14ac:dyDescent="0.5"/>
    <row r="464" hidden="1" x14ac:dyDescent="0.5"/>
    <row r="465" hidden="1" x14ac:dyDescent="0.5"/>
    <row r="466" hidden="1" x14ac:dyDescent="0.5"/>
    <row r="467" hidden="1" x14ac:dyDescent="0.5"/>
    <row r="468" hidden="1" x14ac:dyDescent="0.5"/>
    <row r="469" hidden="1" x14ac:dyDescent="0.5"/>
    <row r="470" hidden="1" x14ac:dyDescent="0.5"/>
    <row r="471" hidden="1" x14ac:dyDescent="0.5"/>
    <row r="472" hidden="1" x14ac:dyDescent="0.5"/>
    <row r="473" hidden="1" x14ac:dyDescent="0.5"/>
    <row r="474" hidden="1" x14ac:dyDescent="0.5"/>
    <row r="475" hidden="1" x14ac:dyDescent="0.5"/>
    <row r="476" hidden="1" x14ac:dyDescent="0.5"/>
    <row r="477" hidden="1" x14ac:dyDescent="0.5"/>
    <row r="478" hidden="1" x14ac:dyDescent="0.5"/>
    <row r="479" hidden="1" x14ac:dyDescent="0.5"/>
    <row r="480" hidden="1" x14ac:dyDescent="0.5"/>
    <row r="481" hidden="1" x14ac:dyDescent="0.5"/>
    <row r="482" hidden="1" x14ac:dyDescent="0.5"/>
    <row r="483" hidden="1" x14ac:dyDescent="0.5"/>
    <row r="484" hidden="1" x14ac:dyDescent="0.5"/>
    <row r="485" hidden="1" x14ac:dyDescent="0.5"/>
    <row r="486" hidden="1" x14ac:dyDescent="0.5"/>
    <row r="487" hidden="1" x14ac:dyDescent="0.5"/>
    <row r="488" hidden="1" x14ac:dyDescent="0.5"/>
    <row r="489" hidden="1" x14ac:dyDescent="0.5"/>
    <row r="490" hidden="1" x14ac:dyDescent="0.5"/>
    <row r="491" hidden="1" x14ac:dyDescent="0.5"/>
    <row r="492" hidden="1" x14ac:dyDescent="0.5"/>
    <row r="493" hidden="1" x14ac:dyDescent="0.5"/>
    <row r="494" hidden="1" x14ac:dyDescent="0.5"/>
    <row r="495" hidden="1" x14ac:dyDescent="0.5"/>
    <row r="496" hidden="1" x14ac:dyDescent="0.5"/>
    <row r="497" hidden="1" x14ac:dyDescent="0.5"/>
    <row r="498" hidden="1" x14ac:dyDescent="0.5"/>
    <row r="499" hidden="1" x14ac:dyDescent="0.5"/>
    <row r="500" hidden="1" x14ac:dyDescent="0.5"/>
    <row r="501" hidden="1" x14ac:dyDescent="0.5"/>
    <row r="502" hidden="1" x14ac:dyDescent="0.5"/>
    <row r="503" hidden="1" x14ac:dyDescent="0.5"/>
    <row r="504" hidden="1" x14ac:dyDescent="0.5"/>
    <row r="505" hidden="1" x14ac:dyDescent="0.5"/>
    <row r="506" hidden="1" x14ac:dyDescent="0.5"/>
    <row r="507" hidden="1" x14ac:dyDescent="0.5"/>
    <row r="508" hidden="1" x14ac:dyDescent="0.5"/>
    <row r="509" hidden="1" x14ac:dyDescent="0.5"/>
    <row r="510" hidden="1" x14ac:dyDescent="0.5"/>
    <row r="511" hidden="1" x14ac:dyDescent="0.5"/>
    <row r="512" hidden="1" x14ac:dyDescent="0.5"/>
    <row r="513" hidden="1" x14ac:dyDescent="0.5"/>
    <row r="514" hidden="1" x14ac:dyDescent="0.5"/>
    <row r="515" hidden="1" x14ac:dyDescent="0.5"/>
    <row r="516" hidden="1" x14ac:dyDescent="0.5"/>
    <row r="517" hidden="1" x14ac:dyDescent="0.5"/>
    <row r="518" hidden="1" x14ac:dyDescent="0.5"/>
    <row r="519" hidden="1" x14ac:dyDescent="0.5"/>
    <row r="520" hidden="1" x14ac:dyDescent="0.5"/>
    <row r="521" hidden="1" x14ac:dyDescent="0.5"/>
    <row r="522" hidden="1" x14ac:dyDescent="0.5"/>
    <row r="523" hidden="1" x14ac:dyDescent="0.5"/>
    <row r="524" hidden="1" x14ac:dyDescent="0.5"/>
    <row r="525" hidden="1" x14ac:dyDescent="0.5"/>
    <row r="526" hidden="1" x14ac:dyDescent="0.5"/>
    <row r="527" hidden="1" x14ac:dyDescent="0.5"/>
    <row r="528" hidden="1" x14ac:dyDescent="0.5"/>
    <row r="529" hidden="1" x14ac:dyDescent="0.5"/>
    <row r="530" hidden="1" x14ac:dyDescent="0.5"/>
    <row r="531" hidden="1" x14ac:dyDescent="0.5"/>
    <row r="532" hidden="1" x14ac:dyDescent="0.5"/>
    <row r="533" hidden="1" x14ac:dyDescent="0.5"/>
    <row r="534" hidden="1" x14ac:dyDescent="0.5"/>
    <row r="535" hidden="1" x14ac:dyDescent="0.5"/>
    <row r="536" hidden="1" x14ac:dyDescent="0.5"/>
    <row r="537" hidden="1" x14ac:dyDescent="0.5"/>
    <row r="538" hidden="1" x14ac:dyDescent="0.5"/>
    <row r="539" hidden="1" x14ac:dyDescent="0.5"/>
    <row r="540" hidden="1" x14ac:dyDescent="0.5"/>
    <row r="541" hidden="1" x14ac:dyDescent="0.5"/>
    <row r="542" hidden="1" x14ac:dyDescent="0.5"/>
    <row r="543" hidden="1" x14ac:dyDescent="0.5"/>
    <row r="544" hidden="1" x14ac:dyDescent="0.5"/>
    <row r="545" hidden="1" x14ac:dyDescent="0.5"/>
    <row r="546" hidden="1" x14ac:dyDescent="0.5"/>
    <row r="547" hidden="1" x14ac:dyDescent="0.5"/>
    <row r="548" hidden="1" x14ac:dyDescent="0.5"/>
    <row r="549" hidden="1" x14ac:dyDescent="0.5"/>
    <row r="550" hidden="1" x14ac:dyDescent="0.5"/>
    <row r="551" hidden="1" x14ac:dyDescent="0.5"/>
    <row r="552" hidden="1" x14ac:dyDescent="0.5"/>
    <row r="553" hidden="1" x14ac:dyDescent="0.5"/>
    <row r="554" hidden="1" x14ac:dyDescent="0.5"/>
    <row r="555" hidden="1" x14ac:dyDescent="0.5"/>
    <row r="556" hidden="1" x14ac:dyDescent="0.5"/>
    <row r="557" hidden="1" x14ac:dyDescent="0.5"/>
    <row r="558" hidden="1" x14ac:dyDescent="0.5"/>
    <row r="559" hidden="1" x14ac:dyDescent="0.5"/>
    <row r="560" hidden="1" x14ac:dyDescent="0.5"/>
    <row r="561" hidden="1" x14ac:dyDescent="0.5"/>
    <row r="562" hidden="1" x14ac:dyDescent="0.5"/>
    <row r="563" hidden="1" x14ac:dyDescent="0.5"/>
    <row r="564" hidden="1" x14ac:dyDescent="0.5"/>
    <row r="565" hidden="1" x14ac:dyDescent="0.5"/>
    <row r="566" hidden="1" x14ac:dyDescent="0.5"/>
    <row r="567" hidden="1" x14ac:dyDescent="0.5"/>
    <row r="568" hidden="1" x14ac:dyDescent="0.5"/>
    <row r="569" hidden="1" x14ac:dyDescent="0.5"/>
    <row r="570" hidden="1" x14ac:dyDescent="0.5"/>
    <row r="571" hidden="1" x14ac:dyDescent="0.5"/>
    <row r="572" hidden="1" x14ac:dyDescent="0.5"/>
    <row r="573" hidden="1" x14ac:dyDescent="0.5"/>
    <row r="574" hidden="1" x14ac:dyDescent="0.5"/>
    <row r="575" hidden="1" x14ac:dyDescent="0.5"/>
    <row r="576" hidden="1" x14ac:dyDescent="0.5"/>
    <row r="577" hidden="1" x14ac:dyDescent="0.5"/>
    <row r="578" hidden="1" x14ac:dyDescent="0.5"/>
    <row r="579" hidden="1" x14ac:dyDescent="0.5"/>
    <row r="580" hidden="1" x14ac:dyDescent="0.5"/>
    <row r="581" hidden="1" x14ac:dyDescent="0.5"/>
    <row r="582" hidden="1" x14ac:dyDescent="0.5"/>
    <row r="583" hidden="1" x14ac:dyDescent="0.5"/>
    <row r="584" hidden="1" x14ac:dyDescent="0.5"/>
    <row r="585" hidden="1" x14ac:dyDescent="0.5"/>
    <row r="586" hidden="1" x14ac:dyDescent="0.5"/>
    <row r="587" hidden="1" x14ac:dyDescent="0.5"/>
    <row r="588" hidden="1" x14ac:dyDescent="0.5"/>
    <row r="589" hidden="1" x14ac:dyDescent="0.5"/>
    <row r="590" hidden="1" x14ac:dyDescent="0.5"/>
    <row r="591" hidden="1" x14ac:dyDescent="0.5"/>
    <row r="592" hidden="1" x14ac:dyDescent="0.5"/>
    <row r="593" hidden="1" x14ac:dyDescent="0.5"/>
    <row r="594" hidden="1" x14ac:dyDescent="0.5"/>
    <row r="595" hidden="1" x14ac:dyDescent="0.5"/>
    <row r="596" hidden="1" x14ac:dyDescent="0.5"/>
    <row r="597" hidden="1" x14ac:dyDescent="0.5"/>
    <row r="598" hidden="1" x14ac:dyDescent="0.5"/>
    <row r="599" hidden="1" x14ac:dyDescent="0.5"/>
    <row r="600" hidden="1" x14ac:dyDescent="0.5"/>
    <row r="601" hidden="1" x14ac:dyDescent="0.5"/>
    <row r="602" hidden="1" x14ac:dyDescent="0.5"/>
    <row r="603" hidden="1" x14ac:dyDescent="0.5"/>
    <row r="604" hidden="1" x14ac:dyDescent="0.5"/>
    <row r="605" hidden="1" x14ac:dyDescent="0.5"/>
    <row r="606" hidden="1" x14ac:dyDescent="0.5"/>
    <row r="607" hidden="1" x14ac:dyDescent="0.5"/>
    <row r="608" hidden="1" x14ac:dyDescent="0.5"/>
    <row r="609" hidden="1" x14ac:dyDescent="0.5"/>
    <row r="610" hidden="1" x14ac:dyDescent="0.5"/>
    <row r="611" hidden="1" x14ac:dyDescent="0.5"/>
    <row r="612" hidden="1" x14ac:dyDescent="0.5"/>
    <row r="613" hidden="1" x14ac:dyDescent="0.5"/>
    <row r="614" hidden="1" x14ac:dyDescent="0.5"/>
    <row r="615" hidden="1" x14ac:dyDescent="0.5"/>
    <row r="616" hidden="1" x14ac:dyDescent="0.5"/>
    <row r="617" hidden="1" x14ac:dyDescent="0.5"/>
    <row r="618" hidden="1" x14ac:dyDescent="0.5"/>
    <row r="619" hidden="1" x14ac:dyDescent="0.5"/>
    <row r="620" hidden="1" x14ac:dyDescent="0.5"/>
    <row r="621" hidden="1" x14ac:dyDescent="0.5"/>
    <row r="622" hidden="1" x14ac:dyDescent="0.5"/>
    <row r="623" hidden="1" x14ac:dyDescent="0.5"/>
    <row r="624" hidden="1" x14ac:dyDescent="0.5"/>
    <row r="625" hidden="1" x14ac:dyDescent="0.5"/>
    <row r="626" hidden="1" x14ac:dyDescent="0.5"/>
    <row r="627" hidden="1" x14ac:dyDescent="0.5"/>
    <row r="628" hidden="1" x14ac:dyDescent="0.5"/>
    <row r="629" hidden="1" x14ac:dyDescent="0.5"/>
    <row r="630" hidden="1" x14ac:dyDescent="0.5"/>
    <row r="631" hidden="1" x14ac:dyDescent="0.5"/>
    <row r="632" hidden="1" x14ac:dyDescent="0.5"/>
    <row r="633" hidden="1" x14ac:dyDescent="0.5"/>
    <row r="634" hidden="1" x14ac:dyDescent="0.5"/>
    <row r="635" hidden="1" x14ac:dyDescent="0.5"/>
    <row r="636" hidden="1" x14ac:dyDescent="0.5"/>
    <row r="637" hidden="1" x14ac:dyDescent="0.5"/>
    <row r="638" hidden="1" x14ac:dyDescent="0.5"/>
    <row r="639" hidden="1" x14ac:dyDescent="0.5"/>
    <row r="640" hidden="1" x14ac:dyDescent="0.5"/>
    <row r="641" hidden="1" x14ac:dyDescent="0.5"/>
    <row r="642" hidden="1" x14ac:dyDescent="0.5"/>
    <row r="643" hidden="1" x14ac:dyDescent="0.5"/>
    <row r="644" hidden="1" x14ac:dyDescent="0.5"/>
    <row r="645" hidden="1" x14ac:dyDescent="0.5"/>
    <row r="646" hidden="1" x14ac:dyDescent="0.5"/>
    <row r="647" hidden="1" x14ac:dyDescent="0.5"/>
    <row r="648" hidden="1" x14ac:dyDescent="0.5"/>
    <row r="649" hidden="1" x14ac:dyDescent="0.5"/>
    <row r="650" hidden="1" x14ac:dyDescent="0.5"/>
    <row r="651" hidden="1" x14ac:dyDescent="0.5"/>
    <row r="652" hidden="1" x14ac:dyDescent="0.5"/>
    <row r="653" hidden="1" x14ac:dyDescent="0.5"/>
    <row r="654" hidden="1" x14ac:dyDescent="0.5"/>
    <row r="655" hidden="1" x14ac:dyDescent="0.5"/>
    <row r="656" hidden="1" x14ac:dyDescent="0.5"/>
    <row r="657" hidden="1" x14ac:dyDescent="0.5"/>
    <row r="658" hidden="1" x14ac:dyDescent="0.5"/>
    <row r="659" hidden="1" x14ac:dyDescent="0.5"/>
    <row r="660" hidden="1" x14ac:dyDescent="0.5"/>
    <row r="661" hidden="1" x14ac:dyDescent="0.5"/>
    <row r="662" hidden="1" x14ac:dyDescent="0.5"/>
    <row r="663" hidden="1" x14ac:dyDescent="0.5"/>
    <row r="664" hidden="1" x14ac:dyDescent="0.5"/>
    <row r="665" hidden="1" x14ac:dyDescent="0.5"/>
    <row r="666" hidden="1" x14ac:dyDescent="0.5"/>
    <row r="667" hidden="1" x14ac:dyDescent="0.5"/>
    <row r="668" hidden="1" x14ac:dyDescent="0.5"/>
    <row r="669" hidden="1" x14ac:dyDescent="0.5"/>
    <row r="670" hidden="1" x14ac:dyDescent="0.5"/>
    <row r="671" hidden="1" x14ac:dyDescent="0.5"/>
    <row r="672" hidden="1" x14ac:dyDescent="0.5"/>
    <row r="673" hidden="1" x14ac:dyDescent="0.5"/>
    <row r="674" hidden="1" x14ac:dyDescent="0.5"/>
    <row r="675" hidden="1" x14ac:dyDescent="0.5"/>
    <row r="676" hidden="1" x14ac:dyDescent="0.5"/>
    <row r="677" hidden="1" x14ac:dyDescent="0.5"/>
    <row r="678" hidden="1" x14ac:dyDescent="0.5"/>
    <row r="679" hidden="1" x14ac:dyDescent="0.5"/>
    <row r="680" hidden="1" x14ac:dyDescent="0.5"/>
    <row r="681" hidden="1" x14ac:dyDescent="0.5"/>
    <row r="682" hidden="1" x14ac:dyDescent="0.5"/>
    <row r="683" hidden="1" x14ac:dyDescent="0.5"/>
    <row r="684" hidden="1" x14ac:dyDescent="0.5"/>
    <row r="685" hidden="1" x14ac:dyDescent="0.5"/>
    <row r="686" hidden="1" x14ac:dyDescent="0.5"/>
    <row r="687" hidden="1" x14ac:dyDescent="0.5"/>
    <row r="688" hidden="1" x14ac:dyDescent="0.5"/>
    <row r="689" hidden="1" x14ac:dyDescent="0.5"/>
    <row r="690" hidden="1" x14ac:dyDescent="0.5"/>
    <row r="691" hidden="1" x14ac:dyDescent="0.5"/>
    <row r="692" hidden="1" x14ac:dyDescent="0.5"/>
    <row r="693" hidden="1" x14ac:dyDescent="0.5"/>
    <row r="694" hidden="1" x14ac:dyDescent="0.5"/>
    <row r="695" hidden="1" x14ac:dyDescent="0.5"/>
    <row r="696" hidden="1" x14ac:dyDescent="0.5"/>
    <row r="697" hidden="1" x14ac:dyDescent="0.5"/>
    <row r="698" hidden="1" x14ac:dyDescent="0.5"/>
    <row r="699" hidden="1" x14ac:dyDescent="0.5"/>
    <row r="700" hidden="1" x14ac:dyDescent="0.5"/>
    <row r="701" hidden="1" x14ac:dyDescent="0.5"/>
    <row r="702" hidden="1" x14ac:dyDescent="0.5"/>
    <row r="703" hidden="1" x14ac:dyDescent="0.5"/>
    <row r="704" hidden="1" x14ac:dyDescent="0.5"/>
    <row r="705" hidden="1" x14ac:dyDescent="0.5"/>
    <row r="706" hidden="1" x14ac:dyDescent="0.5"/>
    <row r="707" hidden="1" x14ac:dyDescent="0.5"/>
    <row r="708" hidden="1" x14ac:dyDescent="0.5"/>
    <row r="709" hidden="1" x14ac:dyDescent="0.5"/>
    <row r="710" hidden="1" x14ac:dyDescent="0.5"/>
    <row r="711" hidden="1" x14ac:dyDescent="0.5"/>
    <row r="712" hidden="1" x14ac:dyDescent="0.5"/>
    <row r="713" hidden="1" x14ac:dyDescent="0.5"/>
    <row r="714" hidden="1" x14ac:dyDescent="0.5"/>
    <row r="715" hidden="1" x14ac:dyDescent="0.5"/>
    <row r="716" hidden="1" x14ac:dyDescent="0.5"/>
    <row r="717" hidden="1" x14ac:dyDescent="0.5"/>
    <row r="718" hidden="1" x14ac:dyDescent="0.5"/>
    <row r="719" hidden="1" x14ac:dyDescent="0.5"/>
    <row r="720" hidden="1" x14ac:dyDescent="0.5"/>
    <row r="721" hidden="1" x14ac:dyDescent="0.5"/>
    <row r="722" hidden="1" x14ac:dyDescent="0.5"/>
    <row r="723" hidden="1" x14ac:dyDescent="0.5"/>
    <row r="724" hidden="1" x14ac:dyDescent="0.5"/>
    <row r="725" hidden="1" x14ac:dyDescent="0.5"/>
    <row r="726" hidden="1" x14ac:dyDescent="0.5"/>
    <row r="727" hidden="1" x14ac:dyDescent="0.5"/>
    <row r="728" hidden="1" x14ac:dyDescent="0.5"/>
    <row r="729" hidden="1" x14ac:dyDescent="0.5"/>
    <row r="730" hidden="1" x14ac:dyDescent="0.5"/>
    <row r="731" hidden="1" x14ac:dyDescent="0.5"/>
    <row r="732" hidden="1" x14ac:dyDescent="0.5"/>
    <row r="733" hidden="1" x14ac:dyDescent="0.5"/>
    <row r="734" hidden="1" x14ac:dyDescent="0.5"/>
    <row r="735" hidden="1" x14ac:dyDescent="0.5"/>
    <row r="736" hidden="1" x14ac:dyDescent="0.5"/>
    <row r="737" hidden="1" x14ac:dyDescent="0.5"/>
    <row r="738" hidden="1" x14ac:dyDescent="0.5"/>
    <row r="739" hidden="1" x14ac:dyDescent="0.5"/>
    <row r="740" hidden="1" x14ac:dyDescent="0.5"/>
    <row r="741" hidden="1" x14ac:dyDescent="0.5"/>
    <row r="742" hidden="1" x14ac:dyDescent="0.5"/>
    <row r="743" hidden="1" x14ac:dyDescent="0.5"/>
    <row r="744" hidden="1" x14ac:dyDescent="0.5"/>
    <row r="745" hidden="1" x14ac:dyDescent="0.5"/>
    <row r="746" hidden="1" x14ac:dyDescent="0.5"/>
    <row r="747" hidden="1" x14ac:dyDescent="0.5"/>
    <row r="748" hidden="1" x14ac:dyDescent="0.5"/>
    <row r="749" hidden="1" x14ac:dyDescent="0.5"/>
    <row r="750" hidden="1" x14ac:dyDescent="0.5"/>
    <row r="751" hidden="1" x14ac:dyDescent="0.5"/>
    <row r="752" hidden="1" x14ac:dyDescent="0.5"/>
    <row r="753" hidden="1" x14ac:dyDescent="0.5"/>
    <row r="754" hidden="1" x14ac:dyDescent="0.5"/>
    <row r="755" hidden="1" x14ac:dyDescent="0.5"/>
    <row r="756" hidden="1" x14ac:dyDescent="0.5"/>
    <row r="757" hidden="1" x14ac:dyDescent="0.5"/>
    <row r="758" hidden="1" x14ac:dyDescent="0.5"/>
    <row r="759" hidden="1" x14ac:dyDescent="0.5"/>
    <row r="760" hidden="1" x14ac:dyDescent="0.5"/>
    <row r="761" hidden="1" x14ac:dyDescent="0.5"/>
    <row r="762" hidden="1" x14ac:dyDescent="0.5"/>
    <row r="763" hidden="1" x14ac:dyDescent="0.5"/>
    <row r="764" hidden="1" x14ac:dyDescent="0.5"/>
    <row r="765" hidden="1" x14ac:dyDescent="0.5"/>
    <row r="766" hidden="1" x14ac:dyDescent="0.5"/>
    <row r="767" hidden="1" x14ac:dyDescent="0.5"/>
    <row r="768" hidden="1" x14ac:dyDescent="0.5"/>
    <row r="769" hidden="1" x14ac:dyDescent="0.5"/>
    <row r="770" hidden="1" x14ac:dyDescent="0.5"/>
    <row r="771" hidden="1" x14ac:dyDescent="0.5"/>
    <row r="772" hidden="1" x14ac:dyDescent="0.5"/>
    <row r="773" hidden="1" x14ac:dyDescent="0.5"/>
    <row r="774" hidden="1" x14ac:dyDescent="0.5"/>
    <row r="775" hidden="1" x14ac:dyDescent="0.5"/>
    <row r="776" hidden="1" x14ac:dyDescent="0.5"/>
    <row r="777" hidden="1" x14ac:dyDescent="0.5"/>
    <row r="778" hidden="1" x14ac:dyDescent="0.5"/>
    <row r="779" hidden="1" x14ac:dyDescent="0.5"/>
    <row r="780" hidden="1" x14ac:dyDescent="0.5"/>
    <row r="781" hidden="1" x14ac:dyDescent="0.5"/>
    <row r="782" hidden="1" x14ac:dyDescent="0.5"/>
    <row r="783" hidden="1" x14ac:dyDescent="0.5"/>
    <row r="784" hidden="1" x14ac:dyDescent="0.5"/>
    <row r="785" hidden="1" x14ac:dyDescent="0.5"/>
    <row r="786" hidden="1" x14ac:dyDescent="0.5"/>
  </sheetData>
  <mergeCells count="33">
    <mergeCell ref="A25:J25"/>
    <mergeCell ref="A1:J1"/>
    <mergeCell ref="A2:J2"/>
    <mergeCell ref="A3:J3"/>
    <mergeCell ref="A4:A6"/>
    <mergeCell ref="A16:J16"/>
    <mergeCell ref="A17:D17"/>
    <mergeCell ref="I17:J17"/>
    <mergeCell ref="B18:C18"/>
    <mergeCell ref="B19:C19"/>
    <mergeCell ref="B20:C20"/>
    <mergeCell ref="B4:D4"/>
    <mergeCell ref="I4:J4"/>
    <mergeCell ref="A27:E27"/>
    <mergeCell ref="A48:I48"/>
    <mergeCell ref="A49:I49"/>
    <mergeCell ref="B34:E34"/>
    <mergeCell ref="A36:J36"/>
    <mergeCell ref="B29:E29"/>
    <mergeCell ref="B31:E31"/>
    <mergeCell ref="B32:E32"/>
    <mergeCell ref="B33:E33"/>
    <mergeCell ref="B55:E55"/>
    <mergeCell ref="A52:E52"/>
    <mergeCell ref="A53:B53"/>
    <mergeCell ref="A35:E35"/>
    <mergeCell ref="A51:J51"/>
    <mergeCell ref="A47:E47"/>
    <mergeCell ref="A39:E39"/>
    <mergeCell ref="B42:E42"/>
    <mergeCell ref="B43:E43"/>
    <mergeCell ref="B45:E45"/>
    <mergeCell ref="B46:E46"/>
  </mergeCells>
  <pageMargins left="0.43307086614173229" right="0.19685039370078741" top="0.39370078740157483" bottom="0.43307086614173229" header="0.15748031496062992" footer="0.15748031496062992"/>
  <pageSetup paperSize="9" scale="76" orientation="landscape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K52"/>
  <sheetViews>
    <sheetView topLeftCell="A10" zoomScale="80" zoomScaleNormal="80" workbookViewId="0">
      <selection activeCell="A52" sqref="A52"/>
    </sheetView>
  </sheetViews>
  <sheetFormatPr defaultRowHeight="24" x14ac:dyDescent="0.5"/>
  <cols>
    <col min="1" max="1" width="19.85546875" style="84" customWidth="1"/>
    <col min="2" max="2" width="22.7109375" style="244" customWidth="1"/>
    <col min="3" max="3" width="20.140625" style="244" hidden="1" customWidth="1"/>
    <col min="4" max="4" width="22.85546875" style="88" customWidth="1"/>
    <col min="5" max="5" width="22.140625" style="84" customWidth="1"/>
    <col min="6" max="8" width="23.5703125" style="84" customWidth="1"/>
    <col min="9" max="9" width="20.28515625" style="84" customWidth="1"/>
    <col min="10" max="10" width="9.140625" style="84"/>
    <col min="11" max="11" width="9.7109375" style="84" bestFit="1" customWidth="1"/>
    <col min="12" max="16384" width="9.140625" style="84"/>
  </cols>
  <sheetData>
    <row r="1" spans="1:9" s="251" customFormat="1" ht="33" x14ac:dyDescent="0.5">
      <c r="A1" s="1195" t="s">
        <v>57</v>
      </c>
      <c r="B1" s="1195"/>
      <c r="C1" s="1195"/>
      <c r="D1" s="1195"/>
      <c r="E1" s="1195"/>
      <c r="F1" s="1195"/>
      <c r="G1" s="1195"/>
      <c r="H1" s="1195"/>
      <c r="I1" s="1195"/>
    </row>
    <row r="2" spans="1:9" s="251" customFormat="1" ht="33" x14ac:dyDescent="0.5">
      <c r="A2" s="1195" t="s">
        <v>705</v>
      </c>
      <c r="B2" s="1195"/>
      <c r="C2" s="1195"/>
      <c r="D2" s="1195"/>
      <c r="E2" s="1195"/>
      <c r="F2" s="1195"/>
      <c r="G2" s="1195"/>
      <c r="H2" s="1195"/>
      <c r="I2" s="1195"/>
    </row>
    <row r="3" spans="1:9" s="251" customFormat="1" ht="33" x14ac:dyDescent="0.5">
      <c r="A3" s="1231" t="str">
        <f>+รายจ่ายจริง!A3:P3</f>
        <v>ตั้งแต่วันที่ 1  ตุลาคม 2564 ถึงวันที่ 31 ตุลาคม 2564</v>
      </c>
      <c r="B3" s="1231"/>
      <c r="C3" s="1231"/>
      <c r="D3" s="1231"/>
      <c r="E3" s="1231"/>
      <c r="F3" s="1231"/>
      <c r="G3" s="1195"/>
      <c r="H3" s="1195"/>
      <c r="I3" s="1195"/>
    </row>
    <row r="4" spans="1:9" s="247" customFormat="1" ht="30.75" x14ac:dyDescent="0.5">
      <c r="A4" s="1265" t="s">
        <v>210</v>
      </c>
      <c r="B4" s="422" t="s">
        <v>430</v>
      </c>
      <c r="C4" s="422" t="s">
        <v>428</v>
      </c>
      <c r="D4" s="422" t="s">
        <v>59</v>
      </c>
      <c r="E4" s="422" t="s">
        <v>166</v>
      </c>
      <c r="F4" s="259" t="s">
        <v>17</v>
      </c>
      <c r="G4" s="422" t="s">
        <v>62</v>
      </c>
      <c r="H4" s="422" t="s">
        <v>62</v>
      </c>
      <c r="I4" s="422" t="s">
        <v>66</v>
      </c>
    </row>
    <row r="5" spans="1:9" s="247" customFormat="1" ht="30.75" x14ac:dyDescent="0.5">
      <c r="A5" s="1266"/>
      <c r="B5" s="423" t="s">
        <v>431</v>
      </c>
      <c r="C5" s="423" t="s">
        <v>429</v>
      </c>
      <c r="D5" s="423" t="s">
        <v>739</v>
      </c>
      <c r="E5" s="423" t="s">
        <v>445</v>
      </c>
      <c r="F5" s="260" t="s">
        <v>2</v>
      </c>
      <c r="G5" s="423" t="s">
        <v>72</v>
      </c>
      <c r="H5" s="423" t="s">
        <v>102</v>
      </c>
      <c r="I5" s="423" t="s">
        <v>111</v>
      </c>
    </row>
    <row r="6" spans="1:9" s="86" customFormat="1" ht="29.25" x14ac:dyDescent="0.5">
      <c r="A6" s="1267"/>
      <c r="B6" s="434">
        <v>1</v>
      </c>
      <c r="C6" s="434" t="s">
        <v>88</v>
      </c>
      <c r="D6" s="434">
        <v>2</v>
      </c>
      <c r="E6" s="434">
        <v>3</v>
      </c>
      <c r="F6" s="435">
        <v>4</v>
      </c>
      <c r="G6" s="434" t="s">
        <v>768</v>
      </c>
      <c r="H6" s="434" t="s">
        <v>769</v>
      </c>
      <c r="I6" s="258"/>
    </row>
    <row r="7" spans="1:9" ht="42" customHeight="1" x14ac:dyDescent="0.5">
      <c r="A7" s="252" t="s">
        <v>13</v>
      </c>
      <c r="B7" s="134">
        <f>+รายจ่ายจริง!G79</f>
        <v>1390052000</v>
      </c>
      <c r="C7" s="134">
        <f>+D7-B7</f>
        <v>-695026000</v>
      </c>
      <c r="D7" s="136">
        <f>+รายจ่ายจริง!G80</f>
        <v>695026000</v>
      </c>
      <c r="E7" s="136">
        <f>+รายจ่ายจริง!G81</f>
        <v>0</v>
      </c>
      <c r="F7" s="257">
        <f>+รายจ่ายจริง!G82</f>
        <v>109106629.47</v>
      </c>
      <c r="G7" s="134">
        <f t="shared" ref="G7:G12" si="0">+B7-F7</f>
        <v>1280945370.53</v>
      </c>
      <c r="H7" s="134">
        <f t="shared" ref="H7:H12" si="1">+B7-E7-F7</f>
        <v>1280945370.53</v>
      </c>
      <c r="I7" s="134">
        <f t="shared" ref="I7:I15" si="2">+F7*100/D7</f>
        <v>15.698208336091025</v>
      </c>
    </row>
    <row r="8" spans="1:9" ht="42" customHeight="1" x14ac:dyDescent="0.5">
      <c r="A8" s="252" t="s">
        <v>14</v>
      </c>
      <c r="B8" s="134">
        <f>+รายจ่ายจริง!J79</f>
        <v>432541700</v>
      </c>
      <c r="C8" s="134">
        <f>+D8-B8</f>
        <v>-216271200</v>
      </c>
      <c r="D8" s="136">
        <f>+รายจ่ายจริง!J80</f>
        <v>216270500</v>
      </c>
      <c r="E8" s="136">
        <f>+รายจ่ายจริง!J81</f>
        <v>11020747.960000001</v>
      </c>
      <c r="F8" s="257">
        <f>+รายจ่ายจริง!J82</f>
        <v>8016568.5899999999</v>
      </c>
      <c r="G8" s="134">
        <f t="shared" si="0"/>
        <v>424525131.41000003</v>
      </c>
      <c r="H8" s="134">
        <f t="shared" si="1"/>
        <v>413504383.45000005</v>
      </c>
      <c r="I8" s="134">
        <f t="shared" si="2"/>
        <v>3.7067323513840305</v>
      </c>
    </row>
    <row r="9" spans="1:9" s="88" customFormat="1" ht="42" customHeight="1" x14ac:dyDescent="0.5">
      <c r="A9" s="141" t="s">
        <v>15</v>
      </c>
      <c r="B9" s="138">
        <f>SUM(B10:B11)</f>
        <v>118294300</v>
      </c>
      <c r="C9" s="138">
        <f>SUM(C10:C11)</f>
        <v>-50070800</v>
      </c>
      <c r="D9" s="134">
        <f>SUM(D10:D11)</f>
        <v>68223500</v>
      </c>
      <c r="E9" s="138">
        <f>SUM(E10:E11)</f>
        <v>7587410</v>
      </c>
      <c r="F9" s="138">
        <f>SUM(F10:F11)</f>
        <v>1322506.5</v>
      </c>
      <c r="G9" s="138">
        <f t="shared" si="0"/>
        <v>116971793.5</v>
      </c>
      <c r="H9" s="138">
        <f t="shared" si="1"/>
        <v>109384383.5</v>
      </c>
      <c r="I9" s="134">
        <f t="shared" si="2"/>
        <v>1.9384911357523433</v>
      </c>
    </row>
    <row r="10" spans="1:9" ht="42" customHeight="1" x14ac:dyDescent="0.5">
      <c r="A10" s="252" t="s">
        <v>212</v>
      </c>
      <c r="B10" s="134">
        <f>+รายจ่ายจริง!K79</f>
        <v>19128700</v>
      </c>
      <c r="C10" s="134">
        <f>+D10-B10</f>
        <v>0</v>
      </c>
      <c r="D10" s="136">
        <f>+รายจ่ายจริง!K80</f>
        <v>19128700</v>
      </c>
      <c r="E10" s="136">
        <f>+รายจ่ายจริง!K81</f>
        <v>1351610</v>
      </c>
      <c r="F10" s="257">
        <f>+รายจ่ายจริง!K82</f>
        <v>1322506.5</v>
      </c>
      <c r="G10" s="134">
        <f t="shared" si="0"/>
        <v>17806193.5</v>
      </c>
      <c r="H10" s="134">
        <f t="shared" si="1"/>
        <v>16454583.5</v>
      </c>
      <c r="I10" s="134">
        <f t="shared" si="2"/>
        <v>6.913729108616895</v>
      </c>
    </row>
    <row r="11" spans="1:9" ht="42" customHeight="1" x14ac:dyDescent="0.5">
      <c r="A11" s="253" t="s">
        <v>214</v>
      </c>
      <c r="B11" s="135">
        <f>+รายจ่ายจริง!L79</f>
        <v>99165600</v>
      </c>
      <c r="C11" s="134">
        <f>+D11-B11</f>
        <v>-50070800</v>
      </c>
      <c r="D11" s="136">
        <f>+รายจ่ายจริง!L80</f>
        <v>49094800</v>
      </c>
      <c r="E11" s="136">
        <f>+รายจ่ายจริง!L81</f>
        <v>6235800</v>
      </c>
      <c r="F11" s="257">
        <f>+รายจ่ายจริง!L82</f>
        <v>0</v>
      </c>
      <c r="G11" s="134">
        <f t="shared" si="0"/>
        <v>99165600</v>
      </c>
      <c r="H11" s="134">
        <f t="shared" si="1"/>
        <v>92929800</v>
      </c>
      <c r="I11" s="134">
        <f t="shared" si="2"/>
        <v>0</v>
      </c>
    </row>
    <row r="12" spans="1:9" ht="42" customHeight="1" x14ac:dyDescent="0.5">
      <c r="A12" s="252" t="s">
        <v>16</v>
      </c>
      <c r="B12" s="134">
        <f>+รายจ่ายจริง!O79</f>
        <v>28793900</v>
      </c>
      <c r="C12" s="134">
        <f>+D12-B12</f>
        <v>-14397100</v>
      </c>
      <c r="D12" s="136">
        <f>+รายจ่ายจริง!O80</f>
        <v>14396800</v>
      </c>
      <c r="E12" s="136">
        <f>+รายจ่ายจริง!O81</f>
        <v>0</v>
      </c>
      <c r="F12" s="257">
        <f>+รายจ่ายจริง!O82</f>
        <v>0</v>
      </c>
      <c r="G12" s="134">
        <f t="shared" si="0"/>
        <v>28793900</v>
      </c>
      <c r="H12" s="134">
        <f t="shared" si="1"/>
        <v>28793900</v>
      </c>
      <c r="I12" s="134">
        <f t="shared" si="2"/>
        <v>0</v>
      </c>
    </row>
    <row r="13" spans="1:9" s="318" customFormat="1" ht="42" customHeight="1" x14ac:dyDescent="0.5">
      <c r="A13" s="425" t="s">
        <v>289</v>
      </c>
      <c r="B13" s="426">
        <f t="shared" ref="B13:H13" si="3">SUM(B7+B8+B9+B12)</f>
        <v>1969681900</v>
      </c>
      <c r="C13" s="426">
        <f t="shared" si="3"/>
        <v>-975765100</v>
      </c>
      <c r="D13" s="426">
        <f t="shared" si="3"/>
        <v>993916800</v>
      </c>
      <c r="E13" s="426">
        <f t="shared" si="3"/>
        <v>18608157.960000001</v>
      </c>
      <c r="F13" s="426">
        <f t="shared" si="3"/>
        <v>118445704.56</v>
      </c>
      <c r="G13" s="426">
        <f t="shared" si="3"/>
        <v>1851236195.4400001</v>
      </c>
      <c r="H13" s="426">
        <f t="shared" si="3"/>
        <v>1832628037.48</v>
      </c>
      <c r="I13" s="426">
        <f t="shared" si="2"/>
        <v>11.917064341804062</v>
      </c>
    </row>
    <row r="14" spans="1:9" s="90" customFormat="1" ht="42" customHeight="1" x14ac:dyDescent="0.5">
      <c r="A14" s="174" t="s">
        <v>287</v>
      </c>
      <c r="B14" s="140">
        <f>+B7+B8+B12</f>
        <v>1851387600</v>
      </c>
      <c r="C14" s="140">
        <f>+C7+C8+C12</f>
        <v>-925694300</v>
      </c>
      <c r="D14" s="135">
        <f>+D7+D8+D12</f>
        <v>925693300</v>
      </c>
      <c r="E14" s="135">
        <f>+E7+E8+E12</f>
        <v>11020747.960000001</v>
      </c>
      <c r="F14" s="257">
        <f>+F7+F8+F12</f>
        <v>117123198.06</v>
      </c>
      <c r="G14" s="135">
        <f>+B14-F14</f>
        <v>1734264401.9400001</v>
      </c>
      <c r="H14" s="135">
        <f>+B14-E14-F14</f>
        <v>1723243653.98</v>
      </c>
      <c r="I14" s="140">
        <f t="shared" si="2"/>
        <v>12.652484149987906</v>
      </c>
    </row>
    <row r="15" spans="1:9" s="90" customFormat="1" ht="42" customHeight="1" x14ac:dyDescent="0.5">
      <c r="A15" s="174" t="s">
        <v>288</v>
      </c>
      <c r="B15" s="140">
        <f>+B9</f>
        <v>118294300</v>
      </c>
      <c r="C15" s="140">
        <f>+C9</f>
        <v>-50070800</v>
      </c>
      <c r="D15" s="135">
        <f>+D9</f>
        <v>68223500</v>
      </c>
      <c r="E15" s="135">
        <f>+E9</f>
        <v>7587410</v>
      </c>
      <c r="F15" s="135">
        <f>+F9</f>
        <v>1322506.5</v>
      </c>
      <c r="G15" s="135">
        <f>+B15-F15</f>
        <v>116971793.5</v>
      </c>
      <c r="H15" s="135">
        <f>+B15-E15-F15</f>
        <v>109384383.5</v>
      </c>
      <c r="I15" s="140">
        <f t="shared" si="2"/>
        <v>1.9384911357523433</v>
      </c>
    </row>
    <row r="16" spans="1:9" s="302" customFormat="1" ht="27.75" hidden="1" x14ac:dyDescent="0.5">
      <c r="A16" s="1268" t="s">
        <v>767</v>
      </c>
      <c r="B16" s="1268"/>
      <c r="C16" s="1268"/>
      <c r="D16" s="1268"/>
      <c r="E16" s="1268"/>
      <c r="F16" s="1268"/>
      <c r="G16" s="1268"/>
      <c r="H16" s="1268"/>
      <c r="I16" s="1268"/>
    </row>
    <row r="17" spans="1:11" s="302" customFormat="1" ht="27.75" hidden="1" x14ac:dyDescent="0.5">
      <c r="A17" s="1269" t="s">
        <v>264</v>
      </c>
      <c r="B17" s="1270"/>
      <c r="C17" s="1271"/>
      <c r="D17" s="448" t="s">
        <v>171</v>
      </c>
      <c r="E17" s="448" t="s">
        <v>172</v>
      </c>
      <c r="F17" s="448" t="s">
        <v>173</v>
      </c>
      <c r="G17" s="448" t="s">
        <v>174</v>
      </c>
      <c r="H17" s="303" t="s">
        <v>493</v>
      </c>
      <c r="I17" s="303" t="s">
        <v>165</v>
      </c>
    </row>
    <row r="18" spans="1:11" s="302" customFormat="1" ht="27.75" hidden="1" x14ac:dyDescent="0.65">
      <c r="A18" s="445" t="s">
        <v>392</v>
      </c>
      <c r="B18" s="245" t="s">
        <v>290</v>
      </c>
      <c r="C18" s="447" t="s">
        <v>66</v>
      </c>
      <c r="D18" s="304">
        <v>32</v>
      </c>
      <c r="E18" s="304">
        <v>54</v>
      </c>
      <c r="F18" s="304">
        <v>77</v>
      </c>
      <c r="G18" s="305">
        <v>100</v>
      </c>
      <c r="H18" s="306">
        <f>+I13-D18</f>
        <v>-20.082935658195936</v>
      </c>
      <c r="I18" s="307" t="s">
        <v>462</v>
      </c>
    </row>
    <row r="19" spans="1:11" s="302" customFormat="1" ht="27.75" hidden="1" x14ac:dyDescent="0.65">
      <c r="A19" s="445" t="s">
        <v>287</v>
      </c>
      <c r="B19" s="245" t="s">
        <v>290</v>
      </c>
      <c r="C19" s="447" t="s">
        <v>66</v>
      </c>
      <c r="D19" s="304">
        <v>36</v>
      </c>
      <c r="E19" s="304">
        <v>57</v>
      </c>
      <c r="F19" s="304">
        <v>80</v>
      </c>
      <c r="G19" s="305">
        <v>100</v>
      </c>
      <c r="H19" s="306">
        <f>+I14-D19</f>
        <v>-23.347515850012094</v>
      </c>
      <c r="I19" s="307" t="s">
        <v>462</v>
      </c>
    </row>
    <row r="20" spans="1:11" s="302" customFormat="1" ht="27.75" hidden="1" x14ac:dyDescent="0.5">
      <c r="A20" s="445" t="s">
        <v>676</v>
      </c>
      <c r="B20" s="245" t="s">
        <v>290</v>
      </c>
      <c r="C20" s="447" t="s">
        <v>66</v>
      </c>
      <c r="D20" s="308">
        <v>20</v>
      </c>
      <c r="E20" s="308">
        <v>45</v>
      </c>
      <c r="F20" s="308">
        <v>65</v>
      </c>
      <c r="G20" s="309">
        <v>100</v>
      </c>
      <c r="H20" s="306">
        <f>+I15-D20</f>
        <v>-18.061508864247656</v>
      </c>
      <c r="I20" s="307" t="s">
        <v>462</v>
      </c>
    </row>
    <row r="21" spans="1:11" s="88" customFormat="1" x14ac:dyDescent="0.5">
      <c r="A21" s="88" t="s">
        <v>740</v>
      </c>
      <c r="B21" s="316"/>
      <c r="C21" s="316"/>
      <c r="K21" s="444"/>
    </row>
    <row r="22" spans="1:11" x14ac:dyDescent="0.5">
      <c r="A22" s="88" t="s">
        <v>765</v>
      </c>
    </row>
    <row r="23" spans="1:11" x14ac:dyDescent="0.5">
      <c r="A23" s="88" t="s">
        <v>766</v>
      </c>
    </row>
    <row r="24" spans="1:11" s="420" customFormat="1" ht="30.75" x14ac:dyDescent="0.5">
      <c r="A24" s="88" t="s">
        <v>770</v>
      </c>
      <c r="B24" s="419"/>
      <c r="C24" s="419"/>
      <c r="D24" s="418"/>
    </row>
    <row r="25" spans="1:11" hidden="1" x14ac:dyDescent="0.5">
      <c r="B25" s="317"/>
    </row>
    <row r="26" spans="1:11" hidden="1" x14ac:dyDescent="0.5"/>
    <row r="27" spans="1:11" s="88" customFormat="1" hidden="1" x14ac:dyDescent="0.5">
      <c r="B27" s="316"/>
      <c r="C27" s="316"/>
    </row>
    <row r="28" spans="1:11" s="246" customFormat="1" ht="36" x14ac:dyDescent="0.8">
      <c r="A28" s="1272" t="s">
        <v>671</v>
      </c>
      <c r="B28" s="1272"/>
      <c r="C28" s="1272"/>
      <c r="D28" s="1272"/>
      <c r="E28" s="1272"/>
      <c r="F28" s="1272"/>
      <c r="G28" s="1272"/>
      <c r="H28" s="1272"/>
      <c r="I28" s="1272"/>
    </row>
    <row r="29" spans="1:11" s="160" customFormat="1" ht="30.75" x14ac:dyDescent="0.5">
      <c r="A29" s="1031" t="s">
        <v>667</v>
      </c>
      <c r="B29" s="1032"/>
      <c r="C29" s="1032"/>
      <c r="D29" s="1032"/>
      <c r="E29" s="1033"/>
      <c r="F29" s="263" t="s">
        <v>293</v>
      </c>
      <c r="G29" s="264" t="s">
        <v>17</v>
      </c>
      <c r="H29" s="264" t="s">
        <v>60</v>
      </c>
      <c r="I29" s="264" t="s">
        <v>66</v>
      </c>
    </row>
    <row r="30" spans="1:11" s="180" customFormat="1" ht="33.75" customHeight="1" x14ac:dyDescent="0.5">
      <c r="A30" s="1034" t="s">
        <v>669</v>
      </c>
      <c r="B30" s="1035"/>
      <c r="C30" s="1035"/>
      <c r="D30" s="1035"/>
      <c r="E30" s="1264"/>
      <c r="F30" s="262">
        <f>SUM(F31:F32)</f>
        <v>9968817.6899999995</v>
      </c>
      <c r="G30" s="262">
        <f>SUM(G31:G32)</f>
        <v>0</v>
      </c>
      <c r="H30" s="262">
        <f>SUM(H31:H32)</f>
        <v>9968817.6899999995</v>
      </c>
      <c r="I30" s="262">
        <f>+G30*100/F30</f>
        <v>0</v>
      </c>
    </row>
    <row r="31" spans="1:11" s="180" customFormat="1" ht="33.75" customHeight="1" x14ac:dyDescent="0.5">
      <c r="A31" s="248">
        <v>1</v>
      </c>
      <c r="B31" s="1040" t="s">
        <v>366</v>
      </c>
      <c r="C31" s="1040"/>
      <c r="D31" s="1040"/>
      <c r="E31" s="261"/>
      <c r="F31" s="254">
        <f>+'12. เงินกันปี 62'!K29</f>
        <v>1917017.6899999995</v>
      </c>
      <c r="G31" s="254">
        <v>0</v>
      </c>
      <c r="H31" s="254">
        <f>+F31-G31</f>
        <v>1917017.6899999995</v>
      </c>
      <c r="I31" s="254">
        <f>+G31*100/F31</f>
        <v>0</v>
      </c>
    </row>
    <row r="32" spans="1:11" s="114" customFormat="1" ht="33.75" customHeight="1" x14ac:dyDescent="0.5">
      <c r="A32" s="248">
        <v>2</v>
      </c>
      <c r="B32" s="1040" t="s">
        <v>666</v>
      </c>
      <c r="C32" s="1040"/>
      <c r="D32" s="1040"/>
      <c r="E32" s="261"/>
      <c r="F32" s="254">
        <f>+'12. เงินกันปี 62'!K30</f>
        <v>8051800</v>
      </c>
      <c r="G32" s="254">
        <v>0</v>
      </c>
      <c r="H32" s="254">
        <f>+F32-G32</f>
        <v>8051800</v>
      </c>
      <c r="I32" s="254">
        <f>+G32*100/F32</f>
        <v>0</v>
      </c>
    </row>
    <row r="33" spans="1:9" s="180" customFormat="1" ht="33.75" customHeight="1" x14ac:dyDescent="0.5">
      <c r="A33" s="1034" t="s">
        <v>668</v>
      </c>
      <c r="B33" s="1035"/>
      <c r="C33" s="1035"/>
      <c r="D33" s="1035"/>
      <c r="E33" s="1264"/>
      <c r="F33" s="262">
        <f>+F34</f>
        <v>11723000</v>
      </c>
      <c r="G33" s="262">
        <f>+G34</f>
        <v>0</v>
      </c>
      <c r="H33" s="262">
        <f>+H34</f>
        <v>11723000</v>
      </c>
      <c r="I33" s="262">
        <f>+G33*100/F33</f>
        <v>0</v>
      </c>
    </row>
    <row r="34" spans="1:9" s="180" customFormat="1" ht="85.5" customHeight="1" x14ac:dyDescent="0.5">
      <c r="A34" s="344">
        <v>1</v>
      </c>
      <c r="B34" s="1042" t="s">
        <v>758</v>
      </c>
      <c r="C34" s="1042"/>
      <c r="D34" s="1042"/>
      <c r="E34" s="1043"/>
      <c r="F34" s="424">
        <v>11723000</v>
      </c>
      <c r="G34" s="424">
        <v>0</v>
      </c>
      <c r="H34" s="424">
        <f>+F34-G34</f>
        <v>11723000</v>
      </c>
      <c r="I34" s="254">
        <f>+G34*100/F34</f>
        <v>0</v>
      </c>
    </row>
    <row r="35" spans="1:9" s="251" customFormat="1" ht="33.75" customHeight="1" x14ac:dyDescent="0.5">
      <c r="A35" s="1036" t="s">
        <v>670</v>
      </c>
      <c r="B35" s="1037"/>
      <c r="C35" s="1037"/>
      <c r="D35" s="1037"/>
      <c r="E35" s="1038"/>
      <c r="F35" s="255">
        <f>+F33+F30</f>
        <v>21691817.689999998</v>
      </c>
      <c r="G35" s="255">
        <v>0</v>
      </c>
      <c r="H35" s="255">
        <f>+H33+H30</f>
        <v>21691817.689999998</v>
      </c>
      <c r="I35" s="255"/>
    </row>
    <row r="36" spans="1:9" s="247" customFormat="1" ht="18.75" customHeight="1" x14ac:dyDescent="0.5">
      <c r="A36" s="342"/>
      <c r="B36" s="342"/>
      <c r="C36" s="342"/>
      <c r="D36" s="342"/>
      <c r="E36" s="342"/>
      <c r="F36" s="343"/>
      <c r="G36" s="343"/>
      <c r="H36" s="343"/>
      <c r="I36" s="343"/>
    </row>
    <row r="37" spans="1:9" s="247" customFormat="1" ht="18.75" hidden="1" customHeight="1" x14ac:dyDescent="0.5">
      <c r="A37" s="342"/>
      <c r="B37" s="342"/>
      <c r="C37" s="342"/>
      <c r="D37" s="342"/>
      <c r="E37" s="342"/>
      <c r="F37" s="343"/>
      <c r="G37" s="343"/>
      <c r="H37" s="343"/>
      <c r="I37" s="343"/>
    </row>
    <row r="38" spans="1:9" s="246" customFormat="1" ht="36" x14ac:dyDescent="0.8">
      <c r="A38" s="1039" t="s">
        <v>672</v>
      </c>
      <c r="B38" s="1039"/>
      <c r="C38" s="1039"/>
      <c r="D38" s="1039"/>
      <c r="E38" s="1039"/>
      <c r="F38" s="1039"/>
      <c r="G38" s="1039"/>
      <c r="H38" s="1039"/>
      <c r="I38" s="1039"/>
    </row>
    <row r="39" spans="1:9" s="160" customFormat="1" ht="30.75" x14ac:dyDescent="0.5">
      <c r="A39" s="1031" t="s">
        <v>447</v>
      </c>
      <c r="B39" s="1032"/>
      <c r="C39" s="1032"/>
      <c r="D39" s="1032"/>
      <c r="E39" s="1033"/>
      <c r="F39" s="263" t="s">
        <v>293</v>
      </c>
      <c r="G39" s="264" t="s">
        <v>17</v>
      </c>
      <c r="H39" s="264" t="s">
        <v>60</v>
      </c>
      <c r="I39" s="264" t="s">
        <v>66</v>
      </c>
    </row>
    <row r="40" spans="1:9" s="180" customFormat="1" ht="33.75" customHeight="1" x14ac:dyDescent="0.5">
      <c r="A40" s="248">
        <v>1</v>
      </c>
      <c r="B40" s="446" t="s">
        <v>14</v>
      </c>
      <c r="C40" s="249"/>
      <c r="D40" s="421"/>
      <c r="E40" s="261"/>
      <c r="F40" s="254">
        <f>+เงินกันปี63!H21</f>
        <v>13739912.559999999</v>
      </c>
      <c r="G40" s="254">
        <f>+เงินกันปี63!I21</f>
        <v>12695538.75</v>
      </c>
      <c r="H40" s="254">
        <f>+F40-G40</f>
        <v>1044373.8099999987</v>
      </c>
      <c r="I40" s="254">
        <f t="shared" ref="I40:I45" si="4">+G40*100/F40</f>
        <v>92.398977755939967</v>
      </c>
    </row>
    <row r="41" spans="1:9" s="180" customFormat="1" ht="33.75" customHeight="1" x14ac:dyDescent="0.5">
      <c r="A41" s="248">
        <v>2</v>
      </c>
      <c r="B41" s="446" t="s">
        <v>15</v>
      </c>
      <c r="C41" s="249"/>
      <c r="D41" s="421"/>
      <c r="E41" s="261"/>
      <c r="F41" s="262">
        <f>SUM(F42:F43)</f>
        <v>79042218.230000004</v>
      </c>
      <c r="G41" s="262">
        <f>SUM(G42:G43)</f>
        <v>58179870.840000004</v>
      </c>
      <c r="H41" s="262">
        <f>SUM(H42:H43)</f>
        <v>20862347.390000001</v>
      </c>
      <c r="I41" s="262">
        <f t="shared" si="4"/>
        <v>73.606070455545705</v>
      </c>
    </row>
    <row r="42" spans="1:9" s="180" customFormat="1" ht="33.75" customHeight="1" x14ac:dyDescent="0.5">
      <c r="A42" s="248"/>
      <c r="B42" s="250">
        <v>2.1</v>
      </c>
      <c r="C42" s="249" t="s">
        <v>393</v>
      </c>
      <c r="D42" s="249" t="s">
        <v>393</v>
      </c>
      <c r="E42" s="261"/>
      <c r="F42" s="254">
        <f>+เงินกันปี63!H22+เงินกันปี63!H23+เงินกันปี63!H24</f>
        <v>3271015</v>
      </c>
      <c r="G42" s="254">
        <f>+เงินกันปี63!I22+เงินกันปี63!I23+เงินกันปี63!I24</f>
        <v>3271015</v>
      </c>
      <c r="H42" s="254">
        <f>+F42-G42</f>
        <v>0</v>
      </c>
      <c r="I42" s="254">
        <f t="shared" si="4"/>
        <v>100</v>
      </c>
    </row>
    <row r="43" spans="1:9" s="180" customFormat="1" ht="33.75" customHeight="1" x14ac:dyDescent="0.5">
      <c r="A43" s="248"/>
      <c r="B43" s="250">
        <v>2.2000000000000002</v>
      </c>
      <c r="C43" s="249" t="s">
        <v>394</v>
      </c>
      <c r="D43" s="249" t="s">
        <v>394</v>
      </c>
      <c r="E43" s="261"/>
      <c r="F43" s="254">
        <f>+เงินกันปี63!H40-เงินกันปี63!H22-เงินกันปี63!H23-เงินกันปี63!H24</f>
        <v>75771203.230000004</v>
      </c>
      <c r="G43" s="254">
        <f>+เงินกันปี63!I40-เงินกันปี63!I22-เงินกันปี63!I23-เงินกันปี63!I24</f>
        <v>54908855.840000004</v>
      </c>
      <c r="H43" s="254">
        <f>+F43-G43</f>
        <v>20862347.390000001</v>
      </c>
      <c r="I43" s="254">
        <f t="shared" si="4"/>
        <v>72.466654216017517</v>
      </c>
    </row>
    <row r="44" spans="1:9" s="180" customFormat="1" ht="33.75" customHeight="1" x14ac:dyDescent="0.5">
      <c r="A44" s="248">
        <v>3</v>
      </c>
      <c r="B44" s="446" t="s">
        <v>16</v>
      </c>
      <c r="C44" s="249"/>
      <c r="D44" s="421"/>
      <c r="E44" s="261"/>
      <c r="F44" s="254">
        <f>+เงินกันปี63!H43</f>
        <v>1676300</v>
      </c>
      <c r="G44" s="254">
        <f>+เงินกันปี63!I43</f>
        <v>1676300</v>
      </c>
      <c r="H44" s="254">
        <f>+F44-G44</f>
        <v>0</v>
      </c>
      <c r="I44" s="254">
        <f t="shared" si="4"/>
        <v>100</v>
      </c>
    </row>
    <row r="45" spans="1:9" s="251" customFormat="1" ht="33.75" customHeight="1" x14ac:dyDescent="0.5">
      <c r="A45" s="1036" t="s">
        <v>297</v>
      </c>
      <c r="B45" s="1037"/>
      <c r="C45" s="1037"/>
      <c r="D45" s="1037"/>
      <c r="E45" s="1038"/>
      <c r="F45" s="255">
        <f>+F40+F41+F44</f>
        <v>94458430.790000007</v>
      </c>
      <c r="G45" s="255">
        <f>+G40+G41+G44</f>
        <v>72551709.590000004</v>
      </c>
      <c r="H45" s="255">
        <f>+H40+H41+H44</f>
        <v>21906721.199999999</v>
      </c>
      <c r="I45" s="255">
        <f t="shared" si="4"/>
        <v>76.808082648860605</v>
      </c>
    </row>
    <row r="46" spans="1:9" s="160" customFormat="1" ht="32.25" customHeight="1" x14ac:dyDescent="0.5">
      <c r="A46" s="1263" t="s">
        <v>763</v>
      </c>
      <c r="B46" s="1263"/>
      <c r="C46" s="1263"/>
      <c r="D46" s="1263"/>
      <c r="E46" s="1263"/>
      <c r="F46" s="1263"/>
      <c r="G46" s="1263"/>
      <c r="H46" s="1263"/>
      <c r="I46" s="1263"/>
    </row>
    <row r="47" spans="1:9" s="246" customFormat="1" ht="39.75" customHeight="1" x14ac:dyDescent="0.8">
      <c r="A47" s="1039" t="s">
        <v>760</v>
      </c>
      <c r="B47" s="1039"/>
      <c r="C47" s="1039"/>
      <c r="D47" s="1039"/>
      <c r="E47" s="1039"/>
      <c r="F47" s="1039"/>
      <c r="G47" s="1039"/>
      <c r="H47" s="1039"/>
      <c r="I47" s="1039"/>
    </row>
    <row r="48" spans="1:9" s="160" customFormat="1" ht="38.25" customHeight="1" x14ac:dyDescent="0.5">
      <c r="A48" s="1031" t="s">
        <v>58</v>
      </c>
      <c r="B48" s="1032"/>
      <c r="C48" s="1032"/>
      <c r="D48" s="1032"/>
      <c r="E48" s="1033"/>
      <c r="F48" s="263" t="s">
        <v>293</v>
      </c>
      <c r="G48" s="264" t="s">
        <v>17</v>
      </c>
      <c r="H48" s="264" t="s">
        <v>60</v>
      </c>
      <c r="I48" s="264" t="s">
        <v>66</v>
      </c>
    </row>
    <row r="49" spans="1:9" s="180" customFormat="1" ht="38.25" customHeight="1" x14ac:dyDescent="0.5">
      <c r="A49" s="1034" t="s">
        <v>761</v>
      </c>
      <c r="B49" s="1035"/>
      <c r="C49" s="436"/>
      <c r="D49" s="421"/>
      <c r="E49" s="437"/>
      <c r="F49" s="262">
        <f>+F50</f>
        <v>0</v>
      </c>
      <c r="G49" s="262">
        <f>+G50</f>
        <v>0</v>
      </c>
      <c r="H49" s="262">
        <f>+H50</f>
        <v>0</v>
      </c>
      <c r="I49" s="262" t="e">
        <f>+G49*100/F49</f>
        <v>#DIV/0!</v>
      </c>
    </row>
    <row r="50" spans="1:9" s="180" customFormat="1" ht="38.25" customHeight="1" x14ac:dyDescent="0.5">
      <c r="A50" s="248"/>
      <c r="B50" s="446" t="s">
        <v>762</v>
      </c>
      <c r="C50" s="249"/>
      <c r="D50" s="421"/>
      <c r="E50" s="261"/>
      <c r="F50" s="262">
        <f>+'เบิกแทน กรมคุม'!D104</f>
        <v>0</v>
      </c>
      <c r="G50" s="262">
        <f>+'เบิกแทน กรมคุม'!E104</f>
        <v>0</v>
      </c>
      <c r="H50" s="262">
        <f>SUM(F50-G50)</f>
        <v>0</v>
      </c>
      <c r="I50" s="262" t="e">
        <f>+G50*100/F50</f>
        <v>#DIV/0!</v>
      </c>
    </row>
    <row r="51" spans="1:9" s="160" customFormat="1" ht="32.25" hidden="1" customHeight="1" x14ac:dyDescent="0.5">
      <c r="A51" s="248"/>
      <c r="B51" s="446"/>
      <c r="C51" s="249"/>
      <c r="D51" s="421"/>
      <c r="E51" s="261"/>
      <c r="F51" s="254">
        <v>0</v>
      </c>
      <c r="G51" s="254">
        <v>0</v>
      </c>
      <c r="H51" s="254">
        <f>+F51-G51</f>
        <v>0</v>
      </c>
      <c r="I51" s="254">
        <v>0</v>
      </c>
    </row>
    <row r="52" spans="1:9" s="160" customFormat="1" ht="32.25" customHeight="1" x14ac:dyDescent="0.5">
      <c r="A52" s="160" t="s">
        <v>771</v>
      </c>
      <c r="B52" s="243"/>
      <c r="C52" s="243"/>
    </row>
  </sheetData>
  <mergeCells count="21">
    <mergeCell ref="A33:E33"/>
    <mergeCell ref="A1:I1"/>
    <mergeCell ref="A2:I2"/>
    <mergeCell ref="A3:I3"/>
    <mergeCell ref="A4:A6"/>
    <mergeCell ref="A16:I16"/>
    <mergeCell ref="A17:C17"/>
    <mergeCell ref="A28:I28"/>
    <mergeCell ref="A29:E29"/>
    <mergeCell ref="A30:E30"/>
    <mergeCell ref="B31:D31"/>
    <mergeCell ref="B32:D32"/>
    <mergeCell ref="A47:I47"/>
    <mergeCell ref="A48:E48"/>
    <mergeCell ref="A49:B49"/>
    <mergeCell ref="B34:E34"/>
    <mergeCell ref="A35:E35"/>
    <mergeCell ref="A38:I38"/>
    <mergeCell ref="A39:E39"/>
    <mergeCell ref="A45:E45"/>
    <mergeCell ref="A46:I46"/>
  </mergeCells>
  <pageMargins left="0.44" right="0.196850393700787" top="0.39370078740157499" bottom="0.43307086614173201" header="0.15748031496063" footer="0.15748031496063"/>
  <pageSetup paperSize="9" scale="85" orientation="landscape" r:id="rId1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47"/>
  <sheetViews>
    <sheetView topLeftCell="A22" workbookViewId="0">
      <selection activeCell="G36" sqref="G36"/>
    </sheetView>
  </sheetViews>
  <sheetFormatPr defaultRowHeight="26.25" x14ac:dyDescent="0.55000000000000004"/>
  <cols>
    <col min="1" max="1" width="7.85546875" style="322" bestFit="1" customWidth="1"/>
    <col min="2" max="2" width="28.5703125" style="319" customWidth="1"/>
    <col min="3" max="4" width="14.42578125" style="322" customWidth="1"/>
    <col min="5" max="5" width="18.7109375" style="323" customWidth="1"/>
    <col min="6" max="6" width="11.85546875" style="322" customWidth="1"/>
    <col min="7" max="7" width="33.42578125" style="321" customWidth="1"/>
    <col min="8" max="8" width="16.7109375" style="319" customWidth="1"/>
    <col min="9" max="9" width="9.28515625" style="319" bestFit="1" customWidth="1"/>
    <col min="10" max="10" width="16.85546875" style="319" customWidth="1"/>
    <col min="11" max="11" width="8.42578125" style="320" customWidth="1"/>
    <col min="12" max="12" width="25" style="319" hidden="1" customWidth="1"/>
    <col min="13" max="14" width="12.28515625" style="319" hidden="1" customWidth="1"/>
    <col min="15" max="15" width="24.7109375" style="319" hidden="1" customWidth="1"/>
    <col min="16" max="260" width="9.140625" style="319"/>
    <col min="261" max="261" width="6.42578125" style="319" bestFit="1" customWidth="1"/>
    <col min="262" max="262" width="32" style="319" bestFit="1" customWidth="1"/>
    <col min="263" max="263" width="14.5703125" style="319" bestFit="1" customWidth="1"/>
    <col min="264" max="264" width="12.42578125" style="319" bestFit="1" customWidth="1"/>
    <col min="265" max="265" width="51.28515625" style="319" bestFit="1" customWidth="1"/>
    <col min="266" max="266" width="14.85546875" style="319" bestFit="1" customWidth="1"/>
    <col min="267" max="267" width="25" style="319" bestFit="1" customWidth="1"/>
    <col min="268" max="269" width="12.28515625" style="319" bestFit="1" customWidth="1"/>
    <col min="270" max="270" width="24.7109375" style="319" bestFit="1" customWidth="1"/>
    <col min="271" max="271" width="15" style="319" bestFit="1" customWidth="1"/>
    <col min="272" max="516" width="9.140625" style="319"/>
    <col min="517" max="517" width="6.42578125" style="319" bestFit="1" customWidth="1"/>
    <col min="518" max="518" width="32" style="319" bestFit="1" customWidth="1"/>
    <col min="519" max="519" width="14.5703125" style="319" bestFit="1" customWidth="1"/>
    <col min="520" max="520" width="12.42578125" style="319" bestFit="1" customWidth="1"/>
    <col min="521" max="521" width="51.28515625" style="319" bestFit="1" customWidth="1"/>
    <col min="522" max="522" width="14.85546875" style="319" bestFit="1" customWidth="1"/>
    <col min="523" max="523" width="25" style="319" bestFit="1" customWidth="1"/>
    <col min="524" max="525" width="12.28515625" style="319" bestFit="1" customWidth="1"/>
    <col min="526" max="526" width="24.7109375" style="319" bestFit="1" customWidth="1"/>
    <col min="527" max="527" width="15" style="319" bestFit="1" customWidth="1"/>
    <col min="528" max="772" width="9.140625" style="319"/>
    <col min="773" max="773" width="6.42578125" style="319" bestFit="1" customWidth="1"/>
    <col min="774" max="774" width="32" style="319" bestFit="1" customWidth="1"/>
    <col min="775" max="775" width="14.5703125" style="319" bestFit="1" customWidth="1"/>
    <col min="776" max="776" width="12.42578125" style="319" bestFit="1" customWidth="1"/>
    <col min="777" max="777" width="51.28515625" style="319" bestFit="1" customWidth="1"/>
    <col min="778" max="778" width="14.85546875" style="319" bestFit="1" customWidth="1"/>
    <col min="779" max="779" width="25" style="319" bestFit="1" customWidth="1"/>
    <col min="780" max="781" width="12.28515625" style="319" bestFit="1" customWidth="1"/>
    <col min="782" max="782" width="24.7109375" style="319" bestFit="1" customWidth="1"/>
    <col min="783" max="783" width="15" style="319" bestFit="1" customWidth="1"/>
    <col min="784" max="1028" width="9.140625" style="319"/>
    <col min="1029" max="1029" width="6.42578125" style="319" bestFit="1" customWidth="1"/>
    <col min="1030" max="1030" width="32" style="319" bestFit="1" customWidth="1"/>
    <col min="1031" max="1031" width="14.5703125" style="319" bestFit="1" customWidth="1"/>
    <col min="1032" max="1032" width="12.42578125" style="319" bestFit="1" customWidth="1"/>
    <col min="1033" max="1033" width="51.28515625" style="319" bestFit="1" customWidth="1"/>
    <col min="1034" max="1034" width="14.85546875" style="319" bestFit="1" customWidth="1"/>
    <col min="1035" max="1035" width="25" style="319" bestFit="1" customWidth="1"/>
    <col min="1036" max="1037" width="12.28515625" style="319" bestFit="1" customWidth="1"/>
    <col min="1038" max="1038" width="24.7109375" style="319" bestFit="1" customWidth="1"/>
    <col min="1039" max="1039" width="15" style="319" bestFit="1" customWidth="1"/>
    <col min="1040" max="1284" width="9.140625" style="319"/>
    <col min="1285" max="1285" width="6.42578125" style="319" bestFit="1" customWidth="1"/>
    <col min="1286" max="1286" width="32" style="319" bestFit="1" customWidth="1"/>
    <col min="1287" max="1287" width="14.5703125" style="319" bestFit="1" customWidth="1"/>
    <col min="1288" max="1288" width="12.42578125" style="319" bestFit="1" customWidth="1"/>
    <col min="1289" max="1289" width="51.28515625" style="319" bestFit="1" customWidth="1"/>
    <col min="1290" max="1290" width="14.85546875" style="319" bestFit="1" customWidth="1"/>
    <col min="1291" max="1291" width="25" style="319" bestFit="1" customWidth="1"/>
    <col min="1292" max="1293" width="12.28515625" style="319" bestFit="1" customWidth="1"/>
    <col min="1294" max="1294" width="24.7109375" style="319" bestFit="1" customWidth="1"/>
    <col min="1295" max="1295" width="15" style="319" bestFit="1" customWidth="1"/>
    <col min="1296" max="1540" width="9.140625" style="319"/>
    <col min="1541" max="1541" width="6.42578125" style="319" bestFit="1" customWidth="1"/>
    <col min="1542" max="1542" width="32" style="319" bestFit="1" customWidth="1"/>
    <col min="1543" max="1543" width="14.5703125" style="319" bestFit="1" customWidth="1"/>
    <col min="1544" max="1544" width="12.42578125" style="319" bestFit="1" customWidth="1"/>
    <col min="1545" max="1545" width="51.28515625" style="319" bestFit="1" customWidth="1"/>
    <col min="1546" max="1546" width="14.85546875" style="319" bestFit="1" customWidth="1"/>
    <col min="1547" max="1547" width="25" style="319" bestFit="1" customWidth="1"/>
    <col min="1548" max="1549" width="12.28515625" style="319" bestFit="1" customWidth="1"/>
    <col min="1550" max="1550" width="24.7109375" style="319" bestFit="1" customWidth="1"/>
    <col min="1551" max="1551" width="15" style="319" bestFit="1" customWidth="1"/>
    <col min="1552" max="1796" width="9.140625" style="319"/>
    <col min="1797" max="1797" width="6.42578125" style="319" bestFit="1" customWidth="1"/>
    <col min="1798" max="1798" width="32" style="319" bestFit="1" customWidth="1"/>
    <col min="1799" max="1799" width="14.5703125" style="319" bestFit="1" customWidth="1"/>
    <col min="1800" max="1800" width="12.42578125" style="319" bestFit="1" customWidth="1"/>
    <col min="1801" max="1801" width="51.28515625" style="319" bestFit="1" customWidth="1"/>
    <col min="1802" max="1802" width="14.85546875" style="319" bestFit="1" customWidth="1"/>
    <col min="1803" max="1803" width="25" style="319" bestFit="1" customWidth="1"/>
    <col min="1804" max="1805" width="12.28515625" style="319" bestFit="1" customWidth="1"/>
    <col min="1806" max="1806" width="24.7109375" style="319" bestFit="1" customWidth="1"/>
    <col min="1807" max="1807" width="15" style="319" bestFit="1" customWidth="1"/>
    <col min="1808" max="2052" width="9.140625" style="319"/>
    <col min="2053" max="2053" width="6.42578125" style="319" bestFit="1" customWidth="1"/>
    <col min="2054" max="2054" width="32" style="319" bestFit="1" customWidth="1"/>
    <col min="2055" max="2055" width="14.5703125" style="319" bestFit="1" customWidth="1"/>
    <col min="2056" max="2056" width="12.42578125" style="319" bestFit="1" customWidth="1"/>
    <col min="2057" max="2057" width="51.28515625" style="319" bestFit="1" customWidth="1"/>
    <col min="2058" max="2058" width="14.85546875" style="319" bestFit="1" customWidth="1"/>
    <col min="2059" max="2059" width="25" style="319" bestFit="1" customWidth="1"/>
    <col min="2060" max="2061" width="12.28515625" style="319" bestFit="1" customWidth="1"/>
    <col min="2062" max="2062" width="24.7109375" style="319" bestFit="1" customWidth="1"/>
    <col min="2063" max="2063" width="15" style="319" bestFit="1" customWidth="1"/>
    <col min="2064" max="2308" width="9.140625" style="319"/>
    <col min="2309" max="2309" width="6.42578125" style="319" bestFit="1" customWidth="1"/>
    <col min="2310" max="2310" width="32" style="319" bestFit="1" customWidth="1"/>
    <col min="2311" max="2311" width="14.5703125" style="319" bestFit="1" customWidth="1"/>
    <col min="2312" max="2312" width="12.42578125" style="319" bestFit="1" customWidth="1"/>
    <col min="2313" max="2313" width="51.28515625" style="319" bestFit="1" customWidth="1"/>
    <col min="2314" max="2314" width="14.85546875" style="319" bestFit="1" customWidth="1"/>
    <col min="2315" max="2315" width="25" style="319" bestFit="1" customWidth="1"/>
    <col min="2316" max="2317" width="12.28515625" style="319" bestFit="1" customWidth="1"/>
    <col min="2318" max="2318" width="24.7109375" style="319" bestFit="1" customWidth="1"/>
    <col min="2319" max="2319" width="15" style="319" bestFit="1" customWidth="1"/>
    <col min="2320" max="2564" width="9.140625" style="319"/>
    <col min="2565" max="2565" width="6.42578125" style="319" bestFit="1" customWidth="1"/>
    <col min="2566" max="2566" width="32" style="319" bestFit="1" customWidth="1"/>
    <col min="2567" max="2567" width="14.5703125" style="319" bestFit="1" customWidth="1"/>
    <col min="2568" max="2568" width="12.42578125" style="319" bestFit="1" customWidth="1"/>
    <col min="2569" max="2569" width="51.28515625" style="319" bestFit="1" customWidth="1"/>
    <col min="2570" max="2570" width="14.85546875" style="319" bestFit="1" customWidth="1"/>
    <col min="2571" max="2571" width="25" style="319" bestFit="1" customWidth="1"/>
    <col min="2572" max="2573" width="12.28515625" style="319" bestFit="1" customWidth="1"/>
    <col min="2574" max="2574" width="24.7109375" style="319" bestFit="1" customWidth="1"/>
    <col min="2575" max="2575" width="15" style="319" bestFit="1" customWidth="1"/>
    <col min="2576" max="2820" width="9.140625" style="319"/>
    <col min="2821" max="2821" width="6.42578125" style="319" bestFit="1" customWidth="1"/>
    <col min="2822" max="2822" width="32" style="319" bestFit="1" customWidth="1"/>
    <col min="2823" max="2823" width="14.5703125" style="319" bestFit="1" customWidth="1"/>
    <col min="2824" max="2824" width="12.42578125" style="319" bestFit="1" customWidth="1"/>
    <col min="2825" max="2825" width="51.28515625" style="319" bestFit="1" customWidth="1"/>
    <col min="2826" max="2826" width="14.85546875" style="319" bestFit="1" customWidth="1"/>
    <col min="2827" max="2827" width="25" style="319" bestFit="1" customWidth="1"/>
    <col min="2828" max="2829" width="12.28515625" style="319" bestFit="1" customWidth="1"/>
    <col min="2830" max="2830" width="24.7109375" style="319" bestFit="1" customWidth="1"/>
    <col min="2831" max="2831" width="15" style="319" bestFit="1" customWidth="1"/>
    <col min="2832" max="3076" width="9.140625" style="319"/>
    <col min="3077" max="3077" width="6.42578125" style="319" bestFit="1" customWidth="1"/>
    <col min="3078" max="3078" width="32" style="319" bestFit="1" customWidth="1"/>
    <col min="3079" max="3079" width="14.5703125" style="319" bestFit="1" customWidth="1"/>
    <col min="3080" max="3080" width="12.42578125" style="319" bestFit="1" customWidth="1"/>
    <col min="3081" max="3081" width="51.28515625" style="319" bestFit="1" customWidth="1"/>
    <col min="3082" max="3082" width="14.85546875" style="319" bestFit="1" customWidth="1"/>
    <col min="3083" max="3083" width="25" style="319" bestFit="1" customWidth="1"/>
    <col min="3084" max="3085" width="12.28515625" style="319" bestFit="1" customWidth="1"/>
    <col min="3086" max="3086" width="24.7109375" style="319" bestFit="1" customWidth="1"/>
    <col min="3087" max="3087" width="15" style="319" bestFit="1" customWidth="1"/>
    <col min="3088" max="3332" width="9.140625" style="319"/>
    <col min="3333" max="3333" width="6.42578125" style="319" bestFit="1" customWidth="1"/>
    <col min="3334" max="3334" width="32" style="319" bestFit="1" customWidth="1"/>
    <col min="3335" max="3335" width="14.5703125" style="319" bestFit="1" customWidth="1"/>
    <col min="3336" max="3336" width="12.42578125" style="319" bestFit="1" customWidth="1"/>
    <col min="3337" max="3337" width="51.28515625" style="319" bestFit="1" customWidth="1"/>
    <col min="3338" max="3338" width="14.85546875" style="319" bestFit="1" customWidth="1"/>
    <col min="3339" max="3339" width="25" style="319" bestFit="1" customWidth="1"/>
    <col min="3340" max="3341" width="12.28515625" style="319" bestFit="1" customWidth="1"/>
    <col min="3342" max="3342" width="24.7109375" style="319" bestFit="1" customWidth="1"/>
    <col min="3343" max="3343" width="15" style="319" bestFit="1" customWidth="1"/>
    <col min="3344" max="3588" width="9.140625" style="319"/>
    <col min="3589" max="3589" width="6.42578125" style="319" bestFit="1" customWidth="1"/>
    <col min="3590" max="3590" width="32" style="319" bestFit="1" customWidth="1"/>
    <col min="3591" max="3591" width="14.5703125" style="319" bestFit="1" customWidth="1"/>
    <col min="3592" max="3592" width="12.42578125" style="319" bestFit="1" customWidth="1"/>
    <col min="3593" max="3593" width="51.28515625" style="319" bestFit="1" customWidth="1"/>
    <col min="3594" max="3594" width="14.85546875" style="319" bestFit="1" customWidth="1"/>
    <col min="3595" max="3595" width="25" style="319" bestFit="1" customWidth="1"/>
    <col min="3596" max="3597" width="12.28515625" style="319" bestFit="1" customWidth="1"/>
    <col min="3598" max="3598" width="24.7109375" style="319" bestFit="1" customWidth="1"/>
    <col min="3599" max="3599" width="15" style="319" bestFit="1" customWidth="1"/>
    <col min="3600" max="3844" width="9.140625" style="319"/>
    <col min="3845" max="3845" width="6.42578125" style="319" bestFit="1" customWidth="1"/>
    <col min="3846" max="3846" width="32" style="319" bestFit="1" customWidth="1"/>
    <col min="3847" max="3847" width="14.5703125" style="319" bestFit="1" customWidth="1"/>
    <col min="3848" max="3848" width="12.42578125" style="319" bestFit="1" customWidth="1"/>
    <col min="3849" max="3849" width="51.28515625" style="319" bestFit="1" customWidth="1"/>
    <col min="3850" max="3850" width="14.85546875" style="319" bestFit="1" customWidth="1"/>
    <col min="3851" max="3851" width="25" style="319" bestFit="1" customWidth="1"/>
    <col min="3852" max="3853" width="12.28515625" style="319" bestFit="1" customWidth="1"/>
    <col min="3854" max="3854" width="24.7109375" style="319" bestFit="1" customWidth="1"/>
    <col min="3855" max="3855" width="15" style="319" bestFit="1" customWidth="1"/>
    <col min="3856" max="4100" width="9.140625" style="319"/>
    <col min="4101" max="4101" width="6.42578125" style="319" bestFit="1" customWidth="1"/>
    <col min="4102" max="4102" width="32" style="319" bestFit="1" customWidth="1"/>
    <col min="4103" max="4103" width="14.5703125" style="319" bestFit="1" customWidth="1"/>
    <col min="4104" max="4104" width="12.42578125" style="319" bestFit="1" customWidth="1"/>
    <col min="4105" max="4105" width="51.28515625" style="319" bestFit="1" customWidth="1"/>
    <col min="4106" max="4106" width="14.85546875" style="319" bestFit="1" customWidth="1"/>
    <col min="4107" max="4107" width="25" style="319" bestFit="1" customWidth="1"/>
    <col min="4108" max="4109" width="12.28515625" style="319" bestFit="1" customWidth="1"/>
    <col min="4110" max="4110" width="24.7109375" style="319" bestFit="1" customWidth="1"/>
    <col min="4111" max="4111" width="15" style="319" bestFit="1" customWidth="1"/>
    <col min="4112" max="4356" width="9.140625" style="319"/>
    <col min="4357" max="4357" width="6.42578125" style="319" bestFit="1" customWidth="1"/>
    <col min="4358" max="4358" width="32" style="319" bestFit="1" customWidth="1"/>
    <col min="4359" max="4359" width="14.5703125" style="319" bestFit="1" customWidth="1"/>
    <col min="4360" max="4360" width="12.42578125" style="319" bestFit="1" customWidth="1"/>
    <col min="4361" max="4361" width="51.28515625" style="319" bestFit="1" customWidth="1"/>
    <col min="4362" max="4362" width="14.85546875" style="319" bestFit="1" customWidth="1"/>
    <col min="4363" max="4363" width="25" style="319" bestFit="1" customWidth="1"/>
    <col min="4364" max="4365" width="12.28515625" style="319" bestFit="1" customWidth="1"/>
    <col min="4366" max="4366" width="24.7109375" style="319" bestFit="1" customWidth="1"/>
    <col min="4367" max="4367" width="15" style="319" bestFit="1" customWidth="1"/>
    <col min="4368" max="4612" width="9.140625" style="319"/>
    <col min="4613" max="4613" width="6.42578125" style="319" bestFit="1" customWidth="1"/>
    <col min="4614" max="4614" width="32" style="319" bestFit="1" customWidth="1"/>
    <col min="4615" max="4615" width="14.5703125" style="319" bestFit="1" customWidth="1"/>
    <col min="4616" max="4616" width="12.42578125" style="319" bestFit="1" customWidth="1"/>
    <col min="4617" max="4617" width="51.28515625" style="319" bestFit="1" customWidth="1"/>
    <col min="4618" max="4618" width="14.85546875" style="319" bestFit="1" customWidth="1"/>
    <col min="4619" max="4619" width="25" style="319" bestFit="1" customWidth="1"/>
    <col min="4620" max="4621" width="12.28515625" style="319" bestFit="1" customWidth="1"/>
    <col min="4622" max="4622" width="24.7109375" style="319" bestFit="1" customWidth="1"/>
    <col min="4623" max="4623" width="15" style="319" bestFit="1" customWidth="1"/>
    <col min="4624" max="4868" width="9.140625" style="319"/>
    <col min="4869" max="4869" width="6.42578125" style="319" bestFit="1" customWidth="1"/>
    <col min="4870" max="4870" width="32" style="319" bestFit="1" customWidth="1"/>
    <col min="4871" max="4871" width="14.5703125" style="319" bestFit="1" customWidth="1"/>
    <col min="4872" max="4872" width="12.42578125" style="319" bestFit="1" customWidth="1"/>
    <col min="4873" max="4873" width="51.28515625" style="319" bestFit="1" customWidth="1"/>
    <col min="4874" max="4874" width="14.85546875" style="319" bestFit="1" customWidth="1"/>
    <col min="4875" max="4875" width="25" style="319" bestFit="1" customWidth="1"/>
    <col min="4876" max="4877" width="12.28515625" style="319" bestFit="1" customWidth="1"/>
    <col min="4878" max="4878" width="24.7109375" style="319" bestFit="1" customWidth="1"/>
    <col min="4879" max="4879" width="15" style="319" bestFit="1" customWidth="1"/>
    <col min="4880" max="5124" width="9.140625" style="319"/>
    <col min="5125" max="5125" width="6.42578125" style="319" bestFit="1" customWidth="1"/>
    <col min="5126" max="5126" width="32" style="319" bestFit="1" customWidth="1"/>
    <col min="5127" max="5127" width="14.5703125" style="319" bestFit="1" customWidth="1"/>
    <col min="5128" max="5128" width="12.42578125" style="319" bestFit="1" customWidth="1"/>
    <col min="5129" max="5129" width="51.28515625" style="319" bestFit="1" customWidth="1"/>
    <col min="5130" max="5130" width="14.85546875" style="319" bestFit="1" customWidth="1"/>
    <col min="5131" max="5131" width="25" style="319" bestFit="1" customWidth="1"/>
    <col min="5132" max="5133" width="12.28515625" style="319" bestFit="1" customWidth="1"/>
    <col min="5134" max="5134" width="24.7109375" style="319" bestFit="1" customWidth="1"/>
    <col min="5135" max="5135" width="15" style="319" bestFit="1" customWidth="1"/>
    <col min="5136" max="5380" width="9.140625" style="319"/>
    <col min="5381" max="5381" width="6.42578125" style="319" bestFit="1" customWidth="1"/>
    <col min="5382" max="5382" width="32" style="319" bestFit="1" customWidth="1"/>
    <col min="5383" max="5383" width="14.5703125" style="319" bestFit="1" customWidth="1"/>
    <col min="5384" max="5384" width="12.42578125" style="319" bestFit="1" customWidth="1"/>
    <col min="5385" max="5385" width="51.28515625" style="319" bestFit="1" customWidth="1"/>
    <col min="5386" max="5386" width="14.85546875" style="319" bestFit="1" customWidth="1"/>
    <col min="5387" max="5387" width="25" style="319" bestFit="1" customWidth="1"/>
    <col min="5388" max="5389" width="12.28515625" style="319" bestFit="1" customWidth="1"/>
    <col min="5390" max="5390" width="24.7109375" style="319" bestFit="1" customWidth="1"/>
    <col min="5391" max="5391" width="15" style="319" bestFit="1" customWidth="1"/>
    <col min="5392" max="5636" width="9.140625" style="319"/>
    <col min="5637" max="5637" width="6.42578125" style="319" bestFit="1" customWidth="1"/>
    <col min="5638" max="5638" width="32" style="319" bestFit="1" customWidth="1"/>
    <col min="5639" max="5639" width="14.5703125" style="319" bestFit="1" customWidth="1"/>
    <col min="5640" max="5640" width="12.42578125" style="319" bestFit="1" customWidth="1"/>
    <col min="5641" max="5641" width="51.28515625" style="319" bestFit="1" customWidth="1"/>
    <col min="5642" max="5642" width="14.85546875" style="319" bestFit="1" customWidth="1"/>
    <col min="5643" max="5643" width="25" style="319" bestFit="1" customWidth="1"/>
    <col min="5644" max="5645" width="12.28515625" style="319" bestFit="1" customWidth="1"/>
    <col min="5646" max="5646" width="24.7109375" style="319" bestFit="1" customWidth="1"/>
    <col min="5647" max="5647" width="15" style="319" bestFit="1" customWidth="1"/>
    <col min="5648" max="5892" width="9.140625" style="319"/>
    <col min="5893" max="5893" width="6.42578125" style="319" bestFit="1" customWidth="1"/>
    <col min="5894" max="5894" width="32" style="319" bestFit="1" customWidth="1"/>
    <col min="5895" max="5895" width="14.5703125" style="319" bestFit="1" customWidth="1"/>
    <col min="5896" max="5896" width="12.42578125" style="319" bestFit="1" customWidth="1"/>
    <col min="5897" max="5897" width="51.28515625" style="319" bestFit="1" customWidth="1"/>
    <col min="5898" max="5898" width="14.85546875" style="319" bestFit="1" customWidth="1"/>
    <col min="5899" max="5899" width="25" style="319" bestFit="1" customWidth="1"/>
    <col min="5900" max="5901" width="12.28515625" style="319" bestFit="1" customWidth="1"/>
    <col min="5902" max="5902" width="24.7109375" style="319" bestFit="1" customWidth="1"/>
    <col min="5903" max="5903" width="15" style="319" bestFit="1" customWidth="1"/>
    <col min="5904" max="6148" width="9.140625" style="319"/>
    <col min="6149" max="6149" width="6.42578125" style="319" bestFit="1" customWidth="1"/>
    <col min="6150" max="6150" width="32" style="319" bestFit="1" customWidth="1"/>
    <col min="6151" max="6151" width="14.5703125" style="319" bestFit="1" customWidth="1"/>
    <col min="6152" max="6152" width="12.42578125" style="319" bestFit="1" customWidth="1"/>
    <col min="6153" max="6153" width="51.28515625" style="319" bestFit="1" customWidth="1"/>
    <col min="6154" max="6154" width="14.85546875" style="319" bestFit="1" customWidth="1"/>
    <col min="6155" max="6155" width="25" style="319" bestFit="1" customWidth="1"/>
    <col min="6156" max="6157" width="12.28515625" style="319" bestFit="1" customWidth="1"/>
    <col min="6158" max="6158" width="24.7109375" style="319" bestFit="1" customWidth="1"/>
    <col min="6159" max="6159" width="15" style="319" bestFit="1" customWidth="1"/>
    <col min="6160" max="6404" width="9.140625" style="319"/>
    <col min="6405" max="6405" width="6.42578125" style="319" bestFit="1" customWidth="1"/>
    <col min="6406" max="6406" width="32" style="319" bestFit="1" customWidth="1"/>
    <col min="6407" max="6407" width="14.5703125" style="319" bestFit="1" customWidth="1"/>
    <col min="6408" max="6408" width="12.42578125" style="319" bestFit="1" customWidth="1"/>
    <col min="6409" max="6409" width="51.28515625" style="319" bestFit="1" customWidth="1"/>
    <col min="6410" max="6410" width="14.85546875" style="319" bestFit="1" customWidth="1"/>
    <col min="6411" max="6411" width="25" style="319" bestFit="1" customWidth="1"/>
    <col min="6412" max="6413" width="12.28515625" style="319" bestFit="1" customWidth="1"/>
    <col min="6414" max="6414" width="24.7109375" style="319" bestFit="1" customWidth="1"/>
    <col min="6415" max="6415" width="15" style="319" bestFit="1" customWidth="1"/>
    <col min="6416" max="6660" width="9.140625" style="319"/>
    <col min="6661" max="6661" width="6.42578125" style="319" bestFit="1" customWidth="1"/>
    <col min="6662" max="6662" width="32" style="319" bestFit="1" customWidth="1"/>
    <col min="6663" max="6663" width="14.5703125" style="319" bestFit="1" customWidth="1"/>
    <col min="6664" max="6664" width="12.42578125" style="319" bestFit="1" customWidth="1"/>
    <col min="6665" max="6665" width="51.28515625" style="319" bestFit="1" customWidth="1"/>
    <col min="6666" max="6666" width="14.85546875" style="319" bestFit="1" customWidth="1"/>
    <col min="6667" max="6667" width="25" style="319" bestFit="1" customWidth="1"/>
    <col min="6668" max="6669" width="12.28515625" style="319" bestFit="1" customWidth="1"/>
    <col min="6670" max="6670" width="24.7109375" style="319" bestFit="1" customWidth="1"/>
    <col min="6671" max="6671" width="15" style="319" bestFit="1" customWidth="1"/>
    <col min="6672" max="6916" width="9.140625" style="319"/>
    <col min="6917" max="6917" width="6.42578125" style="319" bestFit="1" customWidth="1"/>
    <col min="6918" max="6918" width="32" style="319" bestFit="1" customWidth="1"/>
    <col min="6919" max="6919" width="14.5703125" style="319" bestFit="1" customWidth="1"/>
    <col min="6920" max="6920" width="12.42578125" style="319" bestFit="1" customWidth="1"/>
    <col min="6921" max="6921" width="51.28515625" style="319" bestFit="1" customWidth="1"/>
    <col min="6922" max="6922" width="14.85546875" style="319" bestFit="1" customWidth="1"/>
    <col min="6923" max="6923" width="25" style="319" bestFit="1" customWidth="1"/>
    <col min="6924" max="6925" width="12.28515625" style="319" bestFit="1" customWidth="1"/>
    <col min="6926" max="6926" width="24.7109375" style="319" bestFit="1" customWidth="1"/>
    <col min="6927" max="6927" width="15" style="319" bestFit="1" customWidth="1"/>
    <col min="6928" max="7172" width="9.140625" style="319"/>
    <col min="7173" max="7173" width="6.42578125" style="319" bestFit="1" customWidth="1"/>
    <col min="7174" max="7174" width="32" style="319" bestFit="1" customWidth="1"/>
    <col min="7175" max="7175" width="14.5703125" style="319" bestFit="1" customWidth="1"/>
    <col min="7176" max="7176" width="12.42578125" style="319" bestFit="1" customWidth="1"/>
    <col min="7177" max="7177" width="51.28515625" style="319" bestFit="1" customWidth="1"/>
    <col min="7178" max="7178" width="14.85546875" style="319" bestFit="1" customWidth="1"/>
    <col min="7179" max="7179" width="25" style="319" bestFit="1" customWidth="1"/>
    <col min="7180" max="7181" width="12.28515625" style="319" bestFit="1" customWidth="1"/>
    <col min="7182" max="7182" width="24.7109375" style="319" bestFit="1" customWidth="1"/>
    <col min="7183" max="7183" width="15" style="319" bestFit="1" customWidth="1"/>
    <col min="7184" max="7428" width="9.140625" style="319"/>
    <col min="7429" max="7429" width="6.42578125" style="319" bestFit="1" customWidth="1"/>
    <col min="7430" max="7430" width="32" style="319" bestFit="1" customWidth="1"/>
    <col min="7431" max="7431" width="14.5703125" style="319" bestFit="1" customWidth="1"/>
    <col min="7432" max="7432" width="12.42578125" style="319" bestFit="1" customWidth="1"/>
    <col min="7433" max="7433" width="51.28515625" style="319" bestFit="1" customWidth="1"/>
    <col min="7434" max="7434" width="14.85546875" style="319" bestFit="1" customWidth="1"/>
    <col min="7435" max="7435" width="25" style="319" bestFit="1" customWidth="1"/>
    <col min="7436" max="7437" width="12.28515625" style="319" bestFit="1" customWidth="1"/>
    <col min="7438" max="7438" width="24.7109375" style="319" bestFit="1" customWidth="1"/>
    <col min="7439" max="7439" width="15" style="319" bestFit="1" customWidth="1"/>
    <col min="7440" max="7684" width="9.140625" style="319"/>
    <col min="7685" max="7685" width="6.42578125" style="319" bestFit="1" customWidth="1"/>
    <col min="7686" max="7686" width="32" style="319" bestFit="1" customWidth="1"/>
    <col min="7687" max="7687" width="14.5703125" style="319" bestFit="1" customWidth="1"/>
    <col min="7688" max="7688" width="12.42578125" style="319" bestFit="1" customWidth="1"/>
    <col min="7689" max="7689" width="51.28515625" style="319" bestFit="1" customWidth="1"/>
    <col min="7690" max="7690" width="14.85546875" style="319" bestFit="1" customWidth="1"/>
    <col min="7691" max="7691" width="25" style="319" bestFit="1" customWidth="1"/>
    <col min="7692" max="7693" width="12.28515625" style="319" bestFit="1" customWidth="1"/>
    <col min="7694" max="7694" width="24.7109375" style="319" bestFit="1" customWidth="1"/>
    <col min="7695" max="7695" width="15" style="319" bestFit="1" customWidth="1"/>
    <col min="7696" max="7940" width="9.140625" style="319"/>
    <col min="7941" max="7941" width="6.42578125" style="319" bestFit="1" customWidth="1"/>
    <col min="7942" max="7942" width="32" style="319" bestFit="1" customWidth="1"/>
    <col min="7943" max="7943" width="14.5703125" style="319" bestFit="1" customWidth="1"/>
    <col min="7944" max="7944" width="12.42578125" style="319" bestFit="1" customWidth="1"/>
    <col min="7945" max="7945" width="51.28515625" style="319" bestFit="1" customWidth="1"/>
    <col min="7946" max="7946" width="14.85546875" style="319" bestFit="1" customWidth="1"/>
    <col min="7947" max="7947" width="25" style="319" bestFit="1" customWidth="1"/>
    <col min="7948" max="7949" width="12.28515625" style="319" bestFit="1" customWidth="1"/>
    <col min="7950" max="7950" width="24.7109375" style="319" bestFit="1" customWidth="1"/>
    <col min="7951" max="7951" width="15" style="319" bestFit="1" customWidth="1"/>
    <col min="7952" max="8196" width="9.140625" style="319"/>
    <col min="8197" max="8197" width="6.42578125" style="319" bestFit="1" customWidth="1"/>
    <col min="8198" max="8198" width="32" style="319" bestFit="1" customWidth="1"/>
    <col min="8199" max="8199" width="14.5703125" style="319" bestFit="1" customWidth="1"/>
    <col min="8200" max="8200" width="12.42578125" style="319" bestFit="1" customWidth="1"/>
    <col min="8201" max="8201" width="51.28515625" style="319" bestFit="1" customWidth="1"/>
    <col min="8202" max="8202" width="14.85546875" style="319" bestFit="1" customWidth="1"/>
    <col min="8203" max="8203" width="25" style="319" bestFit="1" customWidth="1"/>
    <col min="8204" max="8205" width="12.28515625" style="319" bestFit="1" customWidth="1"/>
    <col min="8206" max="8206" width="24.7109375" style="319" bestFit="1" customWidth="1"/>
    <col min="8207" max="8207" width="15" style="319" bestFit="1" customWidth="1"/>
    <col min="8208" max="8452" width="9.140625" style="319"/>
    <col min="8453" max="8453" width="6.42578125" style="319" bestFit="1" customWidth="1"/>
    <col min="8454" max="8454" width="32" style="319" bestFit="1" customWidth="1"/>
    <col min="8455" max="8455" width="14.5703125" style="319" bestFit="1" customWidth="1"/>
    <col min="8456" max="8456" width="12.42578125" style="319" bestFit="1" customWidth="1"/>
    <col min="8457" max="8457" width="51.28515625" style="319" bestFit="1" customWidth="1"/>
    <col min="8458" max="8458" width="14.85546875" style="319" bestFit="1" customWidth="1"/>
    <col min="8459" max="8459" width="25" style="319" bestFit="1" customWidth="1"/>
    <col min="8460" max="8461" width="12.28515625" style="319" bestFit="1" customWidth="1"/>
    <col min="8462" max="8462" width="24.7109375" style="319" bestFit="1" customWidth="1"/>
    <col min="8463" max="8463" width="15" style="319" bestFit="1" customWidth="1"/>
    <col min="8464" max="8708" width="9.140625" style="319"/>
    <col min="8709" max="8709" width="6.42578125" style="319" bestFit="1" customWidth="1"/>
    <col min="8710" max="8710" width="32" style="319" bestFit="1" customWidth="1"/>
    <col min="8711" max="8711" width="14.5703125" style="319" bestFit="1" customWidth="1"/>
    <col min="8712" max="8712" width="12.42578125" style="319" bestFit="1" customWidth="1"/>
    <col min="8713" max="8713" width="51.28515625" style="319" bestFit="1" customWidth="1"/>
    <col min="8714" max="8714" width="14.85546875" style="319" bestFit="1" customWidth="1"/>
    <col min="8715" max="8715" width="25" style="319" bestFit="1" customWidth="1"/>
    <col min="8716" max="8717" width="12.28515625" style="319" bestFit="1" customWidth="1"/>
    <col min="8718" max="8718" width="24.7109375" style="319" bestFit="1" customWidth="1"/>
    <col min="8719" max="8719" width="15" style="319" bestFit="1" customWidth="1"/>
    <col min="8720" max="8964" width="9.140625" style="319"/>
    <col min="8965" max="8965" width="6.42578125" style="319" bestFit="1" customWidth="1"/>
    <col min="8966" max="8966" width="32" style="319" bestFit="1" customWidth="1"/>
    <col min="8967" max="8967" width="14.5703125" style="319" bestFit="1" customWidth="1"/>
    <col min="8968" max="8968" width="12.42578125" style="319" bestFit="1" customWidth="1"/>
    <col min="8969" max="8969" width="51.28515625" style="319" bestFit="1" customWidth="1"/>
    <col min="8970" max="8970" width="14.85546875" style="319" bestFit="1" customWidth="1"/>
    <col min="8971" max="8971" width="25" style="319" bestFit="1" customWidth="1"/>
    <col min="8972" max="8973" width="12.28515625" style="319" bestFit="1" customWidth="1"/>
    <col min="8974" max="8974" width="24.7109375" style="319" bestFit="1" customWidth="1"/>
    <col min="8975" max="8975" width="15" style="319" bestFit="1" customWidth="1"/>
    <col min="8976" max="9220" width="9.140625" style="319"/>
    <col min="9221" max="9221" width="6.42578125" style="319" bestFit="1" customWidth="1"/>
    <col min="9222" max="9222" width="32" style="319" bestFit="1" customWidth="1"/>
    <col min="9223" max="9223" width="14.5703125" style="319" bestFit="1" customWidth="1"/>
    <col min="9224" max="9224" width="12.42578125" style="319" bestFit="1" customWidth="1"/>
    <col min="9225" max="9225" width="51.28515625" style="319" bestFit="1" customWidth="1"/>
    <col min="9226" max="9226" width="14.85546875" style="319" bestFit="1" customWidth="1"/>
    <col min="9227" max="9227" width="25" style="319" bestFit="1" customWidth="1"/>
    <col min="9228" max="9229" width="12.28515625" style="319" bestFit="1" customWidth="1"/>
    <col min="9230" max="9230" width="24.7109375" style="319" bestFit="1" customWidth="1"/>
    <col min="9231" max="9231" width="15" style="319" bestFit="1" customWidth="1"/>
    <col min="9232" max="9476" width="9.140625" style="319"/>
    <col min="9477" max="9477" width="6.42578125" style="319" bestFit="1" customWidth="1"/>
    <col min="9478" max="9478" width="32" style="319" bestFit="1" customWidth="1"/>
    <col min="9479" max="9479" width="14.5703125" style="319" bestFit="1" customWidth="1"/>
    <col min="9480" max="9480" width="12.42578125" style="319" bestFit="1" customWidth="1"/>
    <col min="9481" max="9481" width="51.28515625" style="319" bestFit="1" customWidth="1"/>
    <col min="9482" max="9482" width="14.85546875" style="319" bestFit="1" customWidth="1"/>
    <col min="9483" max="9483" width="25" style="319" bestFit="1" customWidth="1"/>
    <col min="9484" max="9485" width="12.28515625" style="319" bestFit="1" customWidth="1"/>
    <col min="9486" max="9486" width="24.7109375" style="319" bestFit="1" customWidth="1"/>
    <col min="9487" max="9487" width="15" style="319" bestFit="1" customWidth="1"/>
    <col min="9488" max="9732" width="9.140625" style="319"/>
    <col min="9733" max="9733" width="6.42578125" style="319" bestFit="1" customWidth="1"/>
    <col min="9734" max="9734" width="32" style="319" bestFit="1" customWidth="1"/>
    <col min="9735" max="9735" width="14.5703125" style="319" bestFit="1" customWidth="1"/>
    <col min="9736" max="9736" width="12.42578125" style="319" bestFit="1" customWidth="1"/>
    <col min="9737" max="9737" width="51.28515625" style="319" bestFit="1" customWidth="1"/>
    <col min="9738" max="9738" width="14.85546875" style="319" bestFit="1" customWidth="1"/>
    <col min="9739" max="9739" width="25" style="319" bestFit="1" customWidth="1"/>
    <col min="9740" max="9741" width="12.28515625" style="319" bestFit="1" customWidth="1"/>
    <col min="9742" max="9742" width="24.7109375" style="319" bestFit="1" customWidth="1"/>
    <col min="9743" max="9743" width="15" style="319" bestFit="1" customWidth="1"/>
    <col min="9744" max="9988" width="9.140625" style="319"/>
    <col min="9989" max="9989" width="6.42578125" style="319" bestFit="1" customWidth="1"/>
    <col min="9990" max="9990" width="32" style="319" bestFit="1" customWidth="1"/>
    <col min="9991" max="9991" width="14.5703125" style="319" bestFit="1" customWidth="1"/>
    <col min="9992" max="9992" width="12.42578125" style="319" bestFit="1" customWidth="1"/>
    <col min="9993" max="9993" width="51.28515625" style="319" bestFit="1" customWidth="1"/>
    <col min="9994" max="9994" width="14.85546875" style="319" bestFit="1" customWidth="1"/>
    <col min="9995" max="9995" width="25" style="319" bestFit="1" customWidth="1"/>
    <col min="9996" max="9997" width="12.28515625" style="319" bestFit="1" customWidth="1"/>
    <col min="9998" max="9998" width="24.7109375" style="319" bestFit="1" customWidth="1"/>
    <col min="9999" max="9999" width="15" style="319" bestFit="1" customWidth="1"/>
    <col min="10000" max="10244" width="9.140625" style="319"/>
    <col min="10245" max="10245" width="6.42578125" style="319" bestFit="1" customWidth="1"/>
    <col min="10246" max="10246" width="32" style="319" bestFit="1" customWidth="1"/>
    <col min="10247" max="10247" width="14.5703125" style="319" bestFit="1" customWidth="1"/>
    <col min="10248" max="10248" width="12.42578125" style="319" bestFit="1" customWidth="1"/>
    <col min="10249" max="10249" width="51.28515625" style="319" bestFit="1" customWidth="1"/>
    <col min="10250" max="10250" width="14.85546875" style="319" bestFit="1" customWidth="1"/>
    <col min="10251" max="10251" width="25" style="319" bestFit="1" customWidth="1"/>
    <col min="10252" max="10253" width="12.28515625" style="319" bestFit="1" customWidth="1"/>
    <col min="10254" max="10254" width="24.7109375" style="319" bestFit="1" customWidth="1"/>
    <col min="10255" max="10255" width="15" style="319" bestFit="1" customWidth="1"/>
    <col min="10256" max="10500" width="9.140625" style="319"/>
    <col min="10501" max="10501" width="6.42578125" style="319" bestFit="1" customWidth="1"/>
    <col min="10502" max="10502" width="32" style="319" bestFit="1" customWidth="1"/>
    <col min="10503" max="10503" width="14.5703125" style="319" bestFit="1" customWidth="1"/>
    <col min="10504" max="10504" width="12.42578125" style="319" bestFit="1" customWidth="1"/>
    <col min="10505" max="10505" width="51.28515625" style="319" bestFit="1" customWidth="1"/>
    <col min="10506" max="10506" width="14.85546875" style="319" bestFit="1" customWidth="1"/>
    <col min="10507" max="10507" width="25" style="319" bestFit="1" customWidth="1"/>
    <col min="10508" max="10509" width="12.28515625" style="319" bestFit="1" customWidth="1"/>
    <col min="10510" max="10510" width="24.7109375" style="319" bestFit="1" customWidth="1"/>
    <col min="10511" max="10511" width="15" style="319" bestFit="1" customWidth="1"/>
    <col min="10512" max="10756" width="9.140625" style="319"/>
    <col min="10757" max="10757" width="6.42578125" style="319" bestFit="1" customWidth="1"/>
    <col min="10758" max="10758" width="32" style="319" bestFit="1" customWidth="1"/>
    <col min="10759" max="10759" width="14.5703125" style="319" bestFit="1" customWidth="1"/>
    <col min="10760" max="10760" width="12.42578125" style="319" bestFit="1" customWidth="1"/>
    <col min="10761" max="10761" width="51.28515625" style="319" bestFit="1" customWidth="1"/>
    <col min="10762" max="10762" width="14.85546875" style="319" bestFit="1" customWidth="1"/>
    <col min="10763" max="10763" width="25" style="319" bestFit="1" customWidth="1"/>
    <col min="10764" max="10765" width="12.28515625" style="319" bestFit="1" customWidth="1"/>
    <col min="10766" max="10766" width="24.7109375" style="319" bestFit="1" customWidth="1"/>
    <col min="10767" max="10767" width="15" style="319" bestFit="1" customWidth="1"/>
    <col min="10768" max="11012" width="9.140625" style="319"/>
    <col min="11013" max="11013" width="6.42578125" style="319" bestFit="1" customWidth="1"/>
    <col min="11014" max="11014" width="32" style="319" bestFit="1" customWidth="1"/>
    <col min="11015" max="11015" width="14.5703125" style="319" bestFit="1" customWidth="1"/>
    <col min="11016" max="11016" width="12.42578125" style="319" bestFit="1" customWidth="1"/>
    <col min="11017" max="11017" width="51.28515625" style="319" bestFit="1" customWidth="1"/>
    <col min="11018" max="11018" width="14.85546875" style="319" bestFit="1" customWidth="1"/>
    <col min="11019" max="11019" width="25" style="319" bestFit="1" customWidth="1"/>
    <col min="11020" max="11021" width="12.28515625" style="319" bestFit="1" customWidth="1"/>
    <col min="11022" max="11022" width="24.7109375" style="319" bestFit="1" customWidth="1"/>
    <col min="11023" max="11023" width="15" style="319" bestFit="1" customWidth="1"/>
    <col min="11024" max="11268" width="9.140625" style="319"/>
    <col min="11269" max="11269" width="6.42578125" style="319" bestFit="1" customWidth="1"/>
    <col min="11270" max="11270" width="32" style="319" bestFit="1" customWidth="1"/>
    <col min="11271" max="11271" width="14.5703125" style="319" bestFit="1" customWidth="1"/>
    <col min="11272" max="11272" width="12.42578125" style="319" bestFit="1" customWidth="1"/>
    <col min="11273" max="11273" width="51.28515625" style="319" bestFit="1" customWidth="1"/>
    <col min="11274" max="11274" width="14.85546875" style="319" bestFit="1" customWidth="1"/>
    <col min="11275" max="11275" width="25" style="319" bestFit="1" customWidth="1"/>
    <col min="11276" max="11277" width="12.28515625" style="319" bestFit="1" customWidth="1"/>
    <col min="11278" max="11278" width="24.7109375" style="319" bestFit="1" customWidth="1"/>
    <col min="11279" max="11279" width="15" style="319" bestFit="1" customWidth="1"/>
    <col min="11280" max="11524" width="9.140625" style="319"/>
    <col min="11525" max="11525" width="6.42578125" style="319" bestFit="1" customWidth="1"/>
    <col min="11526" max="11526" width="32" style="319" bestFit="1" customWidth="1"/>
    <col min="11527" max="11527" width="14.5703125" style="319" bestFit="1" customWidth="1"/>
    <col min="11528" max="11528" width="12.42578125" style="319" bestFit="1" customWidth="1"/>
    <col min="11529" max="11529" width="51.28515625" style="319" bestFit="1" customWidth="1"/>
    <col min="11530" max="11530" width="14.85546875" style="319" bestFit="1" customWidth="1"/>
    <col min="11531" max="11531" width="25" style="319" bestFit="1" customWidth="1"/>
    <col min="11532" max="11533" width="12.28515625" style="319" bestFit="1" customWidth="1"/>
    <col min="11534" max="11534" width="24.7109375" style="319" bestFit="1" customWidth="1"/>
    <col min="11535" max="11535" width="15" style="319" bestFit="1" customWidth="1"/>
    <col min="11536" max="11780" width="9.140625" style="319"/>
    <col min="11781" max="11781" width="6.42578125" style="319" bestFit="1" customWidth="1"/>
    <col min="11782" max="11782" width="32" style="319" bestFit="1" customWidth="1"/>
    <col min="11783" max="11783" width="14.5703125" style="319" bestFit="1" customWidth="1"/>
    <col min="11784" max="11784" width="12.42578125" style="319" bestFit="1" customWidth="1"/>
    <col min="11785" max="11785" width="51.28515625" style="319" bestFit="1" customWidth="1"/>
    <col min="11786" max="11786" width="14.85546875" style="319" bestFit="1" customWidth="1"/>
    <col min="11787" max="11787" width="25" style="319" bestFit="1" customWidth="1"/>
    <col min="11788" max="11789" width="12.28515625" style="319" bestFit="1" customWidth="1"/>
    <col min="11790" max="11790" width="24.7109375" style="319" bestFit="1" customWidth="1"/>
    <col min="11791" max="11791" width="15" style="319" bestFit="1" customWidth="1"/>
    <col min="11792" max="12036" width="9.140625" style="319"/>
    <col min="12037" max="12037" width="6.42578125" style="319" bestFit="1" customWidth="1"/>
    <col min="12038" max="12038" width="32" style="319" bestFit="1" customWidth="1"/>
    <col min="12039" max="12039" width="14.5703125" style="319" bestFit="1" customWidth="1"/>
    <col min="12040" max="12040" width="12.42578125" style="319" bestFit="1" customWidth="1"/>
    <col min="12041" max="12041" width="51.28515625" style="319" bestFit="1" customWidth="1"/>
    <col min="12042" max="12042" width="14.85546875" style="319" bestFit="1" customWidth="1"/>
    <col min="12043" max="12043" width="25" style="319" bestFit="1" customWidth="1"/>
    <col min="12044" max="12045" width="12.28515625" style="319" bestFit="1" customWidth="1"/>
    <col min="12046" max="12046" width="24.7109375" style="319" bestFit="1" customWidth="1"/>
    <col min="12047" max="12047" width="15" style="319" bestFit="1" customWidth="1"/>
    <col min="12048" max="12292" width="9.140625" style="319"/>
    <col min="12293" max="12293" width="6.42578125" style="319" bestFit="1" customWidth="1"/>
    <col min="12294" max="12294" width="32" style="319" bestFit="1" customWidth="1"/>
    <col min="12295" max="12295" width="14.5703125" style="319" bestFit="1" customWidth="1"/>
    <col min="12296" max="12296" width="12.42578125" style="319" bestFit="1" customWidth="1"/>
    <col min="12297" max="12297" width="51.28515625" style="319" bestFit="1" customWidth="1"/>
    <col min="12298" max="12298" width="14.85546875" style="319" bestFit="1" customWidth="1"/>
    <col min="12299" max="12299" width="25" style="319" bestFit="1" customWidth="1"/>
    <col min="12300" max="12301" width="12.28515625" style="319" bestFit="1" customWidth="1"/>
    <col min="12302" max="12302" width="24.7109375" style="319" bestFit="1" customWidth="1"/>
    <col min="12303" max="12303" width="15" style="319" bestFit="1" customWidth="1"/>
    <col min="12304" max="12548" width="9.140625" style="319"/>
    <col min="12549" max="12549" width="6.42578125" style="319" bestFit="1" customWidth="1"/>
    <col min="12550" max="12550" width="32" style="319" bestFit="1" customWidth="1"/>
    <col min="12551" max="12551" width="14.5703125" style="319" bestFit="1" customWidth="1"/>
    <col min="12552" max="12552" width="12.42578125" style="319" bestFit="1" customWidth="1"/>
    <col min="12553" max="12553" width="51.28515625" style="319" bestFit="1" customWidth="1"/>
    <col min="12554" max="12554" width="14.85546875" style="319" bestFit="1" customWidth="1"/>
    <col min="12555" max="12555" width="25" style="319" bestFit="1" customWidth="1"/>
    <col min="12556" max="12557" width="12.28515625" style="319" bestFit="1" customWidth="1"/>
    <col min="12558" max="12558" width="24.7109375" style="319" bestFit="1" customWidth="1"/>
    <col min="12559" max="12559" width="15" style="319" bestFit="1" customWidth="1"/>
    <col min="12560" max="12804" width="9.140625" style="319"/>
    <col min="12805" max="12805" width="6.42578125" style="319" bestFit="1" customWidth="1"/>
    <col min="12806" max="12806" width="32" style="319" bestFit="1" customWidth="1"/>
    <col min="12807" max="12807" width="14.5703125" style="319" bestFit="1" customWidth="1"/>
    <col min="12808" max="12808" width="12.42578125" style="319" bestFit="1" customWidth="1"/>
    <col min="12809" max="12809" width="51.28515625" style="319" bestFit="1" customWidth="1"/>
    <col min="12810" max="12810" width="14.85546875" style="319" bestFit="1" customWidth="1"/>
    <col min="12811" max="12811" width="25" style="319" bestFit="1" customWidth="1"/>
    <col min="12812" max="12813" width="12.28515625" style="319" bestFit="1" customWidth="1"/>
    <col min="12814" max="12814" width="24.7109375" style="319" bestFit="1" customWidth="1"/>
    <col min="12815" max="12815" width="15" style="319" bestFit="1" customWidth="1"/>
    <col min="12816" max="13060" width="9.140625" style="319"/>
    <col min="13061" max="13061" width="6.42578125" style="319" bestFit="1" customWidth="1"/>
    <col min="13062" max="13062" width="32" style="319" bestFit="1" customWidth="1"/>
    <col min="13063" max="13063" width="14.5703125" style="319" bestFit="1" customWidth="1"/>
    <col min="13064" max="13064" width="12.42578125" style="319" bestFit="1" customWidth="1"/>
    <col min="13065" max="13065" width="51.28515625" style="319" bestFit="1" customWidth="1"/>
    <col min="13066" max="13066" width="14.85546875" style="319" bestFit="1" customWidth="1"/>
    <col min="13067" max="13067" width="25" style="319" bestFit="1" customWidth="1"/>
    <col min="13068" max="13069" width="12.28515625" style="319" bestFit="1" customWidth="1"/>
    <col min="13070" max="13070" width="24.7109375" style="319" bestFit="1" customWidth="1"/>
    <col min="13071" max="13071" width="15" style="319" bestFit="1" customWidth="1"/>
    <col min="13072" max="13316" width="9.140625" style="319"/>
    <col min="13317" max="13317" width="6.42578125" style="319" bestFit="1" customWidth="1"/>
    <col min="13318" max="13318" width="32" style="319" bestFit="1" customWidth="1"/>
    <col min="13319" max="13319" width="14.5703125" style="319" bestFit="1" customWidth="1"/>
    <col min="13320" max="13320" width="12.42578125" style="319" bestFit="1" customWidth="1"/>
    <col min="13321" max="13321" width="51.28515625" style="319" bestFit="1" customWidth="1"/>
    <col min="13322" max="13322" width="14.85546875" style="319" bestFit="1" customWidth="1"/>
    <col min="13323" max="13323" width="25" style="319" bestFit="1" customWidth="1"/>
    <col min="13324" max="13325" width="12.28515625" style="319" bestFit="1" customWidth="1"/>
    <col min="13326" max="13326" width="24.7109375" style="319" bestFit="1" customWidth="1"/>
    <col min="13327" max="13327" width="15" style="319" bestFit="1" customWidth="1"/>
    <col min="13328" max="13572" width="9.140625" style="319"/>
    <col min="13573" max="13573" width="6.42578125" style="319" bestFit="1" customWidth="1"/>
    <col min="13574" max="13574" width="32" style="319" bestFit="1" customWidth="1"/>
    <col min="13575" max="13575" width="14.5703125" style="319" bestFit="1" customWidth="1"/>
    <col min="13576" max="13576" width="12.42578125" style="319" bestFit="1" customWidth="1"/>
    <col min="13577" max="13577" width="51.28515625" style="319" bestFit="1" customWidth="1"/>
    <col min="13578" max="13578" width="14.85546875" style="319" bestFit="1" customWidth="1"/>
    <col min="13579" max="13579" width="25" style="319" bestFit="1" customWidth="1"/>
    <col min="13580" max="13581" width="12.28515625" style="319" bestFit="1" customWidth="1"/>
    <col min="13582" max="13582" width="24.7109375" style="319" bestFit="1" customWidth="1"/>
    <col min="13583" max="13583" width="15" style="319" bestFit="1" customWidth="1"/>
    <col min="13584" max="13828" width="9.140625" style="319"/>
    <col min="13829" max="13829" width="6.42578125" style="319" bestFit="1" customWidth="1"/>
    <col min="13830" max="13830" width="32" style="319" bestFit="1" customWidth="1"/>
    <col min="13831" max="13831" width="14.5703125" style="319" bestFit="1" customWidth="1"/>
    <col min="13832" max="13832" width="12.42578125" style="319" bestFit="1" customWidth="1"/>
    <col min="13833" max="13833" width="51.28515625" style="319" bestFit="1" customWidth="1"/>
    <col min="13834" max="13834" width="14.85546875" style="319" bestFit="1" customWidth="1"/>
    <col min="13835" max="13835" width="25" style="319" bestFit="1" customWidth="1"/>
    <col min="13836" max="13837" width="12.28515625" style="319" bestFit="1" customWidth="1"/>
    <col min="13838" max="13838" width="24.7109375" style="319" bestFit="1" customWidth="1"/>
    <col min="13839" max="13839" width="15" style="319" bestFit="1" customWidth="1"/>
    <col min="13840" max="14084" width="9.140625" style="319"/>
    <col min="14085" max="14085" width="6.42578125" style="319" bestFit="1" customWidth="1"/>
    <col min="14086" max="14086" width="32" style="319" bestFit="1" customWidth="1"/>
    <col min="14087" max="14087" width="14.5703125" style="319" bestFit="1" customWidth="1"/>
    <col min="14088" max="14088" width="12.42578125" style="319" bestFit="1" customWidth="1"/>
    <col min="14089" max="14089" width="51.28515625" style="319" bestFit="1" customWidth="1"/>
    <col min="14090" max="14090" width="14.85546875" style="319" bestFit="1" customWidth="1"/>
    <col min="14091" max="14091" width="25" style="319" bestFit="1" customWidth="1"/>
    <col min="14092" max="14093" width="12.28515625" style="319" bestFit="1" customWidth="1"/>
    <col min="14094" max="14094" width="24.7109375" style="319" bestFit="1" customWidth="1"/>
    <col min="14095" max="14095" width="15" style="319" bestFit="1" customWidth="1"/>
    <col min="14096" max="14340" width="9.140625" style="319"/>
    <col min="14341" max="14341" width="6.42578125" style="319" bestFit="1" customWidth="1"/>
    <col min="14342" max="14342" width="32" style="319" bestFit="1" customWidth="1"/>
    <col min="14343" max="14343" width="14.5703125" style="319" bestFit="1" customWidth="1"/>
    <col min="14344" max="14344" width="12.42578125" style="319" bestFit="1" customWidth="1"/>
    <col min="14345" max="14345" width="51.28515625" style="319" bestFit="1" customWidth="1"/>
    <col min="14346" max="14346" width="14.85546875" style="319" bestFit="1" customWidth="1"/>
    <col min="14347" max="14347" width="25" style="319" bestFit="1" customWidth="1"/>
    <col min="14348" max="14349" width="12.28515625" style="319" bestFit="1" customWidth="1"/>
    <col min="14350" max="14350" width="24.7109375" style="319" bestFit="1" customWidth="1"/>
    <col min="14351" max="14351" width="15" style="319" bestFit="1" customWidth="1"/>
    <col min="14352" max="14596" width="9.140625" style="319"/>
    <col min="14597" max="14597" width="6.42578125" style="319" bestFit="1" customWidth="1"/>
    <col min="14598" max="14598" width="32" style="319" bestFit="1" customWidth="1"/>
    <col min="14599" max="14599" width="14.5703125" style="319" bestFit="1" customWidth="1"/>
    <col min="14600" max="14600" width="12.42578125" style="319" bestFit="1" customWidth="1"/>
    <col min="14601" max="14601" width="51.28515625" style="319" bestFit="1" customWidth="1"/>
    <col min="14602" max="14602" width="14.85546875" style="319" bestFit="1" customWidth="1"/>
    <col min="14603" max="14603" width="25" style="319" bestFit="1" customWidth="1"/>
    <col min="14604" max="14605" width="12.28515625" style="319" bestFit="1" customWidth="1"/>
    <col min="14606" max="14606" width="24.7109375" style="319" bestFit="1" customWidth="1"/>
    <col min="14607" max="14607" width="15" style="319" bestFit="1" customWidth="1"/>
    <col min="14608" max="14852" width="9.140625" style="319"/>
    <col min="14853" max="14853" width="6.42578125" style="319" bestFit="1" customWidth="1"/>
    <col min="14854" max="14854" width="32" style="319" bestFit="1" customWidth="1"/>
    <col min="14855" max="14855" width="14.5703125" style="319" bestFit="1" customWidth="1"/>
    <col min="14856" max="14856" width="12.42578125" style="319" bestFit="1" customWidth="1"/>
    <col min="14857" max="14857" width="51.28515625" style="319" bestFit="1" customWidth="1"/>
    <col min="14858" max="14858" width="14.85546875" style="319" bestFit="1" customWidth="1"/>
    <col min="14859" max="14859" width="25" style="319" bestFit="1" customWidth="1"/>
    <col min="14860" max="14861" width="12.28515625" style="319" bestFit="1" customWidth="1"/>
    <col min="14862" max="14862" width="24.7109375" style="319" bestFit="1" customWidth="1"/>
    <col min="14863" max="14863" width="15" style="319" bestFit="1" customWidth="1"/>
    <col min="14864" max="15108" width="9.140625" style="319"/>
    <col min="15109" max="15109" width="6.42578125" style="319" bestFit="1" customWidth="1"/>
    <col min="15110" max="15110" width="32" style="319" bestFit="1" customWidth="1"/>
    <col min="15111" max="15111" width="14.5703125" style="319" bestFit="1" customWidth="1"/>
    <col min="15112" max="15112" width="12.42578125" style="319" bestFit="1" customWidth="1"/>
    <col min="15113" max="15113" width="51.28515625" style="319" bestFit="1" customWidth="1"/>
    <col min="15114" max="15114" width="14.85546875" style="319" bestFit="1" customWidth="1"/>
    <col min="15115" max="15115" width="25" style="319" bestFit="1" customWidth="1"/>
    <col min="15116" max="15117" width="12.28515625" style="319" bestFit="1" customWidth="1"/>
    <col min="15118" max="15118" width="24.7109375" style="319" bestFit="1" customWidth="1"/>
    <col min="15119" max="15119" width="15" style="319" bestFit="1" customWidth="1"/>
    <col min="15120" max="15364" width="9.140625" style="319"/>
    <col min="15365" max="15365" width="6.42578125" style="319" bestFit="1" customWidth="1"/>
    <col min="15366" max="15366" width="32" style="319" bestFit="1" customWidth="1"/>
    <col min="15367" max="15367" width="14.5703125" style="319" bestFit="1" customWidth="1"/>
    <col min="15368" max="15368" width="12.42578125" style="319" bestFit="1" customWidth="1"/>
    <col min="15369" max="15369" width="51.28515625" style="319" bestFit="1" customWidth="1"/>
    <col min="15370" max="15370" width="14.85546875" style="319" bestFit="1" customWidth="1"/>
    <col min="15371" max="15371" width="25" style="319" bestFit="1" customWidth="1"/>
    <col min="15372" max="15373" width="12.28515625" style="319" bestFit="1" customWidth="1"/>
    <col min="15374" max="15374" width="24.7109375" style="319" bestFit="1" customWidth="1"/>
    <col min="15375" max="15375" width="15" style="319" bestFit="1" customWidth="1"/>
    <col min="15376" max="15620" width="9.140625" style="319"/>
    <col min="15621" max="15621" width="6.42578125" style="319" bestFit="1" customWidth="1"/>
    <col min="15622" max="15622" width="32" style="319" bestFit="1" customWidth="1"/>
    <col min="15623" max="15623" width="14.5703125" style="319" bestFit="1" customWidth="1"/>
    <col min="15624" max="15624" width="12.42578125" style="319" bestFit="1" customWidth="1"/>
    <col min="15625" max="15625" width="51.28515625" style="319" bestFit="1" customWidth="1"/>
    <col min="15626" max="15626" width="14.85546875" style="319" bestFit="1" customWidth="1"/>
    <col min="15627" max="15627" width="25" style="319" bestFit="1" customWidth="1"/>
    <col min="15628" max="15629" width="12.28515625" style="319" bestFit="1" customWidth="1"/>
    <col min="15630" max="15630" width="24.7109375" style="319" bestFit="1" customWidth="1"/>
    <col min="15631" max="15631" width="15" style="319" bestFit="1" customWidth="1"/>
    <col min="15632" max="15876" width="9.140625" style="319"/>
    <col min="15877" max="15877" width="6.42578125" style="319" bestFit="1" customWidth="1"/>
    <col min="15878" max="15878" width="32" style="319" bestFit="1" customWidth="1"/>
    <col min="15879" max="15879" width="14.5703125" style="319" bestFit="1" customWidth="1"/>
    <col min="15880" max="15880" width="12.42578125" style="319" bestFit="1" customWidth="1"/>
    <col min="15881" max="15881" width="51.28515625" style="319" bestFit="1" customWidth="1"/>
    <col min="15882" max="15882" width="14.85546875" style="319" bestFit="1" customWidth="1"/>
    <col min="15883" max="15883" width="25" style="319" bestFit="1" customWidth="1"/>
    <col min="15884" max="15885" width="12.28515625" style="319" bestFit="1" customWidth="1"/>
    <col min="15886" max="15886" width="24.7109375" style="319" bestFit="1" customWidth="1"/>
    <col min="15887" max="15887" width="15" style="319" bestFit="1" customWidth="1"/>
    <col min="15888" max="16132" width="9.140625" style="319"/>
    <col min="16133" max="16133" width="6.42578125" style="319" bestFit="1" customWidth="1"/>
    <col min="16134" max="16134" width="32" style="319" bestFit="1" customWidth="1"/>
    <col min="16135" max="16135" width="14.5703125" style="319" bestFit="1" customWidth="1"/>
    <col min="16136" max="16136" width="12.42578125" style="319" bestFit="1" customWidth="1"/>
    <col min="16137" max="16137" width="51.28515625" style="319" bestFit="1" customWidth="1"/>
    <col min="16138" max="16138" width="14.85546875" style="319" bestFit="1" customWidth="1"/>
    <col min="16139" max="16139" width="25" style="319" bestFit="1" customWidth="1"/>
    <col min="16140" max="16141" width="12.28515625" style="319" bestFit="1" customWidth="1"/>
    <col min="16142" max="16142" width="24.7109375" style="319" bestFit="1" customWidth="1"/>
    <col min="16143" max="16143" width="15" style="319" bestFit="1" customWidth="1"/>
    <col min="16144" max="16384" width="9.140625" style="319"/>
  </cols>
  <sheetData>
    <row r="1" spans="1:15" x14ac:dyDescent="0.55000000000000004">
      <c r="A1" s="1278" t="s">
        <v>82</v>
      </c>
      <c r="B1" s="1278"/>
      <c r="C1" s="1278"/>
      <c r="D1" s="1278"/>
      <c r="E1" s="1278"/>
      <c r="F1" s="1278"/>
      <c r="G1" s="1278"/>
      <c r="H1" s="1278"/>
      <c r="I1" s="1278"/>
      <c r="J1" s="1278"/>
      <c r="K1" s="1278"/>
    </row>
    <row r="2" spans="1:15" x14ac:dyDescent="0.55000000000000004">
      <c r="A2" s="1278" t="s">
        <v>665</v>
      </c>
      <c r="B2" s="1278"/>
      <c r="C2" s="1278"/>
      <c r="D2" s="1278"/>
      <c r="E2" s="1278"/>
      <c r="F2" s="1278"/>
      <c r="G2" s="1278"/>
      <c r="H2" s="1278"/>
      <c r="I2" s="1278"/>
      <c r="J2" s="1278"/>
      <c r="K2" s="1278"/>
    </row>
    <row r="3" spans="1:15" x14ac:dyDescent="0.55000000000000004">
      <c r="A3" s="1279" t="s">
        <v>657</v>
      </c>
      <c r="B3" s="1279"/>
      <c r="C3" s="1279"/>
      <c r="D3" s="1279"/>
      <c r="E3" s="1279"/>
      <c r="F3" s="1279"/>
      <c r="G3" s="1279"/>
      <c r="H3" s="1279"/>
      <c r="I3" s="1279"/>
      <c r="J3" s="1279"/>
      <c r="K3" s="1279"/>
    </row>
    <row r="4" spans="1:15" s="324" customFormat="1" ht="23.25" x14ac:dyDescent="0.5">
      <c r="A4" s="331" t="s">
        <v>0</v>
      </c>
      <c r="B4" s="1280" t="s">
        <v>500</v>
      </c>
      <c r="C4" s="1280" t="s">
        <v>501</v>
      </c>
      <c r="D4" s="1280" t="s">
        <v>651</v>
      </c>
      <c r="E4" s="1281" t="s">
        <v>179</v>
      </c>
      <c r="F4" s="1280" t="s">
        <v>502</v>
      </c>
      <c r="G4" s="1282" t="s">
        <v>426</v>
      </c>
      <c r="H4" s="1283" t="s">
        <v>503</v>
      </c>
      <c r="I4" s="331" t="s">
        <v>17</v>
      </c>
      <c r="J4" s="1283" t="s">
        <v>661</v>
      </c>
      <c r="K4" s="331" t="s">
        <v>662</v>
      </c>
      <c r="L4" s="1273" t="s">
        <v>652</v>
      </c>
      <c r="M4" s="1273" t="s">
        <v>653</v>
      </c>
      <c r="N4" s="1273" t="s">
        <v>654</v>
      </c>
      <c r="O4" s="324" t="s">
        <v>504</v>
      </c>
    </row>
    <row r="5" spans="1:15" s="324" customFormat="1" ht="23.25" x14ac:dyDescent="0.5">
      <c r="A5" s="332" t="s">
        <v>58</v>
      </c>
      <c r="B5" s="1280"/>
      <c r="C5" s="1280"/>
      <c r="D5" s="1280"/>
      <c r="E5" s="1281"/>
      <c r="F5" s="1280"/>
      <c r="G5" s="1282"/>
      <c r="H5" s="1284"/>
      <c r="I5" s="332" t="s">
        <v>660</v>
      </c>
      <c r="J5" s="1284"/>
      <c r="K5" s="332" t="s">
        <v>83</v>
      </c>
      <c r="L5" s="1274"/>
      <c r="M5" s="1274"/>
      <c r="N5" s="1274"/>
    </row>
    <row r="6" spans="1:15" s="324" customFormat="1" ht="23.25" x14ac:dyDescent="0.5">
      <c r="A6" s="341">
        <v>1</v>
      </c>
      <c r="B6" s="333" t="s">
        <v>532</v>
      </c>
      <c r="C6" s="341">
        <v>1600600711</v>
      </c>
      <c r="D6" s="341" t="s">
        <v>14</v>
      </c>
      <c r="E6" s="266" t="s">
        <v>638</v>
      </c>
      <c r="F6" s="341">
        <v>7015264822</v>
      </c>
      <c r="G6" s="334" t="s">
        <v>655</v>
      </c>
      <c r="H6" s="256">
        <v>204000</v>
      </c>
      <c r="I6" s="335">
        <v>0</v>
      </c>
      <c r="J6" s="336">
        <f>+H6-I6</f>
        <v>204000</v>
      </c>
      <c r="K6" s="338">
        <f>+I6*100/H6</f>
        <v>0</v>
      </c>
      <c r="L6" s="326" t="s">
        <v>533</v>
      </c>
      <c r="M6" s="325" t="s">
        <v>534</v>
      </c>
      <c r="N6" s="325" t="s">
        <v>527</v>
      </c>
      <c r="O6" s="325" t="s">
        <v>535</v>
      </c>
    </row>
    <row r="7" spans="1:15" s="324" customFormat="1" ht="23.25" x14ac:dyDescent="0.5">
      <c r="A7" s="341">
        <v>2</v>
      </c>
      <c r="B7" s="333" t="s">
        <v>532</v>
      </c>
      <c r="C7" s="341">
        <v>1600600711</v>
      </c>
      <c r="D7" s="341" t="s">
        <v>14</v>
      </c>
      <c r="E7" s="266" t="s">
        <v>638</v>
      </c>
      <c r="F7" s="341">
        <v>7015272951</v>
      </c>
      <c r="G7" s="334" t="s">
        <v>656</v>
      </c>
      <c r="H7" s="256">
        <v>154404.6</v>
      </c>
      <c r="I7" s="335">
        <v>0</v>
      </c>
      <c r="J7" s="336">
        <f t="shared" ref="J7:J20" si="0">+H7-I7</f>
        <v>154404.6</v>
      </c>
      <c r="K7" s="338">
        <f t="shared" ref="K7:K44" si="1">+I7*100/H7</f>
        <v>0</v>
      </c>
      <c r="L7" s="326" t="s">
        <v>536</v>
      </c>
      <c r="M7" s="325" t="s">
        <v>526</v>
      </c>
      <c r="N7" s="325" t="s">
        <v>527</v>
      </c>
      <c r="O7" s="325" t="s">
        <v>537</v>
      </c>
    </row>
    <row r="8" spans="1:15" s="324" customFormat="1" ht="23.25" x14ac:dyDescent="0.5">
      <c r="A8" s="341">
        <v>3</v>
      </c>
      <c r="B8" s="333" t="s">
        <v>538</v>
      </c>
      <c r="C8" s="341">
        <v>1600600013</v>
      </c>
      <c r="D8" s="341" t="s">
        <v>14</v>
      </c>
      <c r="E8" s="266" t="s">
        <v>638</v>
      </c>
      <c r="F8" s="341">
        <v>7014896495</v>
      </c>
      <c r="G8" s="299" t="s">
        <v>539</v>
      </c>
      <c r="H8" s="256">
        <v>2782</v>
      </c>
      <c r="I8" s="335">
        <v>0</v>
      </c>
      <c r="J8" s="336">
        <f t="shared" si="0"/>
        <v>2782</v>
      </c>
      <c r="K8" s="338">
        <f t="shared" si="1"/>
        <v>0</v>
      </c>
      <c r="L8" s="326" t="s">
        <v>540</v>
      </c>
      <c r="M8" s="325" t="s">
        <v>541</v>
      </c>
      <c r="N8" s="325" t="s">
        <v>525</v>
      </c>
      <c r="O8" s="325" t="s">
        <v>542</v>
      </c>
    </row>
    <row r="9" spans="1:15" s="324" customFormat="1" ht="23.25" x14ac:dyDescent="0.5">
      <c r="A9" s="341">
        <v>4</v>
      </c>
      <c r="B9" s="333" t="s">
        <v>543</v>
      </c>
      <c r="C9" s="341">
        <v>1600600453</v>
      </c>
      <c r="D9" s="341" t="s">
        <v>14</v>
      </c>
      <c r="E9" s="266" t="s">
        <v>638</v>
      </c>
      <c r="F9" s="341">
        <v>7015155496</v>
      </c>
      <c r="G9" s="299" t="s">
        <v>650</v>
      </c>
      <c r="H9" s="256">
        <v>17983</v>
      </c>
      <c r="I9" s="335">
        <v>0</v>
      </c>
      <c r="J9" s="336">
        <f t="shared" si="0"/>
        <v>17983</v>
      </c>
      <c r="K9" s="338">
        <f t="shared" si="1"/>
        <v>0</v>
      </c>
      <c r="L9" s="326" t="s">
        <v>544</v>
      </c>
      <c r="M9" s="325" t="s">
        <v>545</v>
      </c>
      <c r="N9" s="325" t="s">
        <v>546</v>
      </c>
      <c r="O9" s="325" t="s">
        <v>547</v>
      </c>
    </row>
    <row r="10" spans="1:15" s="324" customFormat="1" ht="23.25" x14ac:dyDescent="0.5">
      <c r="A10" s="341">
        <v>5</v>
      </c>
      <c r="B10" s="333" t="s">
        <v>559</v>
      </c>
      <c r="C10" s="341">
        <v>1600600220</v>
      </c>
      <c r="D10" s="341" t="s">
        <v>14</v>
      </c>
      <c r="E10" s="266" t="s">
        <v>638</v>
      </c>
      <c r="F10" s="341">
        <v>2000459990</v>
      </c>
      <c r="G10" s="299" t="s">
        <v>304</v>
      </c>
      <c r="H10" s="256">
        <v>55800</v>
      </c>
      <c r="I10" s="335">
        <v>0</v>
      </c>
      <c r="J10" s="336">
        <f t="shared" si="0"/>
        <v>55800</v>
      </c>
      <c r="K10" s="338">
        <f t="shared" si="1"/>
        <v>0</v>
      </c>
      <c r="L10" s="326" t="s">
        <v>560</v>
      </c>
      <c r="M10" s="325" t="s">
        <v>561</v>
      </c>
      <c r="N10" s="325" t="s">
        <v>527</v>
      </c>
      <c r="O10" s="325" t="s">
        <v>562</v>
      </c>
    </row>
    <row r="11" spans="1:15" s="324" customFormat="1" ht="23.25" x14ac:dyDescent="0.5">
      <c r="A11" s="341">
        <v>6</v>
      </c>
      <c r="B11" s="333" t="s">
        <v>112</v>
      </c>
      <c r="C11" s="341">
        <v>1600699998</v>
      </c>
      <c r="D11" s="341" t="s">
        <v>14</v>
      </c>
      <c r="E11" s="266" t="s">
        <v>640</v>
      </c>
      <c r="F11" s="341">
        <v>7014096956</v>
      </c>
      <c r="G11" s="299" t="s">
        <v>305</v>
      </c>
      <c r="H11" s="256">
        <v>43000</v>
      </c>
      <c r="I11" s="335">
        <v>0</v>
      </c>
      <c r="J11" s="336">
        <f t="shared" si="0"/>
        <v>43000</v>
      </c>
      <c r="K11" s="338">
        <f t="shared" si="1"/>
        <v>0</v>
      </c>
      <c r="L11" s="326" t="s">
        <v>578</v>
      </c>
      <c r="M11" s="325" t="s">
        <v>579</v>
      </c>
      <c r="N11" s="325" t="s">
        <v>527</v>
      </c>
      <c r="O11" s="325" t="s">
        <v>580</v>
      </c>
    </row>
    <row r="12" spans="1:15" s="324" customFormat="1" ht="23.25" x14ac:dyDescent="0.5">
      <c r="A12" s="341">
        <v>7</v>
      </c>
      <c r="B12" s="333" t="s">
        <v>112</v>
      </c>
      <c r="C12" s="341">
        <v>1600699998</v>
      </c>
      <c r="D12" s="341" t="s">
        <v>14</v>
      </c>
      <c r="E12" s="266" t="s">
        <v>638</v>
      </c>
      <c r="F12" s="341">
        <v>7014150012</v>
      </c>
      <c r="G12" s="299" t="s">
        <v>649</v>
      </c>
      <c r="H12" s="256">
        <f>123750*3</f>
        <v>371250</v>
      </c>
      <c r="I12" s="335">
        <v>0</v>
      </c>
      <c r="J12" s="336">
        <f t="shared" si="0"/>
        <v>371250</v>
      </c>
      <c r="K12" s="338">
        <f t="shared" si="1"/>
        <v>0</v>
      </c>
      <c r="L12" s="326" t="s">
        <v>582</v>
      </c>
      <c r="M12" s="325" t="s">
        <v>583</v>
      </c>
      <c r="N12" s="325" t="s">
        <v>527</v>
      </c>
      <c r="O12" s="325" t="s">
        <v>584</v>
      </c>
    </row>
    <row r="13" spans="1:15" s="324" customFormat="1" ht="23.25" x14ac:dyDescent="0.5">
      <c r="A13" s="341">
        <v>8</v>
      </c>
      <c r="B13" s="333" t="s">
        <v>112</v>
      </c>
      <c r="C13" s="341">
        <v>1600699998</v>
      </c>
      <c r="D13" s="341" t="s">
        <v>14</v>
      </c>
      <c r="E13" s="266" t="s">
        <v>638</v>
      </c>
      <c r="F13" s="341">
        <v>7014299345</v>
      </c>
      <c r="G13" s="299" t="s">
        <v>648</v>
      </c>
      <c r="H13" s="256">
        <v>141240</v>
      </c>
      <c r="I13" s="335">
        <v>0</v>
      </c>
      <c r="J13" s="336">
        <f t="shared" si="0"/>
        <v>141240</v>
      </c>
      <c r="K13" s="338">
        <f t="shared" si="1"/>
        <v>0</v>
      </c>
      <c r="L13" s="326" t="s">
        <v>585</v>
      </c>
      <c r="M13" s="325" t="s">
        <v>586</v>
      </c>
      <c r="N13" s="325" t="s">
        <v>587</v>
      </c>
      <c r="O13" s="325" t="s">
        <v>588</v>
      </c>
    </row>
    <row r="14" spans="1:15" s="324" customFormat="1" ht="23.25" x14ac:dyDescent="0.5">
      <c r="A14" s="341">
        <v>9</v>
      </c>
      <c r="B14" s="333" t="s">
        <v>112</v>
      </c>
      <c r="C14" s="341">
        <v>1600699998</v>
      </c>
      <c r="D14" s="341" t="s">
        <v>14</v>
      </c>
      <c r="E14" s="266" t="s">
        <v>640</v>
      </c>
      <c r="F14" s="341">
        <v>7014665430</v>
      </c>
      <c r="G14" s="299" t="s">
        <v>305</v>
      </c>
      <c r="H14" s="256">
        <v>41810</v>
      </c>
      <c r="I14" s="335">
        <v>0</v>
      </c>
      <c r="J14" s="336">
        <f t="shared" si="0"/>
        <v>41810</v>
      </c>
      <c r="K14" s="338">
        <f t="shared" si="1"/>
        <v>0</v>
      </c>
      <c r="L14" s="326" t="s">
        <v>578</v>
      </c>
      <c r="M14" s="325" t="s">
        <v>589</v>
      </c>
      <c r="N14" s="325" t="s">
        <v>527</v>
      </c>
      <c r="O14" s="325" t="s">
        <v>580</v>
      </c>
    </row>
    <row r="15" spans="1:15" s="324" customFormat="1" ht="23.25" x14ac:dyDescent="0.5">
      <c r="A15" s="341">
        <v>10</v>
      </c>
      <c r="B15" s="333" t="s">
        <v>112</v>
      </c>
      <c r="C15" s="341">
        <v>1600600011</v>
      </c>
      <c r="D15" s="341" t="s">
        <v>14</v>
      </c>
      <c r="E15" s="266" t="s">
        <v>640</v>
      </c>
      <c r="F15" s="341">
        <v>7014733954</v>
      </c>
      <c r="G15" s="299" t="s">
        <v>595</v>
      </c>
      <c r="H15" s="256">
        <v>147660</v>
      </c>
      <c r="I15" s="335">
        <v>0</v>
      </c>
      <c r="J15" s="336">
        <f t="shared" si="0"/>
        <v>147660</v>
      </c>
      <c r="K15" s="338">
        <f t="shared" si="1"/>
        <v>0</v>
      </c>
      <c r="L15" s="326" t="s">
        <v>596</v>
      </c>
      <c r="M15" s="325" t="s">
        <v>597</v>
      </c>
      <c r="N15" s="325" t="s">
        <v>598</v>
      </c>
      <c r="O15" s="325" t="s">
        <v>599</v>
      </c>
    </row>
    <row r="16" spans="1:15" s="324" customFormat="1" ht="23.25" x14ac:dyDescent="0.5">
      <c r="A16" s="341">
        <v>11</v>
      </c>
      <c r="B16" s="333" t="s">
        <v>112</v>
      </c>
      <c r="C16" s="341">
        <v>1600600004</v>
      </c>
      <c r="D16" s="341" t="s">
        <v>14</v>
      </c>
      <c r="E16" s="266" t="s">
        <v>640</v>
      </c>
      <c r="F16" s="341">
        <v>7014789388</v>
      </c>
      <c r="G16" s="299" t="s">
        <v>647</v>
      </c>
      <c r="H16" s="256">
        <v>280730</v>
      </c>
      <c r="I16" s="335">
        <v>0</v>
      </c>
      <c r="J16" s="336">
        <f t="shared" si="0"/>
        <v>280730</v>
      </c>
      <c r="K16" s="338">
        <f t="shared" si="1"/>
        <v>0</v>
      </c>
      <c r="L16" s="326" t="s">
        <v>600</v>
      </c>
      <c r="M16" s="325" t="s">
        <v>513</v>
      </c>
      <c r="N16" s="325" t="s">
        <v>601</v>
      </c>
      <c r="O16" s="325" t="s">
        <v>602</v>
      </c>
    </row>
    <row r="17" spans="1:15" s="324" customFormat="1" ht="23.25" x14ac:dyDescent="0.5">
      <c r="A17" s="341">
        <v>12</v>
      </c>
      <c r="B17" s="333" t="s">
        <v>112</v>
      </c>
      <c r="C17" s="341">
        <v>1600600005</v>
      </c>
      <c r="D17" s="341" t="s">
        <v>14</v>
      </c>
      <c r="E17" s="266" t="s">
        <v>640</v>
      </c>
      <c r="F17" s="341">
        <v>7014934640</v>
      </c>
      <c r="G17" s="299" t="s">
        <v>605</v>
      </c>
      <c r="H17" s="256">
        <v>7500</v>
      </c>
      <c r="I17" s="335">
        <v>0</v>
      </c>
      <c r="J17" s="336">
        <f t="shared" si="0"/>
        <v>7500</v>
      </c>
      <c r="K17" s="338">
        <f t="shared" si="1"/>
        <v>0</v>
      </c>
      <c r="L17" s="326" t="s">
        <v>606</v>
      </c>
      <c r="M17" s="325" t="s">
        <v>548</v>
      </c>
      <c r="N17" s="325" t="s">
        <v>523</v>
      </c>
      <c r="O17" s="325" t="s">
        <v>581</v>
      </c>
    </row>
    <row r="18" spans="1:15" s="324" customFormat="1" ht="45.75" customHeight="1" x14ac:dyDescent="0.5">
      <c r="A18" s="341">
        <v>13</v>
      </c>
      <c r="B18" s="333" t="s">
        <v>112</v>
      </c>
      <c r="C18" s="341">
        <v>1600600006</v>
      </c>
      <c r="D18" s="341" t="s">
        <v>14</v>
      </c>
      <c r="E18" s="266" t="s">
        <v>640</v>
      </c>
      <c r="F18" s="341">
        <v>7015013787</v>
      </c>
      <c r="G18" s="299" t="s">
        <v>664</v>
      </c>
      <c r="H18" s="256">
        <v>799000</v>
      </c>
      <c r="I18" s="335">
        <v>0</v>
      </c>
      <c r="J18" s="336">
        <f t="shared" si="0"/>
        <v>799000</v>
      </c>
      <c r="K18" s="338">
        <f t="shared" si="1"/>
        <v>0</v>
      </c>
      <c r="L18" s="326" t="s">
        <v>603</v>
      </c>
      <c r="M18" s="325" t="s">
        <v>607</v>
      </c>
      <c r="N18" s="325" t="s">
        <v>608</v>
      </c>
      <c r="O18" s="325" t="s">
        <v>604</v>
      </c>
    </row>
    <row r="19" spans="1:15" s="324" customFormat="1" ht="23.25" x14ac:dyDescent="0.5">
      <c r="A19" s="341">
        <v>14</v>
      </c>
      <c r="B19" s="333" t="s">
        <v>112</v>
      </c>
      <c r="C19" s="341">
        <v>1600699998</v>
      </c>
      <c r="D19" s="341" t="s">
        <v>14</v>
      </c>
      <c r="E19" s="266" t="s">
        <v>640</v>
      </c>
      <c r="F19" s="341">
        <v>7015254174</v>
      </c>
      <c r="G19" s="299" t="s">
        <v>619</v>
      </c>
      <c r="H19" s="256">
        <v>5700000</v>
      </c>
      <c r="I19" s="335">
        <v>0</v>
      </c>
      <c r="J19" s="336">
        <f t="shared" si="0"/>
        <v>5700000</v>
      </c>
      <c r="K19" s="338">
        <f t="shared" si="1"/>
        <v>0</v>
      </c>
      <c r="L19" s="326" t="s">
        <v>578</v>
      </c>
      <c r="M19" s="325" t="s">
        <v>616</v>
      </c>
      <c r="N19" s="325" t="s">
        <v>620</v>
      </c>
      <c r="O19" s="325" t="s">
        <v>621</v>
      </c>
    </row>
    <row r="20" spans="1:15" s="324" customFormat="1" ht="23.25" x14ac:dyDescent="0.5">
      <c r="A20" s="341">
        <v>15</v>
      </c>
      <c r="B20" s="333" t="s">
        <v>112</v>
      </c>
      <c r="C20" s="341">
        <v>1600699998</v>
      </c>
      <c r="D20" s="341" t="s">
        <v>14</v>
      </c>
      <c r="E20" s="266" t="s">
        <v>638</v>
      </c>
      <c r="F20" s="341">
        <v>7015270833</v>
      </c>
      <c r="G20" s="299" t="s">
        <v>624</v>
      </c>
      <c r="H20" s="256">
        <v>5772752.96</v>
      </c>
      <c r="I20" s="335">
        <v>0</v>
      </c>
      <c r="J20" s="336">
        <f t="shared" si="0"/>
        <v>5772752.96</v>
      </c>
      <c r="K20" s="338">
        <f t="shared" si="1"/>
        <v>0</v>
      </c>
      <c r="L20" s="326" t="s">
        <v>625</v>
      </c>
      <c r="M20" s="325" t="s">
        <v>526</v>
      </c>
      <c r="N20" s="325" t="s">
        <v>610</v>
      </c>
      <c r="O20" s="325" t="s">
        <v>626</v>
      </c>
    </row>
    <row r="21" spans="1:15" s="329" customFormat="1" ht="23.25" x14ac:dyDescent="0.5">
      <c r="A21" s="1275" t="s">
        <v>658</v>
      </c>
      <c r="B21" s="1276"/>
      <c r="C21" s="1276"/>
      <c r="D21" s="1276"/>
      <c r="E21" s="1276"/>
      <c r="F21" s="1276"/>
      <c r="G21" s="1277"/>
      <c r="H21" s="337">
        <f>SUM(H6:H20)</f>
        <v>13739912.559999999</v>
      </c>
      <c r="I21" s="265">
        <f>SUM(I6:I20)</f>
        <v>0</v>
      </c>
      <c r="J21" s="337">
        <f>SUM(J6:J20)</f>
        <v>13739912.559999999</v>
      </c>
      <c r="K21" s="338">
        <f t="shared" si="1"/>
        <v>0</v>
      </c>
      <c r="L21" s="327"/>
      <c r="M21" s="328"/>
      <c r="N21" s="328"/>
      <c r="O21" s="328"/>
    </row>
    <row r="22" spans="1:15" s="324" customFormat="1" ht="23.25" x14ac:dyDescent="0.5">
      <c r="A22" s="341">
        <v>16</v>
      </c>
      <c r="B22" s="333" t="s">
        <v>505</v>
      </c>
      <c r="C22" s="341">
        <v>1600600046</v>
      </c>
      <c r="D22" s="341" t="s">
        <v>15</v>
      </c>
      <c r="E22" s="266" t="s">
        <v>433</v>
      </c>
      <c r="F22" s="341">
        <v>7014618240</v>
      </c>
      <c r="G22" s="299" t="s">
        <v>506</v>
      </c>
      <c r="H22" s="256">
        <v>2527500</v>
      </c>
      <c r="I22" s="335">
        <v>0</v>
      </c>
      <c r="J22" s="336">
        <f t="shared" ref="J22:J39" si="2">+H22-I22</f>
        <v>2527500</v>
      </c>
      <c r="K22" s="338">
        <f t="shared" si="1"/>
        <v>0</v>
      </c>
      <c r="L22" s="326" t="s">
        <v>507</v>
      </c>
      <c r="M22" s="325" t="s">
        <v>508</v>
      </c>
      <c r="N22" s="325" t="s">
        <v>509</v>
      </c>
      <c r="O22" s="325" t="s">
        <v>510</v>
      </c>
    </row>
    <row r="23" spans="1:15" s="324" customFormat="1" ht="23.25" x14ac:dyDescent="0.5">
      <c r="A23" s="341">
        <v>17</v>
      </c>
      <c r="B23" s="333" t="s">
        <v>511</v>
      </c>
      <c r="C23" s="341">
        <v>1600600052</v>
      </c>
      <c r="D23" s="341" t="s">
        <v>15</v>
      </c>
      <c r="E23" s="266" t="s">
        <v>434</v>
      </c>
      <c r="F23" s="341">
        <v>7014573620</v>
      </c>
      <c r="G23" s="299" t="s">
        <v>506</v>
      </c>
      <c r="H23" s="256">
        <v>3234000</v>
      </c>
      <c r="I23" s="335">
        <v>0</v>
      </c>
      <c r="J23" s="336">
        <f t="shared" si="2"/>
        <v>3234000</v>
      </c>
      <c r="K23" s="338">
        <f t="shared" si="1"/>
        <v>0</v>
      </c>
      <c r="L23" s="326" t="s">
        <v>512</v>
      </c>
      <c r="M23" s="325" t="s">
        <v>513</v>
      </c>
      <c r="N23" s="325" t="s">
        <v>514</v>
      </c>
      <c r="O23" s="325" t="s">
        <v>515</v>
      </c>
    </row>
    <row r="24" spans="1:15" s="324" customFormat="1" ht="23.25" x14ac:dyDescent="0.5">
      <c r="A24" s="341">
        <v>18</v>
      </c>
      <c r="B24" s="333" t="s">
        <v>516</v>
      </c>
      <c r="C24" s="341">
        <v>1600600058</v>
      </c>
      <c r="D24" s="341" t="s">
        <v>15</v>
      </c>
      <c r="E24" s="266" t="s">
        <v>435</v>
      </c>
      <c r="F24" s="341">
        <v>7014587703</v>
      </c>
      <c r="G24" s="299" t="s">
        <v>506</v>
      </c>
      <c r="H24" s="256">
        <v>2700000</v>
      </c>
      <c r="I24" s="335">
        <v>0</v>
      </c>
      <c r="J24" s="336">
        <f t="shared" si="2"/>
        <v>2700000</v>
      </c>
      <c r="K24" s="338">
        <f t="shared" si="1"/>
        <v>0</v>
      </c>
      <c r="L24" s="326" t="s">
        <v>517</v>
      </c>
      <c r="M24" s="325" t="s">
        <v>518</v>
      </c>
      <c r="N24" s="325" t="s">
        <v>519</v>
      </c>
      <c r="O24" s="325" t="s">
        <v>520</v>
      </c>
    </row>
    <row r="25" spans="1:15" s="324" customFormat="1" ht="23.25" x14ac:dyDescent="0.5">
      <c r="A25" s="341">
        <v>19</v>
      </c>
      <c r="B25" s="333" t="s">
        <v>521</v>
      </c>
      <c r="C25" s="341">
        <v>1600600064</v>
      </c>
      <c r="D25" s="341" t="s">
        <v>15</v>
      </c>
      <c r="E25" s="266" t="s">
        <v>436</v>
      </c>
      <c r="F25" s="341">
        <v>7014633408</v>
      </c>
      <c r="G25" s="299" t="s">
        <v>506</v>
      </c>
      <c r="H25" s="256">
        <v>3155139</v>
      </c>
      <c r="I25" s="335">
        <v>0</v>
      </c>
      <c r="J25" s="336">
        <f t="shared" si="2"/>
        <v>3155139</v>
      </c>
      <c r="K25" s="338">
        <f t="shared" si="1"/>
        <v>0</v>
      </c>
      <c r="L25" s="326" t="s">
        <v>522</v>
      </c>
      <c r="M25" s="325" t="s">
        <v>508</v>
      </c>
      <c r="N25" s="325" t="s">
        <v>523</v>
      </c>
      <c r="O25" s="325" t="s">
        <v>524</v>
      </c>
    </row>
    <row r="26" spans="1:15" s="324" customFormat="1" ht="46.5" x14ac:dyDescent="0.5">
      <c r="A26" s="341">
        <v>20</v>
      </c>
      <c r="B26" s="333" t="s">
        <v>487</v>
      </c>
      <c r="C26" s="341">
        <v>1600600094</v>
      </c>
      <c r="D26" s="341" t="s">
        <v>15</v>
      </c>
      <c r="E26" s="266" t="s">
        <v>475</v>
      </c>
      <c r="F26" s="341">
        <v>2000449395</v>
      </c>
      <c r="G26" s="299" t="s">
        <v>474</v>
      </c>
      <c r="H26" s="256">
        <v>3920000</v>
      </c>
      <c r="I26" s="335">
        <v>0</v>
      </c>
      <c r="J26" s="336">
        <f t="shared" si="2"/>
        <v>3920000</v>
      </c>
      <c r="K26" s="338">
        <f t="shared" si="1"/>
        <v>0</v>
      </c>
      <c r="L26" s="326" t="s">
        <v>528</v>
      </c>
      <c r="M26" s="325" t="s">
        <v>529</v>
      </c>
      <c r="N26" s="325" t="s">
        <v>530</v>
      </c>
      <c r="O26" s="325"/>
    </row>
    <row r="27" spans="1:15" s="324" customFormat="1" ht="46.5" x14ac:dyDescent="0.5">
      <c r="A27" s="341">
        <v>21</v>
      </c>
      <c r="B27" s="333" t="s">
        <v>487</v>
      </c>
      <c r="C27" s="341">
        <v>1600600094</v>
      </c>
      <c r="D27" s="341" t="s">
        <v>15</v>
      </c>
      <c r="E27" s="266" t="s">
        <v>444</v>
      </c>
      <c r="F27" s="341">
        <v>2000469732</v>
      </c>
      <c r="G27" s="299" t="s">
        <v>531</v>
      </c>
      <c r="H27" s="256">
        <v>2559120</v>
      </c>
      <c r="I27" s="335">
        <v>0</v>
      </c>
      <c r="J27" s="336">
        <f t="shared" si="2"/>
        <v>2559120</v>
      </c>
      <c r="K27" s="338">
        <f t="shared" si="1"/>
        <v>0</v>
      </c>
      <c r="L27" s="326" t="s">
        <v>528</v>
      </c>
      <c r="M27" s="325" t="s">
        <v>529</v>
      </c>
      <c r="N27" s="325" t="s">
        <v>530</v>
      </c>
      <c r="O27" s="325"/>
    </row>
    <row r="28" spans="1:15" s="324" customFormat="1" ht="23.25" x14ac:dyDescent="0.5">
      <c r="A28" s="341">
        <v>22</v>
      </c>
      <c r="B28" s="333" t="s">
        <v>486</v>
      </c>
      <c r="C28" s="341">
        <v>1600600420</v>
      </c>
      <c r="D28" s="341" t="s">
        <v>15</v>
      </c>
      <c r="E28" s="266" t="s">
        <v>479</v>
      </c>
      <c r="F28" s="341">
        <v>7014653159</v>
      </c>
      <c r="G28" s="299" t="s">
        <v>663</v>
      </c>
      <c r="H28" s="256">
        <v>3869000</v>
      </c>
      <c r="I28" s="335">
        <v>0</v>
      </c>
      <c r="J28" s="336">
        <f t="shared" si="2"/>
        <v>3869000</v>
      </c>
      <c r="K28" s="338">
        <f t="shared" si="1"/>
        <v>0</v>
      </c>
      <c r="L28" s="326" t="s">
        <v>549</v>
      </c>
      <c r="M28" s="325" t="s">
        <v>550</v>
      </c>
      <c r="N28" s="325" t="s">
        <v>551</v>
      </c>
      <c r="O28" s="325" t="s">
        <v>552</v>
      </c>
    </row>
    <row r="29" spans="1:15" s="324" customFormat="1" ht="23.25" x14ac:dyDescent="0.5">
      <c r="A29" s="341">
        <v>23</v>
      </c>
      <c r="B29" s="333" t="s">
        <v>553</v>
      </c>
      <c r="C29" s="341">
        <v>1600600456</v>
      </c>
      <c r="D29" s="341" t="s">
        <v>15</v>
      </c>
      <c r="E29" s="266" t="s">
        <v>432</v>
      </c>
      <c r="F29" s="341">
        <v>7014571829</v>
      </c>
      <c r="G29" s="299" t="s">
        <v>554</v>
      </c>
      <c r="H29" s="256">
        <v>2642900</v>
      </c>
      <c r="I29" s="335">
        <v>0</v>
      </c>
      <c r="J29" s="336">
        <f t="shared" si="2"/>
        <v>2642900</v>
      </c>
      <c r="K29" s="338">
        <f t="shared" si="1"/>
        <v>0</v>
      </c>
      <c r="L29" s="326" t="s">
        <v>555</v>
      </c>
      <c r="M29" s="325" t="s">
        <v>556</v>
      </c>
      <c r="N29" s="325" t="s">
        <v>557</v>
      </c>
      <c r="O29" s="325" t="s">
        <v>558</v>
      </c>
    </row>
    <row r="30" spans="1:15" s="324" customFormat="1" ht="23.25" x14ac:dyDescent="0.5">
      <c r="A30" s="341">
        <v>24</v>
      </c>
      <c r="B30" s="333" t="s">
        <v>112</v>
      </c>
      <c r="C30" s="341">
        <v>1600600001</v>
      </c>
      <c r="D30" s="341" t="s">
        <v>15</v>
      </c>
      <c r="E30" s="266" t="s">
        <v>441</v>
      </c>
      <c r="F30" s="341">
        <v>2000434631</v>
      </c>
      <c r="G30" s="299" t="s">
        <v>563</v>
      </c>
      <c r="H30" s="256">
        <v>5002622</v>
      </c>
      <c r="I30" s="335">
        <v>0</v>
      </c>
      <c r="J30" s="336">
        <f t="shared" si="2"/>
        <v>5002622</v>
      </c>
      <c r="K30" s="338">
        <f t="shared" si="1"/>
        <v>0</v>
      </c>
      <c r="L30" s="326" t="s">
        <v>564</v>
      </c>
      <c r="M30" s="325" t="s">
        <v>565</v>
      </c>
      <c r="N30" s="325" t="s">
        <v>566</v>
      </c>
      <c r="O30" s="325" t="s">
        <v>567</v>
      </c>
    </row>
    <row r="31" spans="1:15" s="324" customFormat="1" ht="23.25" x14ac:dyDescent="0.5">
      <c r="A31" s="341">
        <v>25</v>
      </c>
      <c r="B31" s="333" t="s">
        <v>112</v>
      </c>
      <c r="C31" s="341">
        <v>1600600001</v>
      </c>
      <c r="D31" s="341" t="s">
        <v>15</v>
      </c>
      <c r="E31" s="266" t="s">
        <v>438</v>
      </c>
      <c r="F31" s="341">
        <v>2000435147</v>
      </c>
      <c r="G31" s="299" t="s">
        <v>568</v>
      </c>
      <c r="H31" s="256">
        <v>4668200</v>
      </c>
      <c r="I31" s="335">
        <v>0</v>
      </c>
      <c r="J31" s="336">
        <f t="shared" si="2"/>
        <v>4668200</v>
      </c>
      <c r="K31" s="338">
        <f t="shared" si="1"/>
        <v>0</v>
      </c>
      <c r="L31" s="326" t="s">
        <v>569</v>
      </c>
      <c r="M31" s="325" t="s">
        <v>566</v>
      </c>
      <c r="N31" s="325" t="s">
        <v>570</v>
      </c>
      <c r="O31" s="325" t="s">
        <v>515</v>
      </c>
    </row>
    <row r="32" spans="1:15" s="324" customFormat="1" ht="23.25" x14ac:dyDescent="0.5">
      <c r="A32" s="341">
        <v>26</v>
      </c>
      <c r="B32" s="333" t="s">
        <v>112</v>
      </c>
      <c r="C32" s="341">
        <v>1600600001</v>
      </c>
      <c r="D32" s="341" t="s">
        <v>15</v>
      </c>
      <c r="E32" s="266" t="s">
        <v>443</v>
      </c>
      <c r="F32" s="341">
        <v>2000461421</v>
      </c>
      <c r="G32" s="299" t="s">
        <v>571</v>
      </c>
      <c r="H32" s="256">
        <v>2805000</v>
      </c>
      <c r="I32" s="335">
        <v>0</v>
      </c>
      <c r="J32" s="336">
        <f t="shared" si="2"/>
        <v>2805000</v>
      </c>
      <c r="K32" s="338">
        <f t="shared" si="1"/>
        <v>0</v>
      </c>
      <c r="L32" s="326" t="s">
        <v>572</v>
      </c>
      <c r="M32" s="325" t="s">
        <v>573</v>
      </c>
      <c r="N32" s="325" t="s">
        <v>574</v>
      </c>
      <c r="O32" s="325" t="s">
        <v>515</v>
      </c>
    </row>
    <row r="33" spans="1:15" s="324" customFormat="1" ht="23.25" x14ac:dyDescent="0.5">
      <c r="A33" s="341">
        <v>27</v>
      </c>
      <c r="B33" s="333" t="s">
        <v>112</v>
      </c>
      <c r="C33" s="341">
        <v>1600600001</v>
      </c>
      <c r="D33" s="341" t="s">
        <v>15</v>
      </c>
      <c r="E33" s="266" t="s">
        <v>439</v>
      </c>
      <c r="F33" s="341">
        <v>2000475789</v>
      </c>
      <c r="G33" s="299" t="s">
        <v>575</v>
      </c>
      <c r="H33" s="256">
        <v>9368000</v>
      </c>
      <c r="I33" s="335">
        <v>0</v>
      </c>
      <c r="J33" s="336">
        <f t="shared" si="2"/>
        <v>9368000</v>
      </c>
      <c r="K33" s="338">
        <f t="shared" si="1"/>
        <v>0</v>
      </c>
      <c r="L33" s="326" t="s">
        <v>576</v>
      </c>
      <c r="M33" s="325" t="s">
        <v>527</v>
      </c>
      <c r="N33" s="325" t="s">
        <v>577</v>
      </c>
      <c r="O33" s="325" t="s">
        <v>515</v>
      </c>
    </row>
    <row r="34" spans="1:15" s="324" customFormat="1" ht="23.25" x14ac:dyDescent="0.5">
      <c r="A34" s="341">
        <v>28</v>
      </c>
      <c r="B34" s="333" t="s">
        <v>112</v>
      </c>
      <c r="C34" s="341">
        <v>1600699998</v>
      </c>
      <c r="D34" s="341" t="s">
        <v>15</v>
      </c>
      <c r="E34" s="266" t="s">
        <v>639</v>
      </c>
      <c r="F34" s="341">
        <v>7014716158</v>
      </c>
      <c r="G34" s="299" t="s">
        <v>590</v>
      </c>
      <c r="H34" s="256">
        <v>2274000</v>
      </c>
      <c r="I34" s="335">
        <v>0</v>
      </c>
      <c r="J34" s="336">
        <f t="shared" si="2"/>
        <v>2274000</v>
      </c>
      <c r="K34" s="338">
        <f t="shared" si="1"/>
        <v>0</v>
      </c>
      <c r="L34" s="326" t="s">
        <v>591</v>
      </c>
      <c r="M34" s="325" t="s">
        <v>592</v>
      </c>
      <c r="N34" s="325" t="s">
        <v>593</v>
      </c>
      <c r="O34" s="325" t="s">
        <v>594</v>
      </c>
    </row>
    <row r="35" spans="1:15" s="324" customFormat="1" ht="23.25" x14ac:dyDescent="0.5">
      <c r="A35" s="341">
        <v>29</v>
      </c>
      <c r="B35" s="333" t="s">
        <v>112</v>
      </c>
      <c r="C35" s="341">
        <v>1600600011</v>
      </c>
      <c r="D35" s="341" t="s">
        <v>15</v>
      </c>
      <c r="E35" s="266" t="s">
        <v>643</v>
      </c>
      <c r="F35" s="341">
        <v>7015248976</v>
      </c>
      <c r="G35" s="299" t="s">
        <v>644</v>
      </c>
      <c r="H35" s="256">
        <v>500000</v>
      </c>
      <c r="I35" s="335">
        <v>0</v>
      </c>
      <c r="J35" s="336">
        <f t="shared" si="2"/>
        <v>500000</v>
      </c>
      <c r="K35" s="338">
        <f t="shared" si="1"/>
        <v>0</v>
      </c>
      <c r="L35" s="326" t="s">
        <v>615</v>
      </c>
      <c r="M35" s="325" t="s">
        <v>616</v>
      </c>
      <c r="N35" s="325" t="s">
        <v>617</v>
      </c>
      <c r="O35" s="325" t="s">
        <v>618</v>
      </c>
    </row>
    <row r="36" spans="1:15" s="324" customFormat="1" ht="46.5" x14ac:dyDescent="0.5">
      <c r="A36" s="341">
        <v>30</v>
      </c>
      <c r="B36" s="333" t="s">
        <v>112</v>
      </c>
      <c r="C36" s="341">
        <v>1600600006</v>
      </c>
      <c r="D36" s="341" t="s">
        <v>15</v>
      </c>
      <c r="E36" s="266" t="s">
        <v>641</v>
      </c>
      <c r="F36" s="341">
        <v>7015254679</v>
      </c>
      <c r="G36" s="299" t="s">
        <v>642</v>
      </c>
      <c r="H36" s="256">
        <v>497015</v>
      </c>
      <c r="I36" s="335">
        <v>0</v>
      </c>
      <c r="J36" s="336">
        <f t="shared" si="2"/>
        <v>497015</v>
      </c>
      <c r="K36" s="338">
        <f t="shared" si="1"/>
        <v>0</v>
      </c>
      <c r="L36" s="326" t="s">
        <v>622</v>
      </c>
      <c r="M36" s="325" t="s">
        <v>526</v>
      </c>
      <c r="N36" s="325" t="s">
        <v>610</v>
      </c>
      <c r="O36" s="325" t="s">
        <v>623</v>
      </c>
    </row>
    <row r="37" spans="1:15" s="324" customFormat="1" ht="23.25" x14ac:dyDescent="0.5">
      <c r="A37" s="341">
        <v>31</v>
      </c>
      <c r="B37" s="333" t="s">
        <v>112</v>
      </c>
      <c r="C37" s="341">
        <v>1600600001</v>
      </c>
      <c r="D37" s="341" t="s">
        <v>15</v>
      </c>
      <c r="E37" s="266" t="s">
        <v>440</v>
      </c>
      <c r="F37" s="341">
        <v>2000420428</v>
      </c>
      <c r="G37" s="299" t="s">
        <v>627</v>
      </c>
      <c r="H37" s="256">
        <v>13054741.23</v>
      </c>
      <c r="I37" s="335">
        <v>0</v>
      </c>
      <c r="J37" s="336">
        <f t="shared" si="2"/>
        <v>13054741.23</v>
      </c>
      <c r="K37" s="338">
        <f t="shared" si="1"/>
        <v>0</v>
      </c>
      <c r="L37" s="326" t="s">
        <v>628</v>
      </c>
      <c r="M37" s="325" t="s">
        <v>629</v>
      </c>
      <c r="N37" s="325" t="s">
        <v>630</v>
      </c>
      <c r="O37" s="325"/>
    </row>
    <row r="38" spans="1:15" s="324" customFormat="1" ht="23.25" x14ac:dyDescent="0.5">
      <c r="A38" s="341">
        <v>32</v>
      </c>
      <c r="B38" s="333" t="s">
        <v>112</v>
      </c>
      <c r="C38" s="341">
        <v>1600600001</v>
      </c>
      <c r="D38" s="341" t="s">
        <v>15</v>
      </c>
      <c r="E38" s="266" t="s">
        <v>437</v>
      </c>
      <c r="F38" s="341">
        <v>2000420910</v>
      </c>
      <c r="G38" s="299" t="s">
        <v>631</v>
      </c>
      <c r="H38" s="256">
        <v>5129331</v>
      </c>
      <c r="I38" s="335">
        <v>0</v>
      </c>
      <c r="J38" s="336">
        <f t="shared" si="2"/>
        <v>5129331</v>
      </c>
      <c r="K38" s="338">
        <f t="shared" si="1"/>
        <v>0</v>
      </c>
      <c r="L38" s="326" t="s">
        <v>632</v>
      </c>
      <c r="M38" s="325" t="s">
        <v>633</v>
      </c>
      <c r="N38" s="325" t="s">
        <v>634</v>
      </c>
      <c r="O38" s="325"/>
    </row>
    <row r="39" spans="1:15" s="324" customFormat="1" ht="23.25" x14ac:dyDescent="0.5">
      <c r="A39" s="341">
        <v>33</v>
      </c>
      <c r="B39" s="333" t="s">
        <v>112</v>
      </c>
      <c r="C39" s="341">
        <v>1600600001</v>
      </c>
      <c r="D39" s="341" t="s">
        <v>15</v>
      </c>
      <c r="E39" s="266" t="s">
        <v>442</v>
      </c>
      <c r="F39" s="341">
        <v>2000397264</v>
      </c>
      <c r="G39" s="299" t="s">
        <v>635</v>
      </c>
      <c r="H39" s="256">
        <v>11135650</v>
      </c>
      <c r="I39" s="335">
        <v>0</v>
      </c>
      <c r="J39" s="336">
        <f t="shared" si="2"/>
        <v>11135650</v>
      </c>
      <c r="K39" s="338">
        <f t="shared" si="1"/>
        <v>0</v>
      </c>
      <c r="L39" s="326" t="s">
        <v>636</v>
      </c>
      <c r="M39" s="325" t="s">
        <v>526</v>
      </c>
      <c r="N39" s="325" t="s">
        <v>637</v>
      </c>
      <c r="O39" s="325"/>
    </row>
    <row r="40" spans="1:15" s="329" customFormat="1" ht="23.25" x14ac:dyDescent="0.5">
      <c r="A40" s="1275" t="s">
        <v>659</v>
      </c>
      <c r="B40" s="1276"/>
      <c r="C40" s="1276"/>
      <c r="D40" s="1276"/>
      <c r="E40" s="1276"/>
      <c r="F40" s="1276"/>
      <c r="G40" s="1277"/>
      <c r="H40" s="337">
        <f>SUM(H22:H39)</f>
        <v>79042218.230000004</v>
      </c>
      <c r="I40" s="265">
        <f>SUM(I22:I39)</f>
        <v>0</v>
      </c>
      <c r="J40" s="337">
        <f>SUM(J22:J39)</f>
        <v>79042218.230000004</v>
      </c>
      <c r="K40" s="338">
        <f t="shared" si="1"/>
        <v>0</v>
      </c>
      <c r="L40" s="327"/>
      <c r="M40" s="328"/>
      <c r="N40" s="328"/>
      <c r="O40" s="328"/>
    </row>
    <row r="41" spans="1:15" s="324" customFormat="1" ht="69.75" x14ac:dyDescent="0.5">
      <c r="A41" s="341">
        <v>34</v>
      </c>
      <c r="B41" s="333" t="s">
        <v>112</v>
      </c>
      <c r="C41" s="341">
        <v>1600600011</v>
      </c>
      <c r="D41" s="341" t="s">
        <v>16</v>
      </c>
      <c r="E41" s="266" t="s">
        <v>397</v>
      </c>
      <c r="F41" s="341">
        <v>7015076230</v>
      </c>
      <c r="G41" s="299" t="s">
        <v>646</v>
      </c>
      <c r="H41" s="256">
        <v>1620000</v>
      </c>
      <c r="I41" s="335">
        <v>0</v>
      </c>
      <c r="J41" s="336">
        <f>+H41-I41</f>
        <v>1620000</v>
      </c>
      <c r="K41" s="338">
        <f t="shared" si="1"/>
        <v>0</v>
      </c>
      <c r="L41" s="326" t="s">
        <v>609</v>
      </c>
      <c r="M41" s="325" t="s">
        <v>607</v>
      </c>
      <c r="N41" s="325" t="s">
        <v>610</v>
      </c>
      <c r="O41" s="325" t="s">
        <v>604</v>
      </c>
    </row>
    <row r="42" spans="1:15" s="324" customFormat="1" ht="23.25" x14ac:dyDescent="0.5">
      <c r="A42" s="341">
        <v>35</v>
      </c>
      <c r="B42" s="333" t="s">
        <v>112</v>
      </c>
      <c r="C42" s="341">
        <v>1600600011</v>
      </c>
      <c r="D42" s="341" t="s">
        <v>16</v>
      </c>
      <c r="E42" s="266" t="s">
        <v>424</v>
      </c>
      <c r="F42" s="341">
        <v>7015167313</v>
      </c>
      <c r="G42" s="299" t="s">
        <v>645</v>
      </c>
      <c r="H42" s="256">
        <v>56300</v>
      </c>
      <c r="I42" s="335">
        <v>0</v>
      </c>
      <c r="J42" s="336">
        <f>+H42-I42</f>
        <v>56300</v>
      </c>
      <c r="K42" s="338">
        <f t="shared" si="1"/>
        <v>0</v>
      </c>
      <c r="L42" s="326" t="s">
        <v>611</v>
      </c>
      <c r="M42" s="325" t="s">
        <v>612</v>
      </c>
      <c r="N42" s="325" t="s">
        <v>613</v>
      </c>
      <c r="O42" s="325" t="s">
        <v>614</v>
      </c>
    </row>
    <row r="43" spans="1:15" s="329" customFormat="1" ht="23.25" x14ac:dyDescent="0.5">
      <c r="A43" s="1275" t="s">
        <v>362</v>
      </c>
      <c r="B43" s="1276"/>
      <c r="C43" s="1276"/>
      <c r="D43" s="1276"/>
      <c r="E43" s="1276"/>
      <c r="F43" s="1276"/>
      <c r="G43" s="1277"/>
      <c r="H43" s="337">
        <f>SUM(H41:H42)</f>
        <v>1676300</v>
      </c>
      <c r="I43" s="265">
        <v>0</v>
      </c>
      <c r="J43" s="337">
        <f>SUM(J41:J42)</f>
        <v>1676300</v>
      </c>
      <c r="K43" s="338">
        <f t="shared" si="1"/>
        <v>0</v>
      </c>
    </row>
    <row r="44" spans="1:15" s="320" customFormat="1" x14ac:dyDescent="0.55000000000000004">
      <c r="A44" s="1285" t="s">
        <v>488</v>
      </c>
      <c r="B44" s="1286"/>
      <c r="C44" s="1286"/>
      <c r="D44" s="1286"/>
      <c r="E44" s="1286"/>
      <c r="F44" s="1286"/>
      <c r="G44" s="1287"/>
      <c r="H44" s="339">
        <f>+H21+H40+H43</f>
        <v>94458430.790000007</v>
      </c>
      <c r="I44" s="339">
        <f>+I21+I40+I43</f>
        <v>0</v>
      </c>
      <c r="J44" s="339">
        <f>+J21+J40+J43</f>
        <v>94458430.790000007</v>
      </c>
      <c r="K44" s="338">
        <f t="shared" si="1"/>
        <v>0</v>
      </c>
    </row>
    <row r="47" spans="1:15" x14ac:dyDescent="0.55000000000000004">
      <c r="H47" s="330"/>
      <c r="I47" s="330"/>
      <c r="J47" s="330"/>
      <c r="K47" s="340"/>
    </row>
  </sheetData>
  <mergeCells count="18">
    <mergeCell ref="A43:G43"/>
    <mergeCell ref="A44:G44"/>
    <mergeCell ref="J4:J5"/>
    <mergeCell ref="L4:L5"/>
    <mergeCell ref="M4:M5"/>
    <mergeCell ref="N4:N5"/>
    <mergeCell ref="A21:G21"/>
    <mergeCell ref="A40:G40"/>
    <mergeCell ref="A1:K1"/>
    <mergeCell ref="A2:K2"/>
    <mergeCell ref="A3:K3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" right="0" top="0.75" bottom="0.75" header="0.3" footer="0.3"/>
  <pageSetup paperSize="5" orientation="landscape" r:id="rId1"/>
  <headerFooter>
    <oddFooter>หน้าที่ &amp;P จาก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workbookViewId="0">
      <selection activeCell="C6" sqref="C6"/>
    </sheetView>
  </sheetViews>
  <sheetFormatPr defaultRowHeight="42" x14ac:dyDescent="0.95"/>
  <cols>
    <col min="1" max="1" width="25.85546875" style="310" bestFit="1" customWidth="1"/>
    <col min="2" max="2" width="12.28515625" style="310" bestFit="1" customWidth="1"/>
    <col min="3" max="3" width="24" style="310" bestFit="1" customWidth="1"/>
    <col min="4" max="4" width="23.42578125" style="310" customWidth="1"/>
    <col min="5" max="16384" width="9.140625" style="310"/>
  </cols>
  <sheetData>
    <row r="1" spans="1:4" x14ac:dyDescent="0.95">
      <c r="A1" s="310">
        <v>43274010</v>
      </c>
      <c r="B1" s="311">
        <v>60</v>
      </c>
      <c r="C1" s="310">
        <f>+A1/B1</f>
        <v>721233.5</v>
      </c>
      <c r="D1" s="310">
        <f>+A1/B1</f>
        <v>721233.5</v>
      </c>
    </row>
    <row r="2" spans="1:4" x14ac:dyDescent="0.95">
      <c r="A2" s="310">
        <v>5129100</v>
      </c>
      <c r="C2" s="310">
        <f>+C1</f>
        <v>721233.5</v>
      </c>
      <c r="D2" s="310">
        <f>+A2/C2</f>
        <v>7.1115665037744362</v>
      </c>
    </row>
    <row r="3" spans="1:4" x14ac:dyDescent="0.95">
      <c r="C3" s="310">
        <f>+C2*7</f>
        <v>5048634.5</v>
      </c>
    </row>
    <row r="4" spans="1:4" x14ac:dyDescent="0.95">
      <c r="C4" s="310">
        <f>+A2-C3</f>
        <v>80465.5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FF"/>
  </sheetPr>
  <dimension ref="A1:R116"/>
  <sheetViews>
    <sheetView view="pageBreakPreview" topLeftCell="D4" zoomScale="50" zoomScaleNormal="56" zoomScaleSheetLayoutView="50" workbookViewId="0">
      <pane ySplit="1290" topLeftCell="A82" activePane="bottomLeft"/>
      <selection activeCell="D4" sqref="A1:XFD1048576"/>
      <selection pane="bottomLeft" activeCell="I5" sqref="I5:I6"/>
    </sheetView>
  </sheetViews>
  <sheetFormatPr defaultRowHeight="39.75" x14ac:dyDescent="0.5"/>
  <cols>
    <col min="1" max="1" width="6.7109375" style="392" customWidth="1"/>
    <col min="2" max="2" width="23.140625" style="402" customWidth="1"/>
    <col min="3" max="3" width="38.7109375" style="405" bestFit="1" customWidth="1"/>
    <col min="4" max="6" width="27.140625" style="406" customWidth="1"/>
    <col min="7" max="7" width="29.42578125" style="406" customWidth="1"/>
    <col min="8" max="13" width="29.28515625" style="407" customWidth="1"/>
    <col min="14" max="14" width="18.28515625" style="407" hidden="1" customWidth="1"/>
    <col min="15" max="15" width="28.85546875" style="407" customWidth="1"/>
    <col min="16" max="16" width="35.7109375" style="408" customWidth="1"/>
    <col min="17" max="17" width="51" style="408" hidden="1" customWidth="1"/>
    <col min="18" max="18" width="37.42578125" style="408" hidden="1" customWidth="1"/>
    <col min="19" max="37" width="9.140625" style="408"/>
    <col min="38" max="38" width="9.140625" style="408" customWidth="1"/>
    <col min="39" max="16384" width="9.140625" style="408"/>
  </cols>
  <sheetData>
    <row r="1" spans="1:17" s="348" customFormat="1" ht="68.25" customHeight="1" x14ac:dyDescent="0.5">
      <c r="A1" s="1005" t="s">
        <v>57</v>
      </c>
      <c r="B1" s="1005"/>
      <c r="C1" s="1005"/>
      <c r="D1" s="1005"/>
      <c r="E1" s="1005"/>
      <c r="F1" s="1005"/>
      <c r="G1" s="1005"/>
      <c r="H1" s="1005"/>
      <c r="I1" s="1005"/>
      <c r="J1" s="1005"/>
      <c r="K1" s="1005"/>
      <c r="L1" s="1005"/>
      <c r="M1" s="1005"/>
      <c r="N1" s="1005"/>
      <c r="O1" s="1005"/>
      <c r="P1" s="1005"/>
    </row>
    <row r="2" spans="1:17" s="348" customFormat="1" ht="68.25" customHeight="1" x14ac:dyDescent="0.5">
      <c r="A2" s="1006" t="s">
        <v>427</v>
      </c>
      <c r="B2" s="1006"/>
      <c r="C2" s="1006"/>
      <c r="D2" s="1006"/>
      <c r="E2" s="1006"/>
      <c r="F2" s="1006"/>
      <c r="G2" s="1006"/>
      <c r="H2" s="1006"/>
      <c r="I2" s="1006"/>
      <c r="J2" s="1006"/>
      <c r="K2" s="1006"/>
      <c r="L2" s="1006"/>
      <c r="M2" s="1006"/>
      <c r="N2" s="1006"/>
      <c r="O2" s="1006"/>
      <c r="P2" s="1006"/>
    </row>
    <row r="3" spans="1:17" s="348" customFormat="1" ht="68.25" customHeight="1" x14ac:dyDescent="0.5">
      <c r="A3" s="1288" t="s">
        <v>496</v>
      </c>
      <c r="B3" s="1288"/>
      <c r="C3" s="1288"/>
      <c r="D3" s="1288"/>
      <c r="E3" s="1288"/>
      <c r="F3" s="1288"/>
      <c r="G3" s="1288"/>
      <c r="H3" s="1288"/>
      <c r="I3" s="1288"/>
      <c r="J3" s="1288"/>
      <c r="K3" s="1288"/>
      <c r="L3" s="1288"/>
      <c r="M3" s="1288"/>
      <c r="N3" s="1288"/>
      <c r="O3" s="1288"/>
      <c r="P3" s="1288"/>
    </row>
    <row r="4" spans="1:17" s="349" customFormat="1" ht="48.75" customHeight="1" x14ac:dyDescent="0.5">
      <c r="A4" s="1289" t="s">
        <v>0</v>
      </c>
      <c r="B4" s="1290" t="s">
        <v>56</v>
      </c>
      <c r="C4" s="1290"/>
      <c r="D4" s="1290" t="s">
        <v>13</v>
      </c>
      <c r="E4" s="1290"/>
      <c r="F4" s="1290"/>
      <c r="G4" s="1290"/>
      <c r="H4" s="1290" t="s">
        <v>14</v>
      </c>
      <c r="I4" s="1290"/>
      <c r="J4" s="1290"/>
      <c r="K4" s="1290" t="s">
        <v>15</v>
      </c>
      <c r="L4" s="1290"/>
      <c r="M4" s="1290"/>
      <c r="N4" s="1290" t="s">
        <v>68</v>
      </c>
      <c r="O4" s="1290" t="s">
        <v>16</v>
      </c>
      <c r="P4" s="1290" t="s">
        <v>3</v>
      </c>
    </row>
    <row r="5" spans="1:17" s="349" customFormat="1" ht="48.75" customHeight="1" x14ac:dyDescent="0.5">
      <c r="A5" s="1289"/>
      <c r="B5" s="1290"/>
      <c r="C5" s="1290"/>
      <c r="D5" s="1290" t="s">
        <v>4</v>
      </c>
      <c r="E5" s="1290" t="s">
        <v>5</v>
      </c>
      <c r="F5" s="350" t="s">
        <v>6</v>
      </c>
      <c r="G5" s="1290" t="s">
        <v>10</v>
      </c>
      <c r="H5" s="350" t="s">
        <v>6</v>
      </c>
      <c r="I5" s="1290" t="s">
        <v>9</v>
      </c>
      <c r="J5" s="1290" t="s">
        <v>10</v>
      </c>
      <c r="K5" s="1290" t="s">
        <v>11</v>
      </c>
      <c r="L5" s="1290" t="s">
        <v>12</v>
      </c>
      <c r="M5" s="1290" t="s">
        <v>10</v>
      </c>
      <c r="N5" s="1290"/>
      <c r="O5" s="1290"/>
      <c r="P5" s="1290"/>
    </row>
    <row r="6" spans="1:17" s="349" customFormat="1" ht="48.75" customHeight="1" x14ac:dyDescent="0.5">
      <c r="A6" s="1289"/>
      <c r="B6" s="1290"/>
      <c r="C6" s="1290"/>
      <c r="D6" s="1290"/>
      <c r="E6" s="1290"/>
      <c r="F6" s="350" t="s">
        <v>7</v>
      </c>
      <c r="G6" s="1290"/>
      <c r="H6" s="350" t="s">
        <v>8</v>
      </c>
      <c r="I6" s="1290"/>
      <c r="J6" s="1290"/>
      <c r="K6" s="1290"/>
      <c r="L6" s="1290"/>
      <c r="M6" s="1290"/>
      <c r="N6" s="1290"/>
      <c r="O6" s="1290"/>
      <c r="P6" s="1290"/>
    </row>
    <row r="7" spans="1:17" s="353" customFormat="1" ht="52.5" hidden="1" customHeight="1" x14ac:dyDescent="0.5">
      <c r="A7" s="1291" t="s">
        <v>224</v>
      </c>
      <c r="B7" s="1292"/>
      <c r="C7" s="351" t="s">
        <v>400</v>
      </c>
      <c r="D7" s="352">
        <v>0</v>
      </c>
      <c r="E7" s="352">
        <v>0</v>
      </c>
      <c r="F7" s="352">
        <v>0</v>
      </c>
      <c r="G7" s="352">
        <f>SUM(D7:F7)</f>
        <v>0</v>
      </c>
      <c r="H7" s="352">
        <v>0</v>
      </c>
      <c r="I7" s="352">
        <v>0</v>
      </c>
      <c r="J7" s="352">
        <f>SUM(H7:I7)</f>
        <v>0</v>
      </c>
      <c r="K7" s="352">
        <v>0</v>
      </c>
      <c r="L7" s="352">
        <v>0</v>
      </c>
      <c r="M7" s="352">
        <f>SUM(K7:L7)</f>
        <v>0</v>
      </c>
      <c r="N7" s="352">
        <v>0</v>
      </c>
      <c r="O7" s="352">
        <f>2131000+813000</f>
        <v>2944000</v>
      </c>
      <c r="P7" s="352">
        <f>+G7+J7+M7+N7+O7</f>
        <v>2944000</v>
      </c>
    </row>
    <row r="8" spans="1:17" s="354" customFormat="1" ht="52.5" hidden="1" customHeight="1" x14ac:dyDescent="0.5">
      <c r="A8" s="1291" t="s">
        <v>225</v>
      </c>
      <c r="B8" s="1291"/>
      <c r="C8" s="351" t="s">
        <v>401</v>
      </c>
      <c r="D8" s="352">
        <v>0</v>
      </c>
      <c r="E8" s="352">
        <v>0</v>
      </c>
      <c r="F8" s="352">
        <v>0</v>
      </c>
      <c r="G8" s="352">
        <f>SUM(D8:F8)</f>
        <v>0</v>
      </c>
      <c r="H8" s="352">
        <v>0</v>
      </c>
      <c r="I8" s="352">
        <v>0</v>
      </c>
      <c r="J8" s="352">
        <f>SUM(H8:I8)</f>
        <v>0</v>
      </c>
      <c r="K8" s="352">
        <v>0</v>
      </c>
      <c r="L8" s="352">
        <v>0</v>
      </c>
      <c r="M8" s="352">
        <f>SUM(K8:L8)</f>
        <v>0</v>
      </c>
      <c r="N8" s="352">
        <v>0</v>
      </c>
      <c r="O8" s="352">
        <f>2131000+813000</f>
        <v>2944000</v>
      </c>
      <c r="P8" s="352">
        <f>+G8+J8+M8+N8+O8</f>
        <v>2944000</v>
      </c>
    </row>
    <row r="9" spans="1:17" s="354" customFormat="1" ht="52.5" hidden="1" customHeight="1" x14ac:dyDescent="0.5">
      <c r="A9" s="1291" t="s">
        <v>226</v>
      </c>
      <c r="B9" s="1291"/>
      <c r="C9" s="351" t="s">
        <v>77</v>
      </c>
      <c r="D9" s="352">
        <v>0</v>
      </c>
      <c r="E9" s="352">
        <v>0</v>
      </c>
      <c r="F9" s="352">
        <v>0</v>
      </c>
      <c r="G9" s="352">
        <f>SUM(D9:F9)</f>
        <v>0</v>
      </c>
      <c r="H9" s="352">
        <v>0</v>
      </c>
      <c r="I9" s="352">
        <v>0</v>
      </c>
      <c r="J9" s="352">
        <f>SUM(H9:I9)</f>
        <v>0</v>
      </c>
      <c r="K9" s="352">
        <v>0</v>
      </c>
      <c r="L9" s="352">
        <v>0</v>
      </c>
      <c r="M9" s="352">
        <f>SUM(K9:L9)</f>
        <v>0</v>
      </c>
      <c r="N9" s="352">
        <v>0</v>
      </c>
      <c r="O9" s="352">
        <v>1620000</v>
      </c>
      <c r="P9" s="352">
        <f>+G9+J9+M9+N9+O9</f>
        <v>1620000</v>
      </c>
    </row>
    <row r="10" spans="1:17" s="354" customFormat="1" ht="52.5" hidden="1" customHeight="1" x14ac:dyDescent="0.5">
      <c r="A10" s="1289">
        <v>1</v>
      </c>
      <c r="B10" s="355" t="s">
        <v>395</v>
      </c>
      <c r="C10" s="351" t="s">
        <v>17</v>
      </c>
      <c r="D10" s="352">
        <v>0</v>
      </c>
      <c r="E10" s="352">
        <v>0</v>
      </c>
      <c r="F10" s="352">
        <v>0</v>
      </c>
      <c r="G10" s="352">
        <f>SUM(D10:F10)</f>
        <v>0</v>
      </c>
      <c r="H10" s="352">
        <v>0</v>
      </c>
      <c r="I10" s="352">
        <v>0</v>
      </c>
      <c r="J10" s="352">
        <f>SUM(H10:I10)</f>
        <v>0</v>
      </c>
      <c r="K10" s="352">
        <v>0</v>
      </c>
      <c r="L10" s="352">
        <v>0</v>
      </c>
      <c r="M10" s="352">
        <f>SUM(K10:L10)</f>
        <v>0</v>
      </c>
      <c r="N10" s="352">
        <v>0</v>
      </c>
      <c r="O10" s="352">
        <f>685401+443620</f>
        <v>1129021</v>
      </c>
      <c r="P10" s="352">
        <f>+G10+J10+M10+N10+O10</f>
        <v>1129021</v>
      </c>
    </row>
    <row r="11" spans="1:17" s="354" customFormat="1" ht="52.5" hidden="1" customHeight="1" x14ac:dyDescent="0.5">
      <c r="A11" s="1289"/>
      <c r="B11" s="355" t="s">
        <v>396</v>
      </c>
      <c r="C11" s="351" t="s">
        <v>78</v>
      </c>
      <c r="D11" s="352">
        <f>+D8-D10</f>
        <v>0</v>
      </c>
      <c r="E11" s="352">
        <f>+E8-E10</f>
        <v>0</v>
      </c>
      <c r="F11" s="352">
        <f>+F8-F10</f>
        <v>0</v>
      </c>
      <c r="G11" s="352">
        <f>G8-G10</f>
        <v>0</v>
      </c>
      <c r="H11" s="352">
        <f>+H8-H10</f>
        <v>0</v>
      </c>
      <c r="I11" s="352">
        <f>+I8-I10</f>
        <v>0</v>
      </c>
      <c r="J11" s="352">
        <f t="shared" ref="J11:P11" si="0">J8-J10</f>
        <v>0</v>
      </c>
      <c r="K11" s="352">
        <f>+K8-K10</f>
        <v>0</v>
      </c>
      <c r="L11" s="352">
        <f>+L8-L10</f>
        <v>0</v>
      </c>
      <c r="M11" s="352">
        <f t="shared" si="0"/>
        <v>0</v>
      </c>
      <c r="N11" s="352">
        <f>+N8-N10</f>
        <v>0</v>
      </c>
      <c r="O11" s="352">
        <f>+O8-O10</f>
        <v>1814979</v>
      </c>
      <c r="P11" s="352">
        <f t="shared" si="0"/>
        <v>1814979</v>
      </c>
    </row>
    <row r="12" spans="1:17" s="354" customFormat="1" ht="52.5" hidden="1" customHeight="1" x14ac:dyDescent="0.9">
      <c r="A12" s="1289"/>
      <c r="B12" s="356" t="s">
        <v>398</v>
      </c>
      <c r="C12" s="351" t="s">
        <v>80</v>
      </c>
      <c r="D12" s="352">
        <f>+D8-D9-D10</f>
        <v>0</v>
      </c>
      <c r="E12" s="352">
        <f>+E8-E9-E10</f>
        <v>0</v>
      </c>
      <c r="F12" s="352">
        <f>+F8-F9-F10</f>
        <v>0</v>
      </c>
      <c r="G12" s="352">
        <f>G8-G9-G10</f>
        <v>0</v>
      </c>
      <c r="H12" s="352">
        <f>+H8-H9-H10</f>
        <v>0</v>
      </c>
      <c r="I12" s="352">
        <f>+I8-I9-I10</f>
        <v>0</v>
      </c>
      <c r="J12" s="352">
        <f>J8-J9-J10</f>
        <v>0</v>
      </c>
      <c r="K12" s="352">
        <f>+K8-K9-K10</f>
        <v>0</v>
      </c>
      <c r="L12" s="352">
        <f>+L8-L9-L10</f>
        <v>0</v>
      </c>
      <c r="M12" s="352">
        <f>M8-M9-M10</f>
        <v>0</v>
      </c>
      <c r="N12" s="352">
        <f>+N8-N9-N10</f>
        <v>0</v>
      </c>
      <c r="O12" s="352">
        <f>+O8-O9-O10</f>
        <v>194979</v>
      </c>
      <c r="P12" s="352">
        <f>P8-P9-P10</f>
        <v>194979</v>
      </c>
    </row>
    <row r="13" spans="1:17" s="354" customFormat="1" ht="52.5" hidden="1" customHeight="1" x14ac:dyDescent="0.9">
      <c r="A13" s="1289"/>
      <c r="B13" s="356" t="s">
        <v>399</v>
      </c>
      <c r="C13" s="351" t="s">
        <v>100</v>
      </c>
      <c r="D13" s="352">
        <v>0</v>
      </c>
      <c r="E13" s="352">
        <v>0</v>
      </c>
      <c r="F13" s="352">
        <v>0</v>
      </c>
      <c r="G13" s="352">
        <v>0</v>
      </c>
      <c r="H13" s="352">
        <v>0</v>
      </c>
      <c r="I13" s="352">
        <v>0</v>
      </c>
      <c r="J13" s="352">
        <v>0</v>
      </c>
      <c r="K13" s="352">
        <v>0</v>
      </c>
      <c r="L13" s="352">
        <v>0</v>
      </c>
      <c r="M13" s="352">
        <v>0</v>
      </c>
      <c r="N13" s="352">
        <v>0</v>
      </c>
      <c r="O13" s="352">
        <f>+O10*100/O7</f>
        <v>38.349898097826085</v>
      </c>
      <c r="P13" s="352">
        <f>+P10*100/P7</f>
        <v>38.349898097826085</v>
      </c>
    </row>
    <row r="14" spans="1:17" s="354" customFormat="1" ht="52.5" hidden="1" customHeight="1" thickBot="1" x14ac:dyDescent="0.55000000000000004">
      <c r="A14" s="1289"/>
      <c r="B14" s="357"/>
      <c r="C14" s="351" t="s">
        <v>101</v>
      </c>
      <c r="D14" s="352">
        <v>0</v>
      </c>
      <c r="E14" s="352">
        <v>0</v>
      </c>
      <c r="F14" s="352">
        <v>0</v>
      </c>
      <c r="G14" s="352">
        <v>0</v>
      </c>
      <c r="H14" s="352">
        <v>0</v>
      </c>
      <c r="I14" s="352">
        <v>0</v>
      </c>
      <c r="J14" s="352">
        <v>0</v>
      </c>
      <c r="K14" s="352">
        <v>0</v>
      </c>
      <c r="L14" s="352">
        <v>0</v>
      </c>
      <c r="M14" s="352">
        <v>0</v>
      </c>
      <c r="N14" s="352">
        <v>0</v>
      </c>
      <c r="O14" s="352">
        <f>+O10*100/O8</f>
        <v>38.349898097826085</v>
      </c>
      <c r="P14" s="352">
        <f>+P10*100/P8</f>
        <v>38.349898097826085</v>
      </c>
    </row>
    <row r="15" spans="1:17" s="354" customFormat="1" ht="52.5" hidden="1" customHeight="1" x14ac:dyDescent="0.5">
      <c r="A15" s="1291" t="s">
        <v>191</v>
      </c>
      <c r="B15" s="1292"/>
      <c r="C15" s="351" t="s">
        <v>400</v>
      </c>
      <c r="D15" s="352">
        <v>0</v>
      </c>
      <c r="E15" s="352">
        <v>0</v>
      </c>
      <c r="F15" s="352">
        <v>0</v>
      </c>
      <c r="G15" s="352">
        <f>SUM(D15:F15)</f>
        <v>0</v>
      </c>
      <c r="H15" s="352">
        <v>0</v>
      </c>
      <c r="I15" s="352">
        <v>0</v>
      </c>
      <c r="J15" s="352">
        <f>SUM(H15:I15)</f>
        <v>0</v>
      </c>
      <c r="K15" s="352">
        <v>0</v>
      </c>
      <c r="L15" s="352">
        <v>0</v>
      </c>
      <c r="M15" s="352">
        <f>SUM(K15:L15)</f>
        <v>0</v>
      </c>
      <c r="N15" s="352">
        <v>0</v>
      </c>
      <c r="O15" s="352">
        <f>6837200+10695100</f>
        <v>17532300</v>
      </c>
      <c r="P15" s="352">
        <f>+G15+J15+M15+N15+O15</f>
        <v>17532300</v>
      </c>
    </row>
    <row r="16" spans="1:17" s="354" customFormat="1" ht="52.5" hidden="1" customHeight="1" x14ac:dyDescent="0.5">
      <c r="A16" s="1291" t="s">
        <v>227</v>
      </c>
      <c r="B16" s="1291"/>
      <c r="C16" s="351" t="s">
        <v>401</v>
      </c>
      <c r="D16" s="352">
        <v>0</v>
      </c>
      <c r="E16" s="352">
        <v>0</v>
      </c>
      <c r="F16" s="352">
        <v>0</v>
      </c>
      <c r="G16" s="352">
        <f>SUM(D16:F16)</f>
        <v>0</v>
      </c>
      <c r="H16" s="352">
        <v>0</v>
      </c>
      <c r="I16" s="352">
        <v>0</v>
      </c>
      <c r="J16" s="352">
        <f>SUM(H16:I16)</f>
        <v>0</v>
      </c>
      <c r="K16" s="352">
        <v>0</v>
      </c>
      <c r="L16" s="352">
        <v>0</v>
      </c>
      <c r="M16" s="352">
        <f>SUM(K16:L16)</f>
        <v>0</v>
      </c>
      <c r="N16" s="352">
        <v>0</v>
      </c>
      <c r="O16" s="352">
        <f>6837200+3530100+2165000+5000000</f>
        <v>17532300</v>
      </c>
      <c r="P16" s="352">
        <f>+G16+J16+M16+N16+O16</f>
        <v>17532300</v>
      </c>
      <c r="Q16" s="354">
        <f>+P15-P16</f>
        <v>0</v>
      </c>
    </row>
    <row r="17" spans="1:17" s="354" customFormat="1" ht="52.5" hidden="1" customHeight="1" x14ac:dyDescent="0.5">
      <c r="A17" s="1289">
        <v>2</v>
      </c>
      <c r="B17" s="355" t="s">
        <v>228</v>
      </c>
      <c r="C17" s="351" t="s">
        <v>77</v>
      </c>
      <c r="D17" s="352">
        <v>0</v>
      </c>
      <c r="E17" s="352">
        <v>0</v>
      </c>
      <c r="F17" s="352">
        <v>0</v>
      </c>
      <c r="G17" s="352">
        <f>SUM(D17:F17)</f>
        <v>0</v>
      </c>
      <c r="H17" s="352">
        <v>0</v>
      </c>
      <c r="I17" s="352">
        <v>0</v>
      </c>
      <c r="J17" s="352">
        <f>SUM(H17:I17)</f>
        <v>0</v>
      </c>
      <c r="K17" s="352">
        <v>0</v>
      </c>
      <c r="L17" s="352">
        <v>0</v>
      </c>
      <c r="M17" s="352">
        <f>SUM(K17:L17)</f>
        <v>0</v>
      </c>
      <c r="N17" s="352">
        <v>0</v>
      </c>
      <c r="O17" s="352">
        <v>56300</v>
      </c>
      <c r="P17" s="352">
        <f>+G17+J17+M17+N17+O17</f>
        <v>56300</v>
      </c>
    </row>
    <row r="18" spans="1:17" s="354" customFormat="1" ht="52.5" hidden="1" customHeight="1" x14ac:dyDescent="0.5">
      <c r="A18" s="1289"/>
      <c r="B18" s="358" t="s">
        <v>229</v>
      </c>
      <c r="C18" s="351" t="s">
        <v>17</v>
      </c>
      <c r="D18" s="352">
        <v>0</v>
      </c>
      <c r="E18" s="352">
        <v>0</v>
      </c>
      <c r="F18" s="352">
        <v>0</v>
      </c>
      <c r="G18" s="352">
        <f>SUM(D18:F18)</f>
        <v>0</v>
      </c>
      <c r="H18" s="352">
        <v>0</v>
      </c>
      <c r="I18" s="352">
        <v>0</v>
      </c>
      <c r="J18" s="352">
        <f>SUM(H18:I18)</f>
        <v>0</v>
      </c>
      <c r="K18" s="352">
        <v>0</v>
      </c>
      <c r="L18" s="352">
        <v>0</v>
      </c>
      <c r="M18" s="352">
        <f>SUM(K18:L18)</f>
        <v>0</v>
      </c>
      <c r="N18" s="352">
        <v>0</v>
      </c>
      <c r="O18" s="352">
        <f>6763467.2+3527853.5+2126204.43+5000000</f>
        <v>17417525.129999999</v>
      </c>
      <c r="P18" s="352">
        <f>+G18+J18+M18+N18+O18</f>
        <v>17417525.129999999</v>
      </c>
    </row>
    <row r="19" spans="1:17" s="354" customFormat="1" ht="52.5" hidden="1" customHeight="1" x14ac:dyDescent="0.5">
      <c r="A19" s="1289"/>
      <c r="B19" s="359" t="s">
        <v>402</v>
      </c>
      <c r="C19" s="351" t="s">
        <v>78</v>
      </c>
      <c r="D19" s="352">
        <f>+D16-D18</f>
        <v>0</v>
      </c>
      <c r="E19" s="352">
        <f>+E16-E18</f>
        <v>0</v>
      </c>
      <c r="F19" s="352">
        <f>+F16-F18</f>
        <v>0</v>
      </c>
      <c r="G19" s="352">
        <f>G16-G18</f>
        <v>0</v>
      </c>
      <c r="H19" s="352">
        <f>+H16-H18</f>
        <v>0</v>
      </c>
      <c r="I19" s="352">
        <f>+I16-I18</f>
        <v>0</v>
      </c>
      <c r="J19" s="352">
        <f>J16-J18</f>
        <v>0</v>
      </c>
      <c r="K19" s="352">
        <f>+K16-K18</f>
        <v>0</v>
      </c>
      <c r="L19" s="352">
        <f>+L16-L18</f>
        <v>0</v>
      </c>
      <c r="M19" s="352">
        <f>M16-M18</f>
        <v>0</v>
      </c>
      <c r="N19" s="352">
        <f>+N16-N18</f>
        <v>0</v>
      </c>
      <c r="O19" s="352">
        <f>+O16-O18</f>
        <v>114774.87000000104</v>
      </c>
      <c r="P19" s="352">
        <f>P16-P18</f>
        <v>114774.87000000104</v>
      </c>
    </row>
    <row r="20" spans="1:17" s="354" customFormat="1" ht="52.5" hidden="1" customHeight="1" x14ac:dyDescent="0.5">
      <c r="A20" s="1289"/>
      <c r="B20" s="358" t="s">
        <v>230</v>
      </c>
      <c r="C20" s="351" t="s">
        <v>80</v>
      </c>
      <c r="D20" s="352">
        <f>+D16-D17-D18</f>
        <v>0</v>
      </c>
      <c r="E20" s="352">
        <f>+E16-E17-E18</f>
        <v>0</v>
      </c>
      <c r="F20" s="352">
        <f>+F16-F17-F18</f>
        <v>0</v>
      </c>
      <c r="G20" s="352">
        <f>G16-G17-G18</f>
        <v>0</v>
      </c>
      <c r="H20" s="352">
        <f>+H16-H17-H18</f>
        <v>0</v>
      </c>
      <c r="I20" s="352">
        <f>+I16-I17-I18</f>
        <v>0</v>
      </c>
      <c r="J20" s="352">
        <f>J16-J17-J18</f>
        <v>0</v>
      </c>
      <c r="K20" s="352">
        <f>+K16-K17-K18</f>
        <v>0</v>
      </c>
      <c r="L20" s="352">
        <f>+L16-L17-L18</f>
        <v>0</v>
      </c>
      <c r="M20" s="352">
        <f>M16-M17-M18</f>
        <v>0</v>
      </c>
      <c r="N20" s="352">
        <f>+N16-N17-N18</f>
        <v>0</v>
      </c>
      <c r="O20" s="352">
        <f>+O16-O17-O18</f>
        <v>58474.870000001043</v>
      </c>
      <c r="P20" s="352">
        <f>P16-P17-P18</f>
        <v>58474.870000001043</v>
      </c>
    </row>
    <row r="21" spans="1:17" s="354" customFormat="1" ht="52.5" hidden="1" customHeight="1" x14ac:dyDescent="0.5">
      <c r="A21" s="1289"/>
      <c r="B21" s="358" t="s">
        <v>231</v>
      </c>
      <c r="C21" s="351" t="s">
        <v>100</v>
      </c>
      <c r="D21" s="352">
        <v>0</v>
      </c>
      <c r="E21" s="352">
        <v>0</v>
      </c>
      <c r="F21" s="352">
        <v>0</v>
      </c>
      <c r="G21" s="352">
        <v>0</v>
      </c>
      <c r="H21" s="352">
        <v>0</v>
      </c>
      <c r="I21" s="352">
        <v>0</v>
      </c>
      <c r="J21" s="352">
        <v>0</v>
      </c>
      <c r="K21" s="352">
        <v>0</v>
      </c>
      <c r="L21" s="352">
        <v>0</v>
      </c>
      <c r="M21" s="352">
        <v>0</v>
      </c>
      <c r="N21" s="352">
        <v>0</v>
      </c>
      <c r="O21" s="352">
        <f>+O18*100/O15</f>
        <v>99.345351893362533</v>
      </c>
      <c r="P21" s="352">
        <f>+P18*100/P15</f>
        <v>99.345351893362533</v>
      </c>
    </row>
    <row r="22" spans="1:17" s="354" customFormat="1" ht="52.5" hidden="1" customHeight="1" thickBot="1" x14ac:dyDescent="0.55000000000000004">
      <c r="A22" s="1289"/>
      <c r="B22" s="359" t="s">
        <v>403</v>
      </c>
      <c r="C22" s="351" t="s">
        <v>101</v>
      </c>
      <c r="D22" s="352">
        <v>0</v>
      </c>
      <c r="E22" s="352">
        <v>0</v>
      </c>
      <c r="F22" s="352">
        <v>0</v>
      </c>
      <c r="G22" s="352">
        <v>0</v>
      </c>
      <c r="H22" s="352">
        <v>0</v>
      </c>
      <c r="I22" s="352">
        <v>0</v>
      </c>
      <c r="J22" s="352">
        <v>0</v>
      </c>
      <c r="K22" s="352">
        <v>0</v>
      </c>
      <c r="L22" s="352">
        <v>0</v>
      </c>
      <c r="M22" s="352">
        <v>0</v>
      </c>
      <c r="N22" s="352">
        <v>0</v>
      </c>
      <c r="O22" s="352">
        <f>+O18*100/O16</f>
        <v>99.345351893362533</v>
      </c>
      <c r="P22" s="352">
        <f>+P18*100/P16</f>
        <v>99.345351893362533</v>
      </c>
    </row>
    <row r="23" spans="1:17" s="354" customFormat="1" ht="52.5" hidden="1" customHeight="1" x14ac:dyDescent="0.5">
      <c r="A23" s="1291" t="s">
        <v>219</v>
      </c>
      <c r="B23" s="1291"/>
      <c r="C23" s="351" t="s">
        <v>400</v>
      </c>
      <c r="D23" s="352">
        <v>0</v>
      </c>
      <c r="E23" s="352">
        <v>0</v>
      </c>
      <c r="F23" s="352">
        <v>0</v>
      </c>
      <c r="G23" s="352">
        <f>SUM(D23:F23)</f>
        <v>0</v>
      </c>
      <c r="H23" s="352">
        <v>7637400</v>
      </c>
      <c r="I23" s="352">
        <v>5508000</v>
      </c>
      <c r="J23" s="352">
        <f>SUM(H23:I23)</f>
        <v>13145400</v>
      </c>
      <c r="K23" s="352">
        <v>0</v>
      </c>
      <c r="L23" s="352">
        <v>0</v>
      </c>
      <c r="M23" s="352">
        <f>SUM(K23:L23)</f>
        <v>0</v>
      </c>
      <c r="N23" s="352">
        <v>0</v>
      </c>
      <c r="O23" s="352">
        <v>0</v>
      </c>
      <c r="P23" s="352">
        <f>+G23+J23+M23+N23+O23</f>
        <v>13145400</v>
      </c>
    </row>
    <row r="24" spans="1:17" s="354" customFormat="1" ht="52.5" hidden="1" customHeight="1" x14ac:dyDescent="0.5">
      <c r="A24" s="1289">
        <v>3</v>
      </c>
      <c r="B24" s="355" t="s">
        <v>234</v>
      </c>
      <c r="C24" s="351" t="s">
        <v>401</v>
      </c>
      <c r="D24" s="352">
        <v>0</v>
      </c>
      <c r="E24" s="352">
        <v>0</v>
      </c>
      <c r="F24" s="352">
        <v>0</v>
      </c>
      <c r="G24" s="352">
        <f>SUM(D24:F24)</f>
        <v>0</v>
      </c>
      <c r="H24" s="352">
        <v>7637400</v>
      </c>
      <c r="I24" s="352">
        <v>5508000</v>
      </c>
      <c r="J24" s="352">
        <f>SUM(H24:I24)</f>
        <v>13145400</v>
      </c>
      <c r="K24" s="352">
        <v>0</v>
      </c>
      <c r="L24" s="352">
        <v>0</v>
      </c>
      <c r="M24" s="352">
        <f>SUM(K24:L24)</f>
        <v>0</v>
      </c>
      <c r="N24" s="352">
        <v>0</v>
      </c>
      <c r="O24" s="352">
        <v>0</v>
      </c>
      <c r="P24" s="352">
        <f>+G24+J24+M24+N24+O24</f>
        <v>13145400</v>
      </c>
      <c r="Q24" s="354">
        <f>+P23-P24</f>
        <v>0</v>
      </c>
    </row>
    <row r="25" spans="1:17" s="354" customFormat="1" ht="52.5" hidden="1" customHeight="1" x14ac:dyDescent="0.5">
      <c r="A25" s="1289"/>
      <c r="B25" s="355" t="s">
        <v>235</v>
      </c>
      <c r="C25" s="351" t="s">
        <v>77</v>
      </c>
      <c r="D25" s="352">
        <v>0</v>
      </c>
      <c r="E25" s="352">
        <v>0</v>
      </c>
      <c r="F25" s="352">
        <v>0</v>
      </c>
      <c r="G25" s="352">
        <f>SUM(D25:F25)</f>
        <v>0</v>
      </c>
      <c r="H25" s="352">
        <v>0</v>
      </c>
      <c r="I25" s="352">
        <v>0</v>
      </c>
      <c r="J25" s="352">
        <f>SUM(H25:I25)</f>
        <v>0</v>
      </c>
      <c r="K25" s="352">
        <v>0</v>
      </c>
      <c r="L25" s="352">
        <v>0</v>
      </c>
      <c r="M25" s="352">
        <f>SUM(K25:L25)</f>
        <v>0</v>
      </c>
      <c r="N25" s="352">
        <v>0</v>
      </c>
      <c r="O25" s="352">
        <v>0</v>
      </c>
      <c r="P25" s="352">
        <f>+G25+J25+M25+N25+O25</f>
        <v>0</v>
      </c>
      <c r="Q25" s="354" t="e">
        <f>SUM(#REF!)</f>
        <v>#REF!</v>
      </c>
    </row>
    <row r="26" spans="1:17" s="354" customFormat="1" ht="52.5" hidden="1" customHeight="1" x14ac:dyDescent="0.5">
      <c r="A26" s="1289"/>
      <c r="B26" s="355" t="s">
        <v>236</v>
      </c>
      <c r="C26" s="351" t="s">
        <v>17</v>
      </c>
      <c r="D26" s="352">
        <v>0</v>
      </c>
      <c r="E26" s="352">
        <v>0</v>
      </c>
      <c r="F26" s="352">
        <v>0</v>
      </c>
      <c r="G26" s="352">
        <f>SUM(D26:F26)</f>
        <v>0</v>
      </c>
      <c r="H26" s="352">
        <f>12551464.39-I26</f>
        <v>6679399.1800000006</v>
      </c>
      <c r="I26" s="352">
        <v>5872065.21</v>
      </c>
      <c r="J26" s="352">
        <f>SUM(H26:I26)</f>
        <v>12551464.390000001</v>
      </c>
      <c r="K26" s="352">
        <v>0</v>
      </c>
      <c r="L26" s="352">
        <v>0</v>
      </c>
      <c r="M26" s="352">
        <f>SUM(K26:L26)</f>
        <v>0</v>
      </c>
      <c r="N26" s="352">
        <v>0</v>
      </c>
      <c r="O26" s="352">
        <v>0</v>
      </c>
      <c r="P26" s="352">
        <f>+G26+J26+M26+N26+O26</f>
        <v>12551464.390000001</v>
      </c>
    </row>
    <row r="27" spans="1:17" s="360" customFormat="1" ht="52.5" hidden="1" customHeight="1" x14ac:dyDescent="0.5">
      <c r="A27" s="1289"/>
      <c r="B27" s="358" t="s">
        <v>404</v>
      </c>
      <c r="C27" s="351" t="s">
        <v>78</v>
      </c>
      <c r="D27" s="352">
        <f>+D24-D26</f>
        <v>0</v>
      </c>
      <c r="E27" s="352">
        <f>+E24-E26</f>
        <v>0</v>
      </c>
      <c r="F27" s="352">
        <f>+F24-F26</f>
        <v>0</v>
      </c>
      <c r="G27" s="352">
        <f>G24-G26</f>
        <v>0</v>
      </c>
      <c r="H27" s="352">
        <f>+H24-H26</f>
        <v>958000.81999999937</v>
      </c>
      <c r="I27" s="352">
        <f>+I24-I26</f>
        <v>-364065.20999999996</v>
      </c>
      <c r="J27" s="352">
        <f>J24-J26</f>
        <v>593935.6099999994</v>
      </c>
      <c r="K27" s="352">
        <f>+K24-K26</f>
        <v>0</v>
      </c>
      <c r="L27" s="352">
        <f>+L24-L26</f>
        <v>0</v>
      </c>
      <c r="M27" s="352">
        <f>M24-M26</f>
        <v>0</v>
      </c>
      <c r="N27" s="352">
        <f>+N24-N26</f>
        <v>0</v>
      </c>
      <c r="O27" s="352">
        <f>+O24-O26</f>
        <v>0</v>
      </c>
      <c r="P27" s="352">
        <f>P24-P26</f>
        <v>593935.6099999994</v>
      </c>
    </row>
    <row r="28" spans="1:17" s="360" customFormat="1" ht="52.5" hidden="1" customHeight="1" x14ac:dyDescent="0.5">
      <c r="A28" s="1289"/>
      <c r="B28" s="361">
        <f>+G32</f>
        <v>1386605725</v>
      </c>
      <c r="C28" s="351" t="s">
        <v>80</v>
      </c>
      <c r="D28" s="352">
        <f>+D24-D25-D26</f>
        <v>0</v>
      </c>
      <c r="E28" s="352">
        <f>+E24-E25-E26</f>
        <v>0</v>
      </c>
      <c r="F28" s="352">
        <f>+F24-F25-F26</f>
        <v>0</v>
      </c>
      <c r="G28" s="352">
        <f>G24-G25-G26</f>
        <v>0</v>
      </c>
      <c r="H28" s="352">
        <f>+H24-H25-H26</f>
        <v>958000.81999999937</v>
      </c>
      <c r="I28" s="352">
        <f>+I24-I25-I26</f>
        <v>-364065.20999999996</v>
      </c>
      <c r="J28" s="352">
        <f>J24-J25-J26</f>
        <v>593935.6099999994</v>
      </c>
      <c r="K28" s="352">
        <f>+K24-K25-K26</f>
        <v>0</v>
      </c>
      <c r="L28" s="352">
        <f>+L24-L25-L26</f>
        <v>0</v>
      </c>
      <c r="M28" s="352">
        <f>M24-M25-M26</f>
        <v>0</v>
      </c>
      <c r="N28" s="352">
        <f>+N24-N25-N26</f>
        <v>0</v>
      </c>
      <c r="O28" s="352">
        <f>+O24-O25-O26</f>
        <v>0</v>
      </c>
      <c r="P28" s="352">
        <f>P24-P25-P26</f>
        <v>593935.6099999994</v>
      </c>
    </row>
    <row r="29" spans="1:17" s="354" customFormat="1" ht="52.5" hidden="1" customHeight="1" x14ac:dyDescent="0.5">
      <c r="A29" s="1289"/>
      <c r="B29" s="362">
        <v>1382576600</v>
      </c>
      <c r="C29" s="351" t="s">
        <v>100</v>
      </c>
      <c r="D29" s="352">
        <v>0</v>
      </c>
      <c r="E29" s="352">
        <v>0</v>
      </c>
      <c r="F29" s="352">
        <v>0</v>
      </c>
      <c r="G29" s="352">
        <v>0</v>
      </c>
      <c r="H29" s="352">
        <f t="shared" ref="H29:P29" si="1">+H26*100/H23</f>
        <v>87.456453505119555</v>
      </c>
      <c r="I29" s="352">
        <f t="shared" si="1"/>
        <v>106.60975326797386</v>
      </c>
      <c r="J29" s="352">
        <f t="shared" si="1"/>
        <v>95.481798880216658</v>
      </c>
      <c r="K29" s="352">
        <v>0</v>
      </c>
      <c r="L29" s="352">
        <v>0</v>
      </c>
      <c r="M29" s="352">
        <v>0</v>
      </c>
      <c r="N29" s="352">
        <v>0</v>
      </c>
      <c r="O29" s="352">
        <v>0</v>
      </c>
      <c r="P29" s="352">
        <f t="shared" si="1"/>
        <v>95.481798880216658</v>
      </c>
    </row>
    <row r="30" spans="1:17" s="354" customFormat="1" ht="52.5" hidden="1" customHeight="1" thickBot="1" x14ac:dyDescent="0.55000000000000004">
      <c r="A30" s="1289"/>
      <c r="B30" s="361">
        <f>+B28-B29</f>
        <v>4029125</v>
      </c>
      <c r="C30" s="351" t="s">
        <v>101</v>
      </c>
      <c r="D30" s="352">
        <v>0</v>
      </c>
      <c r="E30" s="352">
        <v>0</v>
      </c>
      <c r="F30" s="352">
        <v>0</v>
      </c>
      <c r="G30" s="352">
        <v>0</v>
      </c>
      <c r="H30" s="352">
        <f t="shared" ref="H30:P30" si="2">+H26*100/H24</f>
        <v>87.456453505119555</v>
      </c>
      <c r="I30" s="352">
        <f t="shared" si="2"/>
        <v>106.60975326797386</v>
      </c>
      <c r="J30" s="352">
        <f t="shared" si="2"/>
        <v>95.481798880216658</v>
      </c>
      <c r="K30" s="352">
        <v>0</v>
      </c>
      <c r="L30" s="352">
        <v>0</v>
      </c>
      <c r="M30" s="352">
        <v>0</v>
      </c>
      <c r="N30" s="352">
        <v>0</v>
      </c>
      <c r="O30" s="352">
        <v>0</v>
      </c>
      <c r="P30" s="352">
        <f t="shared" si="2"/>
        <v>95.481798880216658</v>
      </c>
    </row>
    <row r="31" spans="1:17" s="354" customFormat="1" ht="52.5" hidden="1" customHeight="1" x14ac:dyDescent="0.5">
      <c r="A31" s="1291" t="s">
        <v>232</v>
      </c>
      <c r="B31" s="1291"/>
      <c r="C31" s="351" t="s">
        <v>400</v>
      </c>
      <c r="D31" s="352">
        <v>647441100</v>
      </c>
      <c r="E31" s="352">
        <v>271970700</v>
      </c>
      <c r="F31" s="352">
        <v>482186400</v>
      </c>
      <c r="G31" s="352">
        <f>SUM(D31:F31)</f>
        <v>1401598200</v>
      </c>
      <c r="H31" s="352">
        <v>29599500</v>
      </c>
      <c r="I31" s="352">
        <v>0</v>
      </c>
      <c r="J31" s="352">
        <f>SUM(H31:I31)</f>
        <v>29599500</v>
      </c>
      <c r="K31" s="352">
        <v>0</v>
      </c>
      <c r="L31" s="352">
        <v>0</v>
      </c>
      <c r="M31" s="352">
        <f>SUM(K31:L31)</f>
        <v>0</v>
      </c>
      <c r="N31" s="352">
        <v>0</v>
      </c>
      <c r="O31" s="352">
        <f>+O32</f>
        <v>0</v>
      </c>
      <c r="P31" s="352">
        <f>+G31+J31+M31+N31+O31</f>
        <v>1431197700</v>
      </c>
    </row>
    <row r="32" spans="1:17" s="354" customFormat="1" ht="52.5" hidden="1" customHeight="1" x14ac:dyDescent="0.5">
      <c r="A32" s="1289">
        <v>4</v>
      </c>
      <c r="B32" s="363" t="s">
        <v>233</v>
      </c>
      <c r="C32" s="351" t="s">
        <v>401</v>
      </c>
      <c r="D32" s="352">
        <f>647441100-19021600+4029125</f>
        <v>632448625</v>
      </c>
      <c r="E32" s="352">
        <v>271970700</v>
      </c>
      <c r="F32" s="352">
        <v>482186400</v>
      </c>
      <c r="G32" s="352">
        <f>SUM(D32:F32)</f>
        <v>1386605725</v>
      </c>
      <c r="H32" s="352">
        <v>29599500</v>
      </c>
      <c r="I32" s="352">
        <v>0</v>
      </c>
      <c r="J32" s="352">
        <f>SUM(H32:I32)</f>
        <v>29599500</v>
      </c>
      <c r="K32" s="352">
        <v>0</v>
      </c>
      <c r="L32" s="352">
        <v>0</v>
      </c>
      <c r="M32" s="352">
        <f>SUM(K32:L32)</f>
        <v>0</v>
      </c>
      <c r="N32" s="352">
        <v>0</v>
      </c>
      <c r="O32" s="352">
        <v>0</v>
      </c>
      <c r="P32" s="352">
        <f>+G32+J32+M32+N32+O32</f>
        <v>1416205225</v>
      </c>
    </row>
    <row r="33" spans="1:17" s="354" customFormat="1" ht="52.5" hidden="1" customHeight="1" x14ac:dyDescent="0.5">
      <c r="A33" s="1289"/>
      <c r="B33" s="363" t="s">
        <v>405</v>
      </c>
      <c r="C33" s="351" t="s">
        <v>77</v>
      </c>
      <c r="D33" s="352">
        <v>0</v>
      </c>
      <c r="E33" s="352">
        <v>0</v>
      </c>
      <c r="F33" s="352">
        <v>0</v>
      </c>
      <c r="G33" s="352">
        <f>SUM(D33:F33)</f>
        <v>0</v>
      </c>
      <c r="H33" s="352">
        <v>0</v>
      </c>
      <c r="I33" s="352">
        <v>0</v>
      </c>
      <c r="J33" s="352">
        <f>SUM(H33:I33)</f>
        <v>0</v>
      </c>
      <c r="K33" s="352">
        <v>0</v>
      </c>
      <c r="L33" s="352">
        <v>0</v>
      </c>
      <c r="M33" s="352">
        <f>SUM(K33:L33)</f>
        <v>0</v>
      </c>
      <c r="N33" s="352">
        <v>0</v>
      </c>
      <c r="O33" s="352">
        <v>0</v>
      </c>
      <c r="P33" s="352">
        <f>+G33+J33+M33+N33+O33</f>
        <v>0</v>
      </c>
    </row>
    <row r="34" spans="1:17" s="354" customFormat="1" ht="52.5" hidden="1" customHeight="1" x14ac:dyDescent="0.5">
      <c r="A34" s="1289"/>
      <c r="B34" s="364" t="s">
        <v>239</v>
      </c>
      <c r="C34" s="351" t="s">
        <v>17</v>
      </c>
      <c r="D34" s="352">
        <v>629957264.80999994</v>
      </c>
      <c r="E34" s="352">
        <v>267038292.97999999</v>
      </c>
      <c r="F34" s="352">
        <v>489610167.20999998</v>
      </c>
      <c r="G34" s="352">
        <f>SUM(D34:F34)</f>
        <v>1386605725</v>
      </c>
      <c r="H34" s="352">
        <f>14720763.21+14122017.21+53776.16</f>
        <v>28896556.580000002</v>
      </c>
      <c r="I34" s="352">
        <v>0</v>
      </c>
      <c r="J34" s="352">
        <f>SUM(H34:I34)</f>
        <v>28896556.580000002</v>
      </c>
      <c r="K34" s="352">
        <v>0</v>
      </c>
      <c r="L34" s="352">
        <v>0</v>
      </c>
      <c r="M34" s="352">
        <f>SUM(K34:L34)</f>
        <v>0</v>
      </c>
      <c r="N34" s="352">
        <v>0</v>
      </c>
      <c r="O34" s="352">
        <v>0</v>
      </c>
      <c r="P34" s="352">
        <f>+G34+J34+M34+N34+O34</f>
        <v>1415502281.5799999</v>
      </c>
    </row>
    <row r="35" spans="1:17" s="360" customFormat="1" ht="52.5" hidden="1" customHeight="1" x14ac:dyDescent="0.5">
      <c r="A35" s="1289"/>
      <c r="B35" s="364" t="s">
        <v>406</v>
      </c>
      <c r="C35" s="351" t="s">
        <v>78</v>
      </c>
      <c r="D35" s="352">
        <f>+D32-D34</f>
        <v>2491360.1900000572</v>
      </c>
      <c r="E35" s="352">
        <f>+E32-E34</f>
        <v>4932407.0200000107</v>
      </c>
      <c r="F35" s="352">
        <f>+F32-F34</f>
        <v>-7423767.2099999785</v>
      </c>
      <c r="G35" s="352">
        <f>G32-G34</f>
        <v>0</v>
      </c>
      <c r="H35" s="352">
        <f>+H32-H34</f>
        <v>702943.41999999806</v>
      </c>
      <c r="I35" s="352">
        <f>+I32-I34</f>
        <v>0</v>
      </c>
      <c r="J35" s="352">
        <f>J32-J34</f>
        <v>702943.41999999806</v>
      </c>
      <c r="K35" s="352">
        <f>+K32-K34</f>
        <v>0</v>
      </c>
      <c r="L35" s="352">
        <f>+L32-L34</f>
        <v>0</v>
      </c>
      <c r="M35" s="352">
        <f>M32-M34</f>
        <v>0</v>
      </c>
      <c r="N35" s="352">
        <f>+N32-N34</f>
        <v>0</v>
      </c>
      <c r="O35" s="352">
        <f>+O32-O34</f>
        <v>0</v>
      </c>
      <c r="P35" s="352">
        <f>P32-P34</f>
        <v>702943.42000007629</v>
      </c>
    </row>
    <row r="36" spans="1:17" s="360" customFormat="1" ht="52.5" hidden="1" customHeight="1" x14ac:dyDescent="0.5">
      <c r="A36" s="1289"/>
      <c r="B36" s="364"/>
      <c r="C36" s="351" t="s">
        <v>80</v>
      </c>
      <c r="D36" s="352">
        <f>+D32-D33-D34</f>
        <v>2491360.1900000572</v>
      </c>
      <c r="E36" s="352">
        <f>+E32-E33-E34</f>
        <v>4932407.0200000107</v>
      </c>
      <c r="F36" s="352">
        <f>+F32-F33-F34</f>
        <v>-7423767.2099999785</v>
      </c>
      <c r="G36" s="352">
        <f>G32-G33-G34</f>
        <v>0</v>
      </c>
      <c r="H36" s="352">
        <f>+H32-H33-H34</f>
        <v>702943.41999999806</v>
      </c>
      <c r="I36" s="352">
        <f>+I32-I33-I34</f>
        <v>0</v>
      </c>
      <c r="J36" s="352">
        <f>J32-J33-J34</f>
        <v>702943.41999999806</v>
      </c>
      <c r="K36" s="352">
        <f>+K32-K33-K34</f>
        <v>0</v>
      </c>
      <c r="L36" s="352">
        <f>+L32-L33-L34</f>
        <v>0</v>
      </c>
      <c r="M36" s="352">
        <f>M32-M33-M34</f>
        <v>0</v>
      </c>
      <c r="N36" s="352">
        <f>+N32-N33-N34</f>
        <v>0</v>
      </c>
      <c r="O36" s="352">
        <f>+O32-O33-O34</f>
        <v>0</v>
      </c>
      <c r="P36" s="352">
        <f>P32-P33-P34</f>
        <v>702943.42000007629</v>
      </c>
    </row>
    <row r="37" spans="1:17" s="354" customFormat="1" ht="52.5" hidden="1" customHeight="1" x14ac:dyDescent="0.5">
      <c r="A37" s="1289"/>
      <c r="B37" s="364"/>
      <c r="C37" s="351" t="s">
        <v>100</v>
      </c>
      <c r="D37" s="352">
        <f t="shared" ref="D37:P37" si="3">+D34*100/D31</f>
        <v>97.299548145769535</v>
      </c>
      <c r="E37" s="352">
        <f t="shared" si="3"/>
        <v>98.186419706240414</v>
      </c>
      <c r="F37" s="352">
        <f t="shared" si="3"/>
        <v>101.53960526675991</v>
      </c>
      <c r="G37" s="352">
        <f t="shared" si="3"/>
        <v>98.930330033243479</v>
      </c>
      <c r="H37" s="352">
        <f t="shared" si="3"/>
        <v>97.625151032956637</v>
      </c>
      <c r="I37" s="352">
        <v>0</v>
      </c>
      <c r="J37" s="352">
        <f t="shared" si="3"/>
        <v>97.625151032956637</v>
      </c>
      <c r="K37" s="352">
        <v>0</v>
      </c>
      <c r="L37" s="352">
        <v>0</v>
      </c>
      <c r="M37" s="352">
        <v>0</v>
      </c>
      <c r="N37" s="352">
        <v>0</v>
      </c>
      <c r="O37" s="352">
        <v>0</v>
      </c>
      <c r="P37" s="352">
        <f t="shared" si="3"/>
        <v>98.903336805250589</v>
      </c>
    </row>
    <row r="38" spans="1:17" s="354" customFormat="1" ht="52.5" hidden="1" customHeight="1" thickBot="1" x14ac:dyDescent="0.55000000000000004">
      <c r="A38" s="1289"/>
      <c r="B38" s="365"/>
      <c r="C38" s="351" t="s">
        <v>101</v>
      </c>
      <c r="D38" s="352">
        <f t="shared" ref="D38:P38" si="4">+D34*100/D32</f>
        <v>99.606077064362324</v>
      </c>
      <c r="E38" s="352">
        <f t="shared" si="4"/>
        <v>98.186419706240414</v>
      </c>
      <c r="F38" s="352">
        <f t="shared" si="4"/>
        <v>101.53960526675991</v>
      </c>
      <c r="G38" s="352">
        <f t="shared" si="4"/>
        <v>100</v>
      </c>
      <c r="H38" s="352">
        <f t="shared" si="4"/>
        <v>97.625151032956637</v>
      </c>
      <c r="I38" s="352">
        <v>0</v>
      </c>
      <c r="J38" s="352">
        <f t="shared" si="4"/>
        <v>97.625151032956637</v>
      </c>
      <c r="K38" s="352">
        <v>0</v>
      </c>
      <c r="L38" s="352">
        <v>0</v>
      </c>
      <c r="M38" s="352">
        <v>0</v>
      </c>
      <c r="N38" s="352">
        <v>0</v>
      </c>
      <c r="O38" s="352">
        <v>0</v>
      </c>
      <c r="P38" s="352">
        <f t="shared" si="4"/>
        <v>99.950364296954206</v>
      </c>
    </row>
    <row r="39" spans="1:17" s="354" customFormat="1" ht="52.5" hidden="1" customHeight="1" x14ac:dyDescent="0.5">
      <c r="A39" s="1291" t="s">
        <v>407</v>
      </c>
      <c r="B39" s="1291"/>
      <c r="C39" s="351" t="s">
        <v>400</v>
      </c>
      <c r="D39" s="352">
        <v>0</v>
      </c>
      <c r="E39" s="352">
        <v>0</v>
      </c>
      <c r="F39" s="352">
        <v>0</v>
      </c>
      <c r="G39" s="352">
        <f>SUM(D39:F39)</f>
        <v>0</v>
      </c>
      <c r="H39" s="352">
        <v>0</v>
      </c>
      <c r="I39" s="352">
        <v>0</v>
      </c>
      <c r="J39" s="352">
        <f>SUM(H39:I39)</f>
        <v>0</v>
      </c>
      <c r="K39" s="352">
        <v>0</v>
      </c>
      <c r="L39" s="352">
        <v>0</v>
      </c>
      <c r="M39" s="352">
        <f>SUM(K39:L39)</f>
        <v>0</v>
      </c>
      <c r="N39" s="352">
        <v>0</v>
      </c>
      <c r="O39" s="352">
        <f>3075600+545000</f>
        <v>3620600</v>
      </c>
      <c r="P39" s="352">
        <f>+G39+J39+M39+N39+O39</f>
        <v>3620600</v>
      </c>
    </row>
    <row r="40" spans="1:17" s="354" customFormat="1" ht="52.5" hidden="1" customHeight="1" x14ac:dyDescent="0.5">
      <c r="A40" s="1291" t="s">
        <v>408</v>
      </c>
      <c r="B40" s="1292"/>
      <c r="C40" s="351" t="s">
        <v>401</v>
      </c>
      <c r="D40" s="352">
        <v>0</v>
      </c>
      <c r="E40" s="352">
        <v>0</v>
      </c>
      <c r="F40" s="352">
        <v>0</v>
      </c>
      <c r="G40" s="352">
        <f>SUM(D40:F40)</f>
        <v>0</v>
      </c>
      <c r="H40" s="352">
        <v>0</v>
      </c>
      <c r="I40" s="352">
        <v>0</v>
      </c>
      <c r="J40" s="352">
        <f>SUM(H40:I40)</f>
        <v>0</v>
      </c>
      <c r="K40" s="352">
        <v>0</v>
      </c>
      <c r="L40" s="352">
        <v>0</v>
      </c>
      <c r="M40" s="352">
        <f>SUM(K40:L40)</f>
        <v>0</v>
      </c>
      <c r="N40" s="352">
        <v>0</v>
      </c>
      <c r="O40" s="366">
        <f>545000+626400+455000+450000</f>
        <v>2076400</v>
      </c>
      <c r="P40" s="352">
        <f>+G40+J40+M40+N40+O40</f>
        <v>2076400</v>
      </c>
      <c r="Q40" s="354">
        <f>+P39-P40</f>
        <v>1544200</v>
      </c>
    </row>
    <row r="41" spans="1:17" s="354" customFormat="1" ht="52.5" hidden="1" customHeight="1" x14ac:dyDescent="0.5">
      <c r="A41" s="1293">
        <v>5</v>
      </c>
      <c r="B41" s="355" t="s">
        <v>409</v>
      </c>
      <c r="C41" s="351" t="s">
        <v>77</v>
      </c>
      <c r="D41" s="352">
        <v>0</v>
      </c>
      <c r="E41" s="352">
        <v>0</v>
      </c>
      <c r="F41" s="352">
        <v>0</v>
      </c>
      <c r="G41" s="352">
        <f>SUM(D41:F41)</f>
        <v>0</v>
      </c>
      <c r="H41" s="352">
        <v>0</v>
      </c>
      <c r="I41" s="352">
        <v>0</v>
      </c>
      <c r="J41" s="352">
        <f>SUM(H41:I41)</f>
        <v>0</v>
      </c>
      <c r="K41" s="352">
        <v>0</v>
      </c>
      <c r="L41" s="352">
        <v>0</v>
      </c>
      <c r="M41" s="352">
        <f>SUM(K41:L41)</f>
        <v>0</v>
      </c>
      <c r="N41" s="352">
        <v>0</v>
      </c>
      <c r="O41" s="352">
        <v>0</v>
      </c>
      <c r="P41" s="352">
        <f>+G41+J41+M41+N41+O41</f>
        <v>0</v>
      </c>
      <c r="Q41" s="354">
        <f>SUM(Q32:Q40)</f>
        <v>1544200</v>
      </c>
    </row>
    <row r="42" spans="1:17" s="354" customFormat="1" ht="52.5" hidden="1" customHeight="1" x14ac:dyDescent="0.5">
      <c r="A42" s="1293"/>
      <c r="B42" s="367" t="s">
        <v>410</v>
      </c>
      <c r="C42" s="351" t="s">
        <v>17</v>
      </c>
      <c r="D42" s="352">
        <v>0</v>
      </c>
      <c r="E42" s="352">
        <v>0</v>
      </c>
      <c r="F42" s="352">
        <v>0</v>
      </c>
      <c r="G42" s="352">
        <f>SUM(D42:F42)</f>
        <v>0</v>
      </c>
      <c r="H42" s="352">
        <v>0</v>
      </c>
      <c r="I42" s="352">
        <v>0</v>
      </c>
      <c r="J42" s="352">
        <f>SUM(H42:I42)</f>
        <v>0</v>
      </c>
      <c r="K42" s="352">
        <v>0</v>
      </c>
      <c r="L42" s="352">
        <v>0</v>
      </c>
      <c r="M42" s="352">
        <f>SUM(K42:L42)</f>
        <v>0</v>
      </c>
      <c r="N42" s="352">
        <v>0</v>
      </c>
      <c r="O42" s="352">
        <f>544992.44+564432+452711.2+431829.99</f>
        <v>1993965.63</v>
      </c>
      <c r="P42" s="352">
        <f>+G42+J42+M42+N42+O42</f>
        <v>1993965.63</v>
      </c>
    </row>
    <row r="43" spans="1:17" s="360" customFormat="1" ht="52.5" hidden="1" customHeight="1" x14ac:dyDescent="0.5">
      <c r="A43" s="1293"/>
      <c r="B43" s="358" t="s">
        <v>411</v>
      </c>
      <c r="C43" s="351" t="s">
        <v>78</v>
      </c>
      <c r="D43" s="352">
        <f>+D40-D42</f>
        <v>0</v>
      </c>
      <c r="E43" s="352">
        <f>+E40-E42</f>
        <v>0</v>
      </c>
      <c r="F43" s="352">
        <f>+F40-F42</f>
        <v>0</v>
      </c>
      <c r="G43" s="352">
        <f>G40-G42</f>
        <v>0</v>
      </c>
      <c r="H43" s="352">
        <f>+H40-H42</f>
        <v>0</v>
      </c>
      <c r="I43" s="352">
        <f>+I40-I42</f>
        <v>0</v>
      </c>
      <c r="J43" s="352">
        <f>J40-J42</f>
        <v>0</v>
      </c>
      <c r="K43" s="352">
        <f>+K40-K42</f>
        <v>0</v>
      </c>
      <c r="L43" s="352">
        <f>+L40-L42</f>
        <v>0</v>
      </c>
      <c r="M43" s="352">
        <f>M40-M42</f>
        <v>0</v>
      </c>
      <c r="N43" s="352">
        <f>+N40-N42</f>
        <v>0</v>
      </c>
      <c r="O43" s="352">
        <f>+O40-O42</f>
        <v>82434.370000000112</v>
      </c>
      <c r="P43" s="352">
        <f>P40-P42</f>
        <v>82434.370000000112</v>
      </c>
    </row>
    <row r="44" spans="1:17" s="360" customFormat="1" ht="52.5" hidden="1" customHeight="1" x14ac:dyDescent="0.5">
      <c r="A44" s="1293"/>
      <c r="B44" s="358" t="s">
        <v>412</v>
      </c>
      <c r="C44" s="351" t="s">
        <v>80</v>
      </c>
      <c r="D44" s="352">
        <f>+D40-D41-D42</f>
        <v>0</v>
      </c>
      <c r="E44" s="352">
        <f>+E40-E41-E42</f>
        <v>0</v>
      </c>
      <c r="F44" s="352">
        <f>+F40-F41-F42</f>
        <v>0</v>
      </c>
      <c r="G44" s="352">
        <f>G40-G41-G42</f>
        <v>0</v>
      </c>
      <c r="H44" s="352">
        <f>+H40-H41-H42</f>
        <v>0</v>
      </c>
      <c r="I44" s="352">
        <f>+I40-I41-I42</f>
        <v>0</v>
      </c>
      <c r="J44" s="352">
        <f>J40-J41-J42</f>
        <v>0</v>
      </c>
      <c r="K44" s="352">
        <f>+K40-K41-K42</f>
        <v>0</v>
      </c>
      <c r="L44" s="352">
        <f>+L40-L41-L42</f>
        <v>0</v>
      </c>
      <c r="M44" s="352">
        <f>M40-M41-M42</f>
        <v>0</v>
      </c>
      <c r="N44" s="352">
        <f>+N40-N41-N42</f>
        <v>0</v>
      </c>
      <c r="O44" s="352">
        <f>+O40-O41-O42</f>
        <v>82434.370000000112</v>
      </c>
      <c r="P44" s="352">
        <f>P40-P41-P42</f>
        <v>82434.370000000112</v>
      </c>
    </row>
    <row r="45" spans="1:17" s="354" customFormat="1" ht="52.5" hidden="1" customHeight="1" x14ac:dyDescent="0.5">
      <c r="A45" s="1293"/>
      <c r="B45" s="364" t="s">
        <v>413</v>
      </c>
      <c r="C45" s="351" t="s">
        <v>100</v>
      </c>
      <c r="D45" s="352">
        <v>0</v>
      </c>
      <c r="E45" s="352">
        <v>0</v>
      </c>
      <c r="F45" s="352">
        <v>0</v>
      </c>
      <c r="G45" s="352">
        <v>0</v>
      </c>
      <c r="H45" s="352">
        <v>0</v>
      </c>
      <c r="I45" s="352">
        <v>0</v>
      </c>
      <c r="J45" s="352">
        <v>0</v>
      </c>
      <c r="K45" s="352">
        <v>0</v>
      </c>
      <c r="L45" s="352">
        <v>0</v>
      </c>
      <c r="M45" s="352">
        <v>0</v>
      </c>
      <c r="N45" s="352">
        <v>0</v>
      </c>
      <c r="O45" s="352">
        <f>+O42*100/O39</f>
        <v>55.072795393028777</v>
      </c>
      <c r="P45" s="352">
        <f>+P42*100/P39</f>
        <v>55.072795393028777</v>
      </c>
    </row>
    <row r="46" spans="1:17" s="354" customFormat="1" ht="52.5" hidden="1" customHeight="1" thickBot="1" x14ac:dyDescent="0.55000000000000004">
      <c r="A46" s="1293"/>
      <c r="B46" s="358" t="s">
        <v>414</v>
      </c>
      <c r="C46" s="351" t="s">
        <v>101</v>
      </c>
      <c r="D46" s="352">
        <v>0</v>
      </c>
      <c r="E46" s="352">
        <v>0</v>
      </c>
      <c r="F46" s="352">
        <v>0</v>
      </c>
      <c r="G46" s="352">
        <v>0</v>
      </c>
      <c r="H46" s="352">
        <v>0</v>
      </c>
      <c r="I46" s="352">
        <v>0</v>
      </c>
      <c r="J46" s="352">
        <v>0</v>
      </c>
      <c r="K46" s="352">
        <v>0</v>
      </c>
      <c r="L46" s="352">
        <v>0</v>
      </c>
      <c r="M46" s="352">
        <v>0</v>
      </c>
      <c r="N46" s="352">
        <v>0</v>
      </c>
      <c r="O46" s="352">
        <f>+O42*100/O40</f>
        <v>96.029937873242147</v>
      </c>
      <c r="P46" s="352">
        <f>+P42*100/P40</f>
        <v>96.029937873242147</v>
      </c>
    </row>
    <row r="47" spans="1:17" s="354" customFormat="1" ht="52.5" hidden="1" customHeight="1" x14ac:dyDescent="0.5">
      <c r="A47" s="1291" t="s">
        <v>409</v>
      </c>
      <c r="B47" s="1291"/>
      <c r="C47" s="351" t="s">
        <v>400</v>
      </c>
      <c r="D47" s="352">
        <v>0</v>
      </c>
      <c r="E47" s="352">
        <v>0</v>
      </c>
      <c r="F47" s="352">
        <v>0</v>
      </c>
      <c r="G47" s="352">
        <f>SUM(D47:F47)</f>
        <v>0</v>
      </c>
      <c r="H47" s="352">
        <v>1300000</v>
      </c>
      <c r="I47" s="352">
        <v>0</v>
      </c>
      <c r="J47" s="352">
        <f>SUM(H47:I47)</f>
        <v>1300000</v>
      </c>
      <c r="K47" s="352">
        <v>0</v>
      </c>
      <c r="L47" s="352">
        <v>0</v>
      </c>
      <c r="M47" s="352">
        <f>SUM(K47:L47)</f>
        <v>0</v>
      </c>
      <c r="N47" s="352">
        <v>0</v>
      </c>
      <c r="O47" s="352">
        <v>0</v>
      </c>
      <c r="P47" s="352">
        <f>+G47+J47+M47+N47+O47</f>
        <v>1300000</v>
      </c>
    </row>
    <row r="48" spans="1:17" s="354" customFormat="1" ht="52.5" hidden="1" customHeight="1" x14ac:dyDescent="0.5">
      <c r="A48" s="1291" t="s">
        <v>415</v>
      </c>
      <c r="B48" s="1292"/>
      <c r="C48" s="351" t="s">
        <v>401</v>
      </c>
      <c r="D48" s="352">
        <v>0</v>
      </c>
      <c r="E48" s="352">
        <v>0</v>
      </c>
      <c r="F48" s="352">
        <v>0</v>
      </c>
      <c r="G48" s="352">
        <f>SUM(D48:F48)</f>
        <v>0</v>
      </c>
      <c r="H48" s="366">
        <v>150000</v>
      </c>
      <c r="I48" s="366">
        <v>0</v>
      </c>
      <c r="J48" s="366">
        <f>SUM(H48:I48)</f>
        <v>150000</v>
      </c>
      <c r="K48" s="352">
        <v>0</v>
      </c>
      <c r="L48" s="352">
        <v>0</v>
      </c>
      <c r="M48" s="352">
        <f>SUM(K48:L48)</f>
        <v>0</v>
      </c>
      <c r="N48" s="352">
        <v>0</v>
      </c>
      <c r="O48" s="352">
        <v>0</v>
      </c>
      <c r="P48" s="352">
        <f>+G48+J48+M48+N48+O48</f>
        <v>150000</v>
      </c>
      <c r="Q48" s="354">
        <f>+P47-P48</f>
        <v>1150000</v>
      </c>
    </row>
    <row r="49" spans="1:17" s="354" customFormat="1" ht="52.5" hidden="1" customHeight="1" x14ac:dyDescent="0.5">
      <c r="A49" s="1293">
        <v>6</v>
      </c>
      <c r="B49" s="355" t="s">
        <v>237</v>
      </c>
      <c r="C49" s="351" t="s">
        <v>77</v>
      </c>
      <c r="D49" s="352">
        <v>0</v>
      </c>
      <c r="E49" s="352">
        <v>0</v>
      </c>
      <c r="F49" s="352">
        <v>0</v>
      </c>
      <c r="G49" s="352">
        <f>SUM(D49:F49)</f>
        <v>0</v>
      </c>
      <c r="H49" s="352">
        <v>0</v>
      </c>
      <c r="I49" s="352">
        <v>0</v>
      </c>
      <c r="J49" s="352">
        <f>SUM(H49:I49)</f>
        <v>0</v>
      </c>
      <c r="K49" s="352">
        <v>0</v>
      </c>
      <c r="L49" s="352">
        <v>0</v>
      </c>
      <c r="M49" s="352">
        <f>SUM(K49:L49)</f>
        <v>0</v>
      </c>
      <c r="N49" s="352">
        <v>0</v>
      </c>
      <c r="O49" s="352">
        <v>0</v>
      </c>
      <c r="P49" s="352">
        <f>+G49+J49+M49+N49+O49</f>
        <v>0</v>
      </c>
      <c r="Q49" s="354">
        <f>SUM(Q40:Q48)</f>
        <v>4238400</v>
      </c>
    </row>
    <row r="50" spans="1:17" s="354" customFormat="1" ht="52.5" hidden="1" customHeight="1" x14ac:dyDescent="0.5">
      <c r="A50" s="1293"/>
      <c r="B50" s="355" t="s">
        <v>238</v>
      </c>
      <c r="C50" s="351" t="s">
        <v>17</v>
      </c>
      <c r="D50" s="352">
        <v>0</v>
      </c>
      <c r="E50" s="352">
        <v>0</v>
      </c>
      <c r="F50" s="352">
        <v>0</v>
      </c>
      <c r="G50" s="352">
        <f>SUM(D50:F50)</f>
        <v>0</v>
      </c>
      <c r="H50" s="352">
        <v>145800</v>
      </c>
      <c r="I50" s="352">
        <v>0</v>
      </c>
      <c r="J50" s="352">
        <f>SUM(H50:I50)</f>
        <v>145800</v>
      </c>
      <c r="K50" s="352">
        <v>0</v>
      </c>
      <c r="L50" s="352">
        <v>0</v>
      </c>
      <c r="M50" s="352">
        <f>SUM(K50:L50)</f>
        <v>0</v>
      </c>
      <c r="N50" s="352">
        <v>0</v>
      </c>
      <c r="O50" s="352">
        <v>0</v>
      </c>
      <c r="P50" s="352">
        <f>+G50+J50+M50+N50+O50</f>
        <v>145800</v>
      </c>
    </row>
    <row r="51" spans="1:17" s="360" customFormat="1" ht="52.5" hidden="1" customHeight="1" x14ac:dyDescent="0.5">
      <c r="A51" s="1293"/>
      <c r="B51" s="364" t="s">
        <v>416</v>
      </c>
      <c r="C51" s="351" t="s">
        <v>78</v>
      </c>
      <c r="D51" s="352">
        <f>+D48-D50</f>
        <v>0</v>
      </c>
      <c r="E51" s="352">
        <f>+E48-E50</f>
        <v>0</v>
      </c>
      <c r="F51" s="352">
        <f>+F48-F50</f>
        <v>0</v>
      </c>
      <c r="G51" s="352">
        <f>G48-G50</f>
        <v>0</v>
      </c>
      <c r="H51" s="352">
        <f>+H48-H50</f>
        <v>4200</v>
      </c>
      <c r="I51" s="352">
        <f>+I48-I50</f>
        <v>0</v>
      </c>
      <c r="J51" s="352">
        <f>J48-J50</f>
        <v>4200</v>
      </c>
      <c r="K51" s="352">
        <f>+K48-K50</f>
        <v>0</v>
      </c>
      <c r="L51" s="352">
        <f>+L48-L50</f>
        <v>0</v>
      </c>
      <c r="M51" s="352">
        <f>M48-M50</f>
        <v>0</v>
      </c>
      <c r="N51" s="352">
        <f>+N48-N50</f>
        <v>0</v>
      </c>
      <c r="O51" s="352">
        <f>+O48-O50</f>
        <v>0</v>
      </c>
      <c r="P51" s="352">
        <f>P48-P50</f>
        <v>4200</v>
      </c>
    </row>
    <row r="52" spans="1:17" s="360" customFormat="1" ht="52.5" hidden="1" customHeight="1" x14ac:dyDescent="0.5">
      <c r="A52" s="1293"/>
      <c r="B52" s="358"/>
      <c r="C52" s="351" t="s">
        <v>80</v>
      </c>
      <c r="D52" s="352">
        <f>+D48-D49-D50</f>
        <v>0</v>
      </c>
      <c r="E52" s="352">
        <f>+E48-E49-E50</f>
        <v>0</v>
      </c>
      <c r="F52" s="352">
        <f>+F48-F49-F50</f>
        <v>0</v>
      </c>
      <c r="G52" s="352">
        <f>G48-G49-G50</f>
        <v>0</v>
      </c>
      <c r="H52" s="352">
        <f>+H48-H49-H50</f>
        <v>4200</v>
      </c>
      <c r="I52" s="352">
        <f>+I48-I49-I50</f>
        <v>0</v>
      </c>
      <c r="J52" s="352">
        <f>J48-J49-J50</f>
        <v>4200</v>
      </c>
      <c r="K52" s="352">
        <f>+K48-K49-K50</f>
        <v>0</v>
      </c>
      <c r="L52" s="352">
        <f>+L48-L49-L50</f>
        <v>0</v>
      </c>
      <c r="M52" s="352">
        <f>M48-M49-M50</f>
        <v>0</v>
      </c>
      <c r="N52" s="352">
        <f>+N48-N49-N50</f>
        <v>0</v>
      </c>
      <c r="O52" s="352">
        <f>+O48-O49-O50</f>
        <v>0</v>
      </c>
      <c r="P52" s="352">
        <f>P48-P49-P50</f>
        <v>4200</v>
      </c>
    </row>
    <row r="53" spans="1:17" s="354" customFormat="1" ht="52.5" hidden="1" customHeight="1" x14ac:dyDescent="0.5">
      <c r="A53" s="1293"/>
      <c r="B53" s="358"/>
      <c r="C53" s="351" t="s">
        <v>100</v>
      </c>
      <c r="D53" s="352">
        <v>0</v>
      </c>
      <c r="E53" s="352">
        <v>0</v>
      </c>
      <c r="F53" s="352">
        <v>0</v>
      </c>
      <c r="G53" s="352">
        <v>0</v>
      </c>
      <c r="H53" s="352">
        <f>+H50*100/H47</f>
        <v>11.215384615384615</v>
      </c>
      <c r="I53" s="352">
        <v>0</v>
      </c>
      <c r="J53" s="352">
        <f>+J50*100/J47</f>
        <v>11.215384615384615</v>
      </c>
      <c r="K53" s="352">
        <v>0</v>
      </c>
      <c r="L53" s="352">
        <v>0</v>
      </c>
      <c r="M53" s="352">
        <v>0</v>
      </c>
      <c r="N53" s="352">
        <v>0</v>
      </c>
      <c r="O53" s="352">
        <v>0</v>
      </c>
      <c r="P53" s="352">
        <f>+P50*100/P47</f>
        <v>11.215384615384615</v>
      </c>
    </row>
    <row r="54" spans="1:17" s="354" customFormat="1" ht="52.5" hidden="1" customHeight="1" thickBot="1" x14ac:dyDescent="0.55000000000000004">
      <c r="A54" s="1293"/>
      <c r="B54" s="358"/>
      <c r="C54" s="351" t="s">
        <v>101</v>
      </c>
      <c r="D54" s="352">
        <v>0</v>
      </c>
      <c r="E54" s="352">
        <v>0</v>
      </c>
      <c r="F54" s="352">
        <v>0</v>
      </c>
      <c r="G54" s="352">
        <v>0</v>
      </c>
      <c r="H54" s="352">
        <f>+H50*100/H48</f>
        <v>97.2</v>
      </c>
      <c r="I54" s="352">
        <v>0</v>
      </c>
      <c r="J54" s="352">
        <f>+J50*100/J48</f>
        <v>97.2</v>
      </c>
      <c r="K54" s="352">
        <v>0</v>
      </c>
      <c r="L54" s="352">
        <v>0</v>
      </c>
      <c r="M54" s="352">
        <v>0</v>
      </c>
      <c r="N54" s="352">
        <v>0</v>
      </c>
      <c r="O54" s="352">
        <v>0</v>
      </c>
      <c r="P54" s="352">
        <f>+P50*100/P48</f>
        <v>97.2</v>
      </c>
    </row>
    <row r="55" spans="1:17" s="354" customFormat="1" ht="52.5" hidden="1" customHeight="1" x14ac:dyDescent="0.5">
      <c r="A55" s="1291" t="s">
        <v>240</v>
      </c>
      <c r="B55" s="1291"/>
      <c r="C55" s="351" t="s">
        <v>400</v>
      </c>
      <c r="D55" s="352">
        <f>+D56</f>
        <v>0</v>
      </c>
      <c r="E55" s="352">
        <v>0</v>
      </c>
      <c r="F55" s="352">
        <v>0</v>
      </c>
      <c r="G55" s="352">
        <f>SUM(D55:F55)</f>
        <v>0</v>
      </c>
      <c r="H55" s="352">
        <v>236066800</v>
      </c>
      <c r="I55" s="352">
        <v>11268400</v>
      </c>
      <c r="J55" s="352">
        <f>SUM(H55:I55)</f>
        <v>247335200</v>
      </c>
      <c r="K55" s="352">
        <v>18817300</v>
      </c>
      <c r="L55" s="352">
        <v>76163300</v>
      </c>
      <c r="M55" s="352">
        <f>SUM(K55:L55)</f>
        <v>94980600</v>
      </c>
      <c r="N55" s="352">
        <v>0</v>
      </c>
      <c r="O55" s="352">
        <v>0</v>
      </c>
      <c r="P55" s="352">
        <f>+G55+J55+M55+N55+O55</f>
        <v>342315800</v>
      </c>
    </row>
    <row r="56" spans="1:17" s="354" customFormat="1" ht="52.5" hidden="1" customHeight="1" x14ac:dyDescent="0.5">
      <c r="A56" s="1291" t="s">
        <v>241</v>
      </c>
      <c r="B56" s="1291"/>
      <c r="C56" s="351" t="s">
        <v>401</v>
      </c>
      <c r="D56" s="352">
        <v>0</v>
      </c>
      <c r="E56" s="352">
        <v>0</v>
      </c>
      <c r="F56" s="352">
        <v>0</v>
      </c>
      <c r="G56" s="352">
        <f>SUM(D56:F56)</f>
        <v>0</v>
      </c>
      <c r="H56" s="366">
        <f>246721316.37-I56</f>
        <v>235452916.37</v>
      </c>
      <c r="I56" s="366">
        <v>11268400</v>
      </c>
      <c r="J56" s="366">
        <f>SUM(H56:I56)</f>
        <v>246721316.37</v>
      </c>
      <c r="K56" s="352">
        <v>15597133.42</v>
      </c>
      <c r="L56" s="366">
        <v>73213472.209999993</v>
      </c>
      <c r="M56" s="352">
        <f>SUM(K56:L56)</f>
        <v>88810605.629999995</v>
      </c>
      <c r="N56" s="352">
        <v>0</v>
      </c>
      <c r="O56" s="352">
        <v>0</v>
      </c>
      <c r="P56" s="352">
        <f>+G56+J56+M56+N56+O56</f>
        <v>335531922</v>
      </c>
      <c r="Q56" s="354">
        <f>+P55-P56</f>
        <v>6783878</v>
      </c>
    </row>
    <row r="57" spans="1:17" s="354" customFormat="1" ht="52.5" hidden="1" customHeight="1" x14ac:dyDescent="0.5">
      <c r="A57" s="1289">
        <v>7</v>
      </c>
      <c r="B57" s="368" t="s">
        <v>419</v>
      </c>
      <c r="C57" s="351" t="s">
        <v>77</v>
      </c>
      <c r="D57" s="352">
        <v>0</v>
      </c>
      <c r="E57" s="352">
        <v>0</v>
      </c>
      <c r="F57" s="352">
        <v>0</v>
      </c>
      <c r="G57" s="352">
        <f>SUM(D57:F57)</f>
        <v>0</v>
      </c>
      <c r="H57" s="352">
        <f>6361807.96-I57</f>
        <v>6217785.96</v>
      </c>
      <c r="I57" s="352">
        <v>144022</v>
      </c>
      <c r="J57" s="352">
        <f>SUM(H57:I57)</f>
        <v>6361807.96</v>
      </c>
      <c r="K57" s="352">
        <v>2274000</v>
      </c>
      <c r="L57" s="352">
        <v>50459794.229999997</v>
      </c>
      <c r="M57" s="352">
        <f>SUM(K57:L57)</f>
        <v>52733794.229999997</v>
      </c>
      <c r="N57" s="352">
        <v>0</v>
      </c>
      <c r="O57" s="352">
        <v>0</v>
      </c>
      <c r="P57" s="352">
        <f>+G57+J57+M57+N57+O57</f>
        <v>59095602.189999998</v>
      </c>
      <c r="Q57" s="354">
        <f>SUM(Q48:Q56)</f>
        <v>12172278</v>
      </c>
    </row>
    <row r="58" spans="1:17" s="354" customFormat="1" ht="52.5" hidden="1" customHeight="1" x14ac:dyDescent="0.5">
      <c r="A58" s="1289"/>
      <c r="B58" s="363" t="s">
        <v>417</v>
      </c>
      <c r="C58" s="351" t="s">
        <v>17</v>
      </c>
      <c r="D58" s="352">
        <v>0</v>
      </c>
      <c r="E58" s="352">
        <v>0</v>
      </c>
      <c r="F58" s="352">
        <v>0</v>
      </c>
      <c r="G58" s="352">
        <f>SUM(D58:F58)</f>
        <v>0</v>
      </c>
      <c r="H58" s="352">
        <f>239217906.21-I58</f>
        <v>207895647.21000001</v>
      </c>
      <c r="I58" s="352">
        <v>31322259</v>
      </c>
      <c r="J58" s="352">
        <f>SUM(H58:I58)</f>
        <v>239217906.21000001</v>
      </c>
      <c r="K58" s="352">
        <v>13322603.42</v>
      </c>
      <c r="L58" s="352">
        <v>11030677.98</v>
      </c>
      <c r="M58" s="352">
        <f>SUM(K58:L58)</f>
        <v>24353281.399999999</v>
      </c>
      <c r="N58" s="352">
        <v>0</v>
      </c>
      <c r="O58" s="352">
        <v>0</v>
      </c>
      <c r="P58" s="352">
        <f>+G58+J58+M58+N58+O58</f>
        <v>263571187.61000001</v>
      </c>
    </row>
    <row r="59" spans="1:17" s="360" customFormat="1" ht="52.5" hidden="1" customHeight="1" x14ac:dyDescent="0.5">
      <c r="A59" s="1289"/>
      <c r="B59" s="355"/>
      <c r="C59" s="351" t="s">
        <v>78</v>
      </c>
      <c r="D59" s="352">
        <f>+D56-D58</f>
        <v>0</v>
      </c>
      <c r="E59" s="352">
        <f>+E56-E58</f>
        <v>0</v>
      </c>
      <c r="F59" s="352">
        <f>+F56-F58</f>
        <v>0</v>
      </c>
      <c r="G59" s="352">
        <f>G56-G58</f>
        <v>0</v>
      </c>
      <c r="H59" s="352">
        <f>+H56-H58</f>
        <v>27557269.159999996</v>
      </c>
      <c r="I59" s="352">
        <f>+I56-I58</f>
        <v>-20053859</v>
      </c>
      <c r="J59" s="352">
        <f>J56-J58</f>
        <v>7503410.1599999964</v>
      </c>
      <c r="K59" s="352">
        <f>+K56-K58</f>
        <v>2274530</v>
      </c>
      <c r="L59" s="352">
        <f>+L56-L58</f>
        <v>62182794.229999989</v>
      </c>
      <c r="M59" s="352">
        <f>M56-M58</f>
        <v>64457324.229999997</v>
      </c>
      <c r="N59" s="352">
        <f>+N56-N58</f>
        <v>0</v>
      </c>
      <c r="O59" s="352">
        <f>+O56-O58</f>
        <v>0</v>
      </c>
      <c r="P59" s="352">
        <f>P56-P58</f>
        <v>71960734.389999986</v>
      </c>
    </row>
    <row r="60" spans="1:17" s="360" customFormat="1" ht="52.5" hidden="1" customHeight="1" x14ac:dyDescent="0.5">
      <c r="A60" s="1289"/>
      <c r="B60" s="358" t="s">
        <v>418</v>
      </c>
      <c r="C60" s="351" t="s">
        <v>80</v>
      </c>
      <c r="D60" s="352">
        <f>+D56-D57-D58</f>
        <v>0</v>
      </c>
      <c r="E60" s="352">
        <f>+E56-E57-E58</f>
        <v>0</v>
      </c>
      <c r="F60" s="352">
        <f>+F56-F57-F58</f>
        <v>0</v>
      </c>
      <c r="G60" s="352">
        <f>G56-G57-G58</f>
        <v>0</v>
      </c>
      <c r="H60" s="352">
        <f>+H56-H57-H58</f>
        <v>21339483.199999988</v>
      </c>
      <c r="I60" s="352">
        <f>+I56-I57-I58</f>
        <v>-20197881</v>
      </c>
      <c r="J60" s="352">
        <f>J56-J57-J58</f>
        <v>1141602.1999999881</v>
      </c>
      <c r="K60" s="352">
        <f>+K56-K57-K58</f>
        <v>530</v>
      </c>
      <c r="L60" s="352">
        <f>+L56-L57-L58</f>
        <v>11722999.999999996</v>
      </c>
      <c r="M60" s="352">
        <f>M56-M57-M58</f>
        <v>11723530</v>
      </c>
      <c r="N60" s="352">
        <f>+N56-N57-N58</f>
        <v>0</v>
      </c>
      <c r="O60" s="352">
        <f>+O56-O57-O58</f>
        <v>0</v>
      </c>
      <c r="P60" s="352">
        <f>P56-P57-P58</f>
        <v>12865132.199999988</v>
      </c>
    </row>
    <row r="61" spans="1:17" s="354" customFormat="1" ht="52.5" hidden="1" customHeight="1" x14ac:dyDescent="0.5">
      <c r="A61" s="1289"/>
      <c r="B61" s="365"/>
      <c r="C61" s="351" t="s">
        <v>100</v>
      </c>
      <c r="D61" s="352">
        <v>0</v>
      </c>
      <c r="E61" s="352">
        <v>0</v>
      </c>
      <c r="F61" s="352">
        <v>0</v>
      </c>
      <c r="G61" s="352">
        <v>0</v>
      </c>
      <c r="H61" s="352">
        <f t="shared" ref="H61:M61" si="5">+H58*100/H55</f>
        <v>88.066448653516716</v>
      </c>
      <c r="I61" s="352">
        <f t="shared" si="5"/>
        <v>277.96545206062973</v>
      </c>
      <c r="J61" s="352">
        <f t="shared" si="5"/>
        <v>96.718100056118175</v>
      </c>
      <c r="K61" s="352">
        <f t="shared" si="5"/>
        <v>70.799760964644236</v>
      </c>
      <c r="L61" s="352">
        <f t="shared" si="5"/>
        <v>14.482930729104437</v>
      </c>
      <c r="M61" s="352">
        <f t="shared" si="5"/>
        <v>25.640269065472317</v>
      </c>
      <c r="N61" s="352">
        <v>0</v>
      </c>
      <c r="O61" s="352">
        <v>0</v>
      </c>
      <c r="P61" s="352">
        <f>+P58*100/P55</f>
        <v>76.996500777936632</v>
      </c>
    </row>
    <row r="62" spans="1:17" s="354" customFormat="1" ht="52.5" hidden="1" customHeight="1" thickBot="1" x14ac:dyDescent="0.55000000000000004">
      <c r="A62" s="1289"/>
      <c r="B62" s="358"/>
      <c r="C62" s="351" t="s">
        <v>101</v>
      </c>
      <c r="D62" s="352">
        <v>0</v>
      </c>
      <c r="E62" s="352">
        <v>0</v>
      </c>
      <c r="F62" s="352">
        <v>0</v>
      </c>
      <c r="G62" s="352">
        <v>0</v>
      </c>
      <c r="H62" s="352">
        <f t="shared" ref="H62:M62" si="6">+H58*100/H56</f>
        <v>88.296059532898113</v>
      </c>
      <c r="I62" s="352">
        <f t="shared" si="6"/>
        <v>277.96545206062973</v>
      </c>
      <c r="J62" s="352">
        <f t="shared" si="6"/>
        <v>96.958750759603035</v>
      </c>
      <c r="K62" s="352">
        <f t="shared" si="6"/>
        <v>85.416999786105563</v>
      </c>
      <c r="L62" s="352">
        <f t="shared" si="6"/>
        <v>15.066459282740254</v>
      </c>
      <c r="M62" s="352">
        <f t="shared" si="6"/>
        <v>27.421591404814748</v>
      </c>
      <c r="N62" s="352">
        <v>0</v>
      </c>
      <c r="O62" s="352">
        <v>0</v>
      </c>
      <c r="P62" s="352">
        <f>+P58*100/P56</f>
        <v>78.55323750984266</v>
      </c>
    </row>
    <row r="63" spans="1:17" s="354" customFormat="1" ht="52.5" hidden="1" customHeight="1" x14ac:dyDescent="0.5">
      <c r="A63" s="1291" t="s">
        <v>240</v>
      </c>
      <c r="B63" s="1291"/>
      <c r="C63" s="351" t="s">
        <v>400</v>
      </c>
      <c r="D63" s="352">
        <f>+D64</f>
        <v>0</v>
      </c>
      <c r="E63" s="352">
        <v>0</v>
      </c>
      <c r="F63" s="352">
        <v>0</v>
      </c>
      <c r="G63" s="352">
        <f>SUM(D63:F63)</f>
        <v>0</v>
      </c>
      <c r="H63" s="352">
        <v>241397900</v>
      </c>
      <c r="I63" s="352">
        <v>12766900</v>
      </c>
      <c r="J63" s="352">
        <f>SUM(H63:I63)</f>
        <v>254164800</v>
      </c>
      <c r="K63" s="352">
        <v>10024900</v>
      </c>
      <c r="L63" s="352">
        <v>107431300</v>
      </c>
      <c r="M63" s="352">
        <f>SUM(K63:L63)</f>
        <v>117456200</v>
      </c>
      <c r="N63" s="352">
        <v>0</v>
      </c>
      <c r="O63" s="352">
        <v>11263200</v>
      </c>
      <c r="P63" s="352">
        <f>+G63+J63+M63+N63+O63</f>
        <v>382884200</v>
      </c>
    </row>
    <row r="64" spans="1:17" s="354" customFormat="1" ht="52.5" hidden="1" customHeight="1" x14ac:dyDescent="0.5">
      <c r="A64" s="1291" t="s">
        <v>241</v>
      </c>
      <c r="B64" s="1291"/>
      <c r="C64" s="351" t="s">
        <v>401</v>
      </c>
      <c r="D64" s="352">
        <v>0</v>
      </c>
      <c r="E64" s="352">
        <v>0</v>
      </c>
      <c r="F64" s="352">
        <v>0</v>
      </c>
      <c r="G64" s="352">
        <f>SUM(D64:F64)</f>
        <v>0</v>
      </c>
      <c r="H64" s="366">
        <f>242767143.84-I64</f>
        <v>230000243.84</v>
      </c>
      <c r="I64" s="366">
        <v>12766900</v>
      </c>
      <c r="J64" s="366">
        <f>SUM(H64:I64)</f>
        <v>242767143.84</v>
      </c>
      <c r="K64" s="352">
        <v>14926450.58</v>
      </c>
      <c r="L64" s="366">
        <v>93986159.579999998</v>
      </c>
      <c r="M64" s="352">
        <f>SUM(K64:L64)</f>
        <v>108912610.16</v>
      </c>
      <c r="N64" s="352">
        <v>0</v>
      </c>
      <c r="O64" s="366">
        <f>900000+2000000+6250924+907200</f>
        <v>10058124</v>
      </c>
      <c r="P64" s="352">
        <f>+G64+J64+M64+N64+O64</f>
        <v>361737878</v>
      </c>
      <c r="Q64" s="354">
        <f>+P63-P64</f>
        <v>21146322</v>
      </c>
    </row>
    <row r="65" spans="1:18" s="354" customFormat="1" ht="52.5" hidden="1" customHeight="1" x14ac:dyDescent="0.5">
      <c r="A65" s="1289">
        <v>8</v>
      </c>
      <c r="B65" s="368" t="s">
        <v>420</v>
      </c>
      <c r="C65" s="351" t="s">
        <v>77</v>
      </c>
      <c r="D65" s="352">
        <v>0</v>
      </c>
      <c r="E65" s="352">
        <v>0</v>
      </c>
      <c r="F65" s="352">
        <v>0</v>
      </c>
      <c r="G65" s="352">
        <f>SUM(D65:F65)</f>
        <v>0</v>
      </c>
      <c r="H65" s="352">
        <f>7378104.6-I65</f>
        <v>7378104.5999999996</v>
      </c>
      <c r="I65" s="352">
        <v>0</v>
      </c>
      <c r="J65" s="352">
        <f>SUM(H65:I65)</f>
        <v>7378104.5999999996</v>
      </c>
      <c r="K65" s="352">
        <v>997015</v>
      </c>
      <c r="L65" s="352">
        <v>25311409</v>
      </c>
      <c r="M65" s="352">
        <f>SUM(K65:L65)</f>
        <v>26308424</v>
      </c>
      <c r="N65" s="352">
        <v>0</v>
      </c>
      <c r="O65" s="352">
        <v>0</v>
      </c>
      <c r="P65" s="352">
        <f>+G65+J65+M65+N65+O65</f>
        <v>33686528.600000001</v>
      </c>
      <c r="Q65" s="354">
        <f>SUM(Q56:Q64)</f>
        <v>40102478</v>
      </c>
    </row>
    <row r="66" spans="1:18" s="354" customFormat="1" ht="52.5" hidden="1" customHeight="1" x14ac:dyDescent="0.5">
      <c r="A66" s="1289"/>
      <c r="B66" s="363" t="s">
        <v>421</v>
      </c>
      <c r="C66" s="351" t="s">
        <v>17</v>
      </c>
      <c r="D66" s="352">
        <v>0</v>
      </c>
      <c r="E66" s="352">
        <v>0</v>
      </c>
      <c r="F66" s="352">
        <v>0</v>
      </c>
      <c r="G66" s="352">
        <f>SUM(D66:F66)</f>
        <v>0</v>
      </c>
      <c r="H66" s="352">
        <f>233733621.12-I66</f>
        <v>207458435.49000001</v>
      </c>
      <c r="I66" s="352">
        <v>26275185.629999999</v>
      </c>
      <c r="J66" s="352">
        <f>SUM(H66:I66)</f>
        <v>233733621.12</v>
      </c>
      <c r="K66" s="352">
        <v>13928472.58</v>
      </c>
      <c r="L66" s="352">
        <v>68262629.079999998</v>
      </c>
      <c r="M66" s="352">
        <f>SUM(K66:L66)</f>
        <v>82191101.659999996</v>
      </c>
      <c r="N66" s="352">
        <v>0</v>
      </c>
      <c r="O66" s="352">
        <f>523695.12+1238590.56+5312573.32+907200</f>
        <v>7982059</v>
      </c>
      <c r="P66" s="352">
        <f>+G66+J66+M66+N66+O66</f>
        <v>323906781.77999997</v>
      </c>
    </row>
    <row r="67" spans="1:18" s="360" customFormat="1" ht="52.5" hidden="1" customHeight="1" x14ac:dyDescent="0.5">
      <c r="A67" s="1289"/>
      <c r="B67" s="355"/>
      <c r="C67" s="351" t="s">
        <v>78</v>
      </c>
      <c r="D67" s="352">
        <f>+D64-D66</f>
        <v>0</v>
      </c>
      <c r="E67" s="352">
        <f>+E64-E66</f>
        <v>0</v>
      </c>
      <c r="F67" s="352">
        <f>+F64-F66</f>
        <v>0</v>
      </c>
      <c r="G67" s="352">
        <f>G64-G66</f>
        <v>0</v>
      </c>
      <c r="H67" s="352">
        <f>+H64-H66</f>
        <v>22541808.349999994</v>
      </c>
      <c r="I67" s="352">
        <f>+I64-I66</f>
        <v>-13508285.629999999</v>
      </c>
      <c r="J67" s="352">
        <f>J64-J66</f>
        <v>9033522.7199999988</v>
      </c>
      <c r="K67" s="352">
        <f>+K64-K66</f>
        <v>997978</v>
      </c>
      <c r="L67" s="352">
        <f>+L64-L66</f>
        <v>25723530.5</v>
      </c>
      <c r="M67" s="352">
        <f>M64-M66</f>
        <v>26721508.5</v>
      </c>
      <c r="N67" s="352">
        <f>+N64-N66</f>
        <v>0</v>
      </c>
      <c r="O67" s="352">
        <f>+O64-O66</f>
        <v>2076065</v>
      </c>
      <c r="P67" s="352">
        <f>P64-P66</f>
        <v>37831096.220000029</v>
      </c>
    </row>
    <row r="68" spans="1:18" s="360" customFormat="1" ht="52.5" hidden="1" customHeight="1" x14ac:dyDescent="0.5">
      <c r="A68" s="1289"/>
      <c r="B68" s="358" t="s">
        <v>422</v>
      </c>
      <c r="C68" s="351" t="s">
        <v>80</v>
      </c>
      <c r="D68" s="352">
        <f>+D64-D65-D66</f>
        <v>0</v>
      </c>
      <c r="E68" s="352">
        <f>+E64-E65-E66</f>
        <v>0</v>
      </c>
      <c r="F68" s="352">
        <f>+F64-F65-F66</f>
        <v>0</v>
      </c>
      <c r="G68" s="352">
        <f>G64-G65-G66</f>
        <v>0</v>
      </c>
      <c r="H68" s="352">
        <f>+H64-H65-H66</f>
        <v>15163703.75</v>
      </c>
      <c r="I68" s="352">
        <f>+I64-I65-I66</f>
        <v>-13508285.629999999</v>
      </c>
      <c r="J68" s="352">
        <f>J64-J65-J66</f>
        <v>1655418.1200000048</v>
      </c>
      <c r="K68" s="352">
        <f>+K64-K65-K66</f>
        <v>963</v>
      </c>
      <c r="L68" s="352">
        <f>+L64-L65-L66</f>
        <v>412121.5</v>
      </c>
      <c r="M68" s="352">
        <f>M64-M65-M66</f>
        <v>413084.5</v>
      </c>
      <c r="N68" s="352">
        <f>+N64-N65-N66</f>
        <v>0</v>
      </c>
      <c r="O68" s="352">
        <f>+O64-O65-O66</f>
        <v>2076065</v>
      </c>
      <c r="P68" s="352">
        <f>P64-P65-P66</f>
        <v>4144567.6200000048</v>
      </c>
    </row>
    <row r="69" spans="1:18" s="354" customFormat="1" ht="52.5" hidden="1" customHeight="1" x14ac:dyDescent="0.5">
      <c r="A69" s="1289"/>
      <c r="B69" s="365"/>
      <c r="C69" s="351" t="s">
        <v>100</v>
      </c>
      <c r="D69" s="352">
        <v>0</v>
      </c>
      <c r="E69" s="352">
        <v>0</v>
      </c>
      <c r="F69" s="352">
        <v>0</v>
      </c>
      <c r="G69" s="352">
        <v>0</v>
      </c>
      <c r="H69" s="352">
        <f t="shared" ref="H69:M69" si="7">+H66*100/H63</f>
        <v>85.94044748939406</v>
      </c>
      <c r="I69" s="352">
        <f t="shared" si="7"/>
        <v>205.80709201137316</v>
      </c>
      <c r="J69" s="352">
        <f t="shared" si="7"/>
        <v>91.961444354214279</v>
      </c>
      <c r="K69" s="352">
        <f t="shared" si="7"/>
        <v>138.93876826701512</v>
      </c>
      <c r="L69" s="352">
        <f t="shared" si="7"/>
        <v>63.540727032066073</v>
      </c>
      <c r="M69" s="352">
        <f t="shared" si="7"/>
        <v>69.975958408325823</v>
      </c>
      <c r="N69" s="352">
        <v>0</v>
      </c>
      <c r="O69" s="352">
        <f>+O66*100/O63</f>
        <v>70.868483201931951</v>
      </c>
      <c r="P69" s="352">
        <f>+P66*100/P63</f>
        <v>84.59653905279977</v>
      </c>
    </row>
    <row r="70" spans="1:18" s="354" customFormat="1" ht="52.5" hidden="1" customHeight="1" thickBot="1" x14ac:dyDescent="0.55000000000000004">
      <c r="A70" s="1289"/>
      <c r="B70" s="358"/>
      <c r="C70" s="351" t="s">
        <v>101</v>
      </c>
      <c r="D70" s="352">
        <v>0</v>
      </c>
      <c r="E70" s="352">
        <v>0</v>
      </c>
      <c r="F70" s="352">
        <v>0</v>
      </c>
      <c r="G70" s="352">
        <v>0</v>
      </c>
      <c r="H70" s="352">
        <f t="shared" ref="H70:M70" si="8">+H66*100/H64</f>
        <v>90.19922415139645</v>
      </c>
      <c r="I70" s="352">
        <f t="shared" si="8"/>
        <v>205.80709201137316</v>
      </c>
      <c r="J70" s="352">
        <f t="shared" si="8"/>
        <v>96.278935206341714</v>
      </c>
      <c r="K70" s="352">
        <f t="shared" si="8"/>
        <v>93.314030052548503</v>
      </c>
      <c r="L70" s="352">
        <f t="shared" si="8"/>
        <v>72.63051217865285</v>
      </c>
      <c r="M70" s="352">
        <f t="shared" si="8"/>
        <v>75.465184003262536</v>
      </c>
      <c r="N70" s="352">
        <v>0</v>
      </c>
      <c r="O70" s="352">
        <f>+O66*100/O64</f>
        <v>79.359321877519108</v>
      </c>
      <c r="P70" s="352">
        <f>+P66*100/P64</f>
        <v>89.541848249577001</v>
      </c>
    </row>
    <row r="71" spans="1:18" s="354" customFormat="1" ht="52.5" hidden="1" customHeight="1" x14ac:dyDescent="0.5">
      <c r="A71" s="1289">
        <v>9</v>
      </c>
      <c r="B71" s="369"/>
      <c r="C71" s="351" t="s">
        <v>400</v>
      </c>
      <c r="D71" s="352">
        <f t="shared" ref="D71:F74" si="9">+D55+D63</f>
        <v>0</v>
      </c>
      <c r="E71" s="352">
        <f t="shared" si="9"/>
        <v>0</v>
      </c>
      <c r="F71" s="352">
        <f t="shared" si="9"/>
        <v>0</v>
      </c>
      <c r="G71" s="352">
        <f>SUM(D71:F71)</f>
        <v>0</v>
      </c>
      <c r="H71" s="352">
        <f>+H55+H63</f>
        <v>477464700</v>
      </c>
      <c r="I71" s="352">
        <f>+I55+I63</f>
        <v>24035300</v>
      </c>
      <c r="J71" s="352">
        <f>SUM(H71:I71)</f>
        <v>501500000</v>
      </c>
      <c r="K71" s="352">
        <f t="shared" ref="K71:L74" si="10">+K55+K63</f>
        <v>28842200</v>
      </c>
      <c r="L71" s="352">
        <f t="shared" si="10"/>
        <v>183594600</v>
      </c>
      <c r="M71" s="352">
        <f>SUM(K71:L71)</f>
        <v>212436800</v>
      </c>
      <c r="N71" s="352">
        <f t="shared" ref="N71:O74" si="11">+N55+N63</f>
        <v>0</v>
      </c>
      <c r="O71" s="352">
        <f t="shared" si="11"/>
        <v>11263200</v>
      </c>
      <c r="P71" s="352">
        <f>SUM(G71+J71+M71+N71+O71)</f>
        <v>725200000</v>
      </c>
    </row>
    <row r="72" spans="1:18" s="354" customFormat="1" ht="52.5" hidden="1" customHeight="1" x14ac:dyDescent="0.5">
      <c r="A72" s="1289"/>
      <c r="B72" s="369" t="s">
        <v>10</v>
      </c>
      <c r="C72" s="351" t="s">
        <v>401</v>
      </c>
      <c r="D72" s="352">
        <f t="shared" si="9"/>
        <v>0</v>
      </c>
      <c r="E72" s="352">
        <f t="shared" si="9"/>
        <v>0</v>
      </c>
      <c r="F72" s="352">
        <f t="shared" si="9"/>
        <v>0</v>
      </c>
      <c r="G72" s="352">
        <f>SUM(D72:F72)</f>
        <v>0</v>
      </c>
      <c r="H72" s="352">
        <f t="shared" ref="H72:I74" si="12">+H56+H64</f>
        <v>465453160.21000004</v>
      </c>
      <c r="I72" s="352">
        <f t="shared" si="12"/>
        <v>24035300</v>
      </c>
      <c r="J72" s="352">
        <f>SUM(H72:I72)</f>
        <v>489488460.21000004</v>
      </c>
      <c r="K72" s="352">
        <f t="shared" si="10"/>
        <v>30523584</v>
      </c>
      <c r="L72" s="352">
        <f t="shared" si="10"/>
        <v>167199631.78999999</v>
      </c>
      <c r="M72" s="352">
        <f>SUM(K72:L72)</f>
        <v>197723215.78999999</v>
      </c>
      <c r="N72" s="352">
        <f t="shared" si="11"/>
        <v>0</v>
      </c>
      <c r="O72" s="352">
        <f t="shared" si="11"/>
        <v>10058124</v>
      </c>
      <c r="P72" s="352">
        <f>SUM(G72+J72+M72+N72+O72)</f>
        <v>697269800</v>
      </c>
    </row>
    <row r="73" spans="1:18" s="354" customFormat="1" ht="52.5" hidden="1" customHeight="1" x14ac:dyDescent="0.5">
      <c r="A73" s="1289"/>
      <c r="B73" s="369" t="s">
        <v>242</v>
      </c>
      <c r="C73" s="351" t="s">
        <v>77</v>
      </c>
      <c r="D73" s="352">
        <f t="shared" si="9"/>
        <v>0</v>
      </c>
      <c r="E73" s="352">
        <f t="shared" si="9"/>
        <v>0</v>
      </c>
      <c r="F73" s="352">
        <f t="shared" si="9"/>
        <v>0</v>
      </c>
      <c r="G73" s="352">
        <f>SUM(D73:F73)</f>
        <v>0</v>
      </c>
      <c r="H73" s="352">
        <f t="shared" si="12"/>
        <v>13595890.559999999</v>
      </c>
      <c r="I73" s="352">
        <f t="shared" si="12"/>
        <v>144022</v>
      </c>
      <c r="J73" s="352">
        <f>SUM(H73:I73)</f>
        <v>13739912.559999999</v>
      </c>
      <c r="K73" s="352">
        <f t="shared" si="10"/>
        <v>3271015</v>
      </c>
      <c r="L73" s="352">
        <f t="shared" si="10"/>
        <v>75771203.229999989</v>
      </c>
      <c r="M73" s="352">
        <f>SUM(K73:L73)</f>
        <v>79042218.229999989</v>
      </c>
      <c r="N73" s="352">
        <f t="shared" si="11"/>
        <v>0</v>
      </c>
      <c r="O73" s="352">
        <f>+O57+O65</f>
        <v>0</v>
      </c>
      <c r="P73" s="352">
        <f>SUM(G73+J73+M73+N73+O73)</f>
        <v>92782130.789999992</v>
      </c>
    </row>
    <row r="74" spans="1:18" s="354" customFormat="1" ht="52.5" hidden="1" customHeight="1" x14ac:dyDescent="0.5">
      <c r="A74" s="1289"/>
      <c r="B74" s="369" t="s">
        <v>243</v>
      </c>
      <c r="C74" s="351" t="s">
        <v>17</v>
      </c>
      <c r="D74" s="352">
        <f t="shared" si="9"/>
        <v>0</v>
      </c>
      <c r="E74" s="352">
        <f t="shared" si="9"/>
        <v>0</v>
      </c>
      <c r="F74" s="352">
        <f t="shared" si="9"/>
        <v>0</v>
      </c>
      <c r="G74" s="352">
        <f>SUM(D74:F74)</f>
        <v>0</v>
      </c>
      <c r="H74" s="352">
        <f t="shared" si="12"/>
        <v>415354082.70000005</v>
      </c>
      <c r="I74" s="352">
        <f t="shared" si="12"/>
        <v>57597444.629999995</v>
      </c>
      <c r="J74" s="352">
        <f>SUM(H74:I74)</f>
        <v>472951527.33000004</v>
      </c>
      <c r="K74" s="352">
        <f t="shared" si="10"/>
        <v>27251076</v>
      </c>
      <c r="L74" s="352">
        <f t="shared" si="10"/>
        <v>79293307.060000002</v>
      </c>
      <c r="M74" s="352">
        <f>SUM(K74:L74)</f>
        <v>106544383.06</v>
      </c>
      <c r="N74" s="352">
        <f t="shared" si="11"/>
        <v>0</v>
      </c>
      <c r="O74" s="352">
        <f>+O58+O66</f>
        <v>7982059</v>
      </c>
      <c r="P74" s="352">
        <f>SUM(G74+J74+M74+N74+O74)</f>
        <v>587477969.3900001</v>
      </c>
    </row>
    <row r="75" spans="1:18" s="354" customFormat="1" ht="52.5" hidden="1" customHeight="1" x14ac:dyDescent="0.5">
      <c r="A75" s="1289"/>
      <c r="B75" s="369" t="s">
        <v>244</v>
      </c>
      <c r="C75" s="351" t="s">
        <v>78</v>
      </c>
      <c r="D75" s="352">
        <f t="shared" ref="D75:L75" si="13">+D72-D74</f>
        <v>0</v>
      </c>
      <c r="E75" s="352">
        <f>+E72-E74</f>
        <v>0</v>
      </c>
      <c r="F75" s="352">
        <f>+F72-F74</f>
        <v>0</v>
      </c>
      <c r="G75" s="352">
        <f t="shared" si="13"/>
        <v>0</v>
      </c>
      <c r="H75" s="352">
        <f>+H72-H74</f>
        <v>50099077.50999999</v>
      </c>
      <c r="I75" s="352">
        <f>+I72-I74</f>
        <v>-33562144.629999995</v>
      </c>
      <c r="J75" s="352">
        <f t="shared" si="13"/>
        <v>16536932.879999995</v>
      </c>
      <c r="K75" s="352">
        <f t="shared" si="13"/>
        <v>3272508</v>
      </c>
      <c r="L75" s="352">
        <f t="shared" si="13"/>
        <v>87906324.729999989</v>
      </c>
      <c r="M75" s="352">
        <f>+M72-M74</f>
        <v>91178832.729999989</v>
      </c>
      <c r="N75" s="352">
        <f>+N72-N74</f>
        <v>0</v>
      </c>
      <c r="O75" s="352">
        <f>+O72-O74</f>
        <v>2076065</v>
      </c>
      <c r="P75" s="352">
        <f>P72-P74</f>
        <v>109791830.6099999</v>
      </c>
    </row>
    <row r="76" spans="1:18" s="354" customFormat="1" ht="52.5" hidden="1" customHeight="1" x14ac:dyDescent="0.5">
      <c r="A76" s="1289"/>
      <c r="B76" s="369" t="s">
        <v>446</v>
      </c>
      <c r="C76" s="351" t="s">
        <v>80</v>
      </c>
      <c r="D76" s="352">
        <f t="shared" ref="D76:L76" si="14">+D72-D73-D74</f>
        <v>0</v>
      </c>
      <c r="E76" s="352">
        <f>+E72-E73-E74</f>
        <v>0</v>
      </c>
      <c r="F76" s="352">
        <f>+F72-F73-F74</f>
        <v>0</v>
      </c>
      <c r="G76" s="352">
        <f t="shared" si="14"/>
        <v>0</v>
      </c>
      <c r="H76" s="352">
        <f>+H72-H73-H74</f>
        <v>36503186.949999988</v>
      </c>
      <c r="I76" s="352">
        <f>+I72-I73-I74</f>
        <v>-33706166.629999995</v>
      </c>
      <c r="J76" s="352">
        <f t="shared" si="14"/>
        <v>2797020.3199999928</v>
      </c>
      <c r="K76" s="352">
        <f t="shared" si="14"/>
        <v>1493</v>
      </c>
      <c r="L76" s="352">
        <f t="shared" si="14"/>
        <v>12135121.5</v>
      </c>
      <c r="M76" s="352">
        <f>+M72-M73-M74</f>
        <v>12136614.5</v>
      </c>
      <c r="N76" s="352">
        <f>+N72-N73-N74</f>
        <v>0</v>
      </c>
      <c r="O76" s="352">
        <f>+O72-O73-O74</f>
        <v>2076065</v>
      </c>
      <c r="P76" s="352">
        <f>P72-P73-P74</f>
        <v>17009699.819999933</v>
      </c>
    </row>
    <row r="77" spans="1:18" s="354" customFormat="1" ht="52.5" hidden="1" customHeight="1" x14ac:dyDescent="0.5">
      <c r="A77" s="1289"/>
      <c r="B77" s="369"/>
      <c r="C77" s="351" t="s">
        <v>100</v>
      </c>
      <c r="D77" s="352">
        <v>0</v>
      </c>
      <c r="E77" s="352">
        <v>0</v>
      </c>
      <c r="F77" s="352">
        <v>0</v>
      </c>
      <c r="G77" s="352">
        <v>0</v>
      </c>
      <c r="H77" s="352">
        <f t="shared" ref="H77:M77" si="15">+H74*100/H71</f>
        <v>86.991579209939516</v>
      </c>
      <c r="I77" s="352">
        <f t="shared" si="15"/>
        <v>239.63688670413933</v>
      </c>
      <c r="J77" s="352">
        <f t="shared" si="15"/>
        <v>94.307383316051855</v>
      </c>
      <c r="K77" s="352">
        <f t="shared" si="15"/>
        <v>94.483347317472308</v>
      </c>
      <c r="L77" s="352">
        <f t="shared" si="15"/>
        <v>43.189346015623556</v>
      </c>
      <c r="M77" s="352">
        <f t="shared" si="15"/>
        <v>50.153449430607125</v>
      </c>
      <c r="N77" s="352">
        <v>0</v>
      </c>
      <c r="O77" s="352">
        <f>+O74*100/O71</f>
        <v>70.868483201931951</v>
      </c>
      <c r="P77" s="352">
        <f>+P74*100/P71</f>
        <v>81.0090967167678</v>
      </c>
    </row>
    <row r="78" spans="1:18" s="354" customFormat="1" ht="52.5" hidden="1" customHeight="1" thickBot="1" x14ac:dyDescent="0.55000000000000004">
      <c r="A78" s="1289"/>
      <c r="B78" s="369"/>
      <c r="C78" s="351" t="s">
        <v>101</v>
      </c>
      <c r="D78" s="352">
        <v>0</v>
      </c>
      <c r="E78" s="352">
        <v>0</v>
      </c>
      <c r="F78" s="352">
        <v>0</v>
      </c>
      <c r="G78" s="352">
        <v>0</v>
      </c>
      <c r="H78" s="352">
        <f t="shared" ref="H78:M78" si="16">+H74*100/H72</f>
        <v>89.236494282819649</v>
      </c>
      <c r="I78" s="352">
        <f t="shared" si="16"/>
        <v>239.63688670413933</v>
      </c>
      <c r="J78" s="352">
        <f t="shared" si="16"/>
        <v>96.621588816842532</v>
      </c>
      <c r="K78" s="352">
        <f t="shared" si="16"/>
        <v>89.278755731961226</v>
      </c>
      <c r="L78" s="352">
        <f t="shared" si="16"/>
        <v>47.424331149001034</v>
      </c>
      <c r="M78" s="352">
        <f t="shared" si="16"/>
        <v>53.885621187326734</v>
      </c>
      <c r="N78" s="352">
        <v>0</v>
      </c>
      <c r="O78" s="352">
        <f>+O74*100/O72</f>
        <v>79.359321877519108</v>
      </c>
      <c r="P78" s="352">
        <f>+P74*100/P72</f>
        <v>84.254039023345058</v>
      </c>
    </row>
    <row r="79" spans="1:18" s="373" customFormat="1" ht="78" customHeight="1" x14ac:dyDescent="0.5">
      <c r="A79" s="370"/>
      <c r="B79" s="371"/>
      <c r="C79" s="372" t="s">
        <v>400</v>
      </c>
      <c r="D79" s="372">
        <f>+D7+D15+D23+D31+D39+D47+D55+D63</f>
        <v>647441100</v>
      </c>
      <c r="E79" s="372">
        <f>+E7+E15+E23+E31+E39+E47+E55+E63</f>
        <v>271970700</v>
      </c>
      <c r="F79" s="372">
        <f>+F7+F15+F23+F31+F39+F47+F55+F63</f>
        <v>482186400</v>
      </c>
      <c r="G79" s="372">
        <f>SUM(D79:F79)</f>
        <v>1401598200</v>
      </c>
      <c r="H79" s="372">
        <f t="shared" ref="H79:I82" si="17">+H7+H15+H23+H31+H39+H47+H55+H63</f>
        <v>516001600</v>
      </c>
      <c r="I79" s="372">
        <f t="shared" si="17"/>
        <v>29543300</v>
      </c>
      <c r="J79" s="372">
        <f>SUM(H79:I79)</f>
        <v>545544900</v>
      </c>
      <c r="K79" s="372">
        <f t="shared" ref="K79:L82" si="18">+K7+K15+K23+K31+K39+K47+K55+K63</f>
        <v>28842200</v>
      </c>
      <c r="L79" s="372">
        <f t="shared" si="18"/>
        <v>183594600</v>
      </c>
      <c r="M79" s="372">
        <f>SUM(K79:L79)</f>
        <v>212436800</v>
      </c>
      <c r="N79" s="372">
        <f t="shared" ref="N79:O82" si="19">+N7+N15+N23+N31+N39+N47+N55+N63</f>
        <v>0</v>
      </c>
      <c r="O79" s="372">
        <f t="shared" si="19"/>
        <v>35360100</v>
      </c>
      <c r="P79" s="372">
        <f>SUM(G79+J79+M79+N79+O79)</f>
        <v>2194940000</v>
      </c>
      <c r="R79" s="374" t="s">
        <v>218</v>
      </c>
    </row>
    <row r="80" spans="1:18" s="373" customFormat="1" ht="78" customHeight="1" x14ac:dyDescent="0.5">
      <c r="A80" s="1295">
        <v>1</v>
      </c>
      <c r="B80" s="371"/>
      <c r="C80" s="372" t="s">
        <v>401</v>
      </c>
      <c r="D80" s="372">
        <f t="shared" ref="D80:F82" si="20">+D8+D16+D24+D32+D40+D48+D56+D64</f>
        <v>632448625</v>
      </c>
      <c r="E80" s="372">
        <f t="shared" si="20"/>
        <v>271970700</v>
      </c>
      <c r="F80" s="372">
        <f t="shared" si="20"/>
        <v>482186400</v>
      </c>
      <c r="G80" s="372">
        <f>SUM(D80:F80)</f>
        <v>1386605725</v>
      </c>
      <c r="H80" s="372">
        <f t="shared" si="17"/>
        <v>502840060.21000004</v>
      </c>
      <c r="I80" s="372">
        <f t="shared" si="17"/>
        <v>29543300</v>
      </c>
      <c r="J80" s="372">
        <f>SUM(H80:I80)</f>
        <v>532383360.21000004</v>
      </c>
      <c r="K80" s="372">
        <f>+K8+K16+K24+K32+K40+K48+K56+K64</f>
        <v>30523584</v>
      </c>
      <c r="L80" s="372">
        <f t="shared" si="18"/>
        <v>167199631.78999999</v>
      </c>
      <c r="M80" s="372">
        <f>SUM(K80:L80)</f>
        <v>197723215.78999999</v>
      </c>
      <c r="N80" s="372">
        <f t="shared" si="19"/>
        <v>0</v>
      </c>
      <c r="O80" s="372">
        <f t="shared" si="19"/>
        <v>32610824</v>
      </c>
      <c r="P80" s="372">
        <f>SUM(G80+J80+M80+N80+O80)</f>
        <v>2149323125</v>
      </c>
      <c r="R80" s="374">
        <f>+P80-P79</f>
        <v>-45616875</v>
      </c>
    </row>
    <row r="81" spans="1:17" s="373" customFormat="1" ht="78" customHeight="1" x14ac:dyDescent="0.5">
      <c r="A81" s="1295"/>
      <c r="B81" s="1294" t="s">
        <v>673</v>
      </c>
      <c r="C81" s="372" t="s">
        <v>77</v>
      </c>
      <c r="D81" s="372">
        <f t="shared" si="20"/>
        <v>0</v>
      </c>
      <c r="E81" s="372">
        <f t="shared" si="20"/>
        <v>0</v>
      </c>
      <c r="F81" s="372">
        <f t="shared" si="20"/>
        <v>0</v>
      </c>
      <c r="G81" s="372">
        <f>SUM(D81:F81)</f>
        <v>0</v>
      </c>
      <c r="H81" s="372">
        <f t="shared" si="17"/>
        <v>13595890.559999999</v>
      </c>
      <c r="I81" s="372">
        <f t="shared" si="17"/>
        <v>144022</v>
      </c>
      <c r="J81" s="372">
        <f>SUM(H81:I81)</f>
        <v>13739912.559999999</v>
      </c>
      <c r="K81" s="372">
        <f t="shared" si="18"/>
        <v>3271015</v>
      </c>
      <c r="L81" s="372">
        <f t="shared" si="18"/>
        <v>75771203.229999989</v>
      </c>
      <c r="M81" s="372">
        <f>SUM(K81:L81)</f>
        <v>79042218.229999989</v>
      </c>
      <c r="N81" s="372">
        <f t="shared" si="19"/>
        <v>0</v>
      </c>
      <c r="O81" s="372">
        <f>+O9+O17+O25+O33+O41+O49+O57+O65</f>
        <v>1676300</v>
      </c>
      <c r="P81" s="372">
        <f>SUM(G81+J81+M81+N81+O81)</f>
        <v>94458430.789999992</v>
      </c>
    </row>
    <row r="82" spans="1:17" s="373" customFormat="1" ht="78" customHeight="1" x14ac:dyDescent="0.5">
      <c r="A82" s="1295"/>
      <c r="B82" s="1294"/>
      <c r="C82" s="375" t="s">
        <v>17</v>
      </c>
      <c r="D82" s="375">
        <f t="shared" si="20"/>
        <v>629957264.80999994</v>
      </c>
      <c r="E82" s="375">
        <f t="shared" si="20"/>
        <v>267038292.97999999</v>
      </c>
      <c r="F82" s="375">
        <f t="shared" si="20"/>
        <v>489610167.20999998</v>
      </c>
      <c r="G82" s="375">
        <f>SUM(D82:F82)</f>
        <v>1386605725</v>
      </c>
      <c r="H82" s="375">
        <f t="shared" si="17"/>
        <v>451075838.46000004</v>
      </c>
      <c r="I82" s="375">
        <f t="shared" si="17"/>
        <v>63469509.840000004</v>
      </c>
      <c r="J82" s="375">
        <f>SUM(H82:I82)</f>
        <v>514545348.30000007</v>
      </c>
      <c r="K82" s="375">
        <f t="shared" si="18"/>
        <v>27251076</v>
      </c>
      <c r="L82" s="375">
        <f t="shared" si="18"/>
        <v>79293307.060000002</v>
      </c>
      <c r="M82" s="375">
        <f>SUM(K82:L82)</f>
        <v>106544383.06</v>
      </c>
      <c r="N82" s="375">
        <f t="shared" si="19"/>
        <v>0</v>
      </c>
      <c r="O82" s="375">
        <f>+O10+O18+O26+O34+O42+O50+O58+O66</f>
        <v>28522570.759999998</v>
      </c>
      <c r="P82" s="375">
        <f>SUM(G82+J82+M82+N82+O82)</f>
        <v>2036218027.1200001</v>
      </c>
    </row>
    <row r="83" spans="1:17" s="373" customFormat="1" ht="78" customHeight="1" x14ac:dyDescent="0.5">
      <c r="A83" s="1295"/>
      <c r="B83" s="1294"/>
      <c r="C83" s="372" t="s">
        <v>78</v>
      </c>
      <c r="D83" s="372">
        <f t="shared" ref="D83:O83" si="21">+D80-D82</f>
        <v>2491360.1900000572</v>
      </c>
      <c r="E83" s="372">
        <f t="shared" si="21"/>
        <v>4932407.0200000107</v>
      </c>
      <c r="F83" s="372">
        <f t="shared" si="21"/>
        <v>-7423767.2099999785</v>
      </c>
      <c r="G83" s="372">
        <f t="shared" si="21"/>
        <v>0</v>
      </c>
      <c r="H83" s="376">
        <f t="shared" si="21"/>
        <v>51764221.75</v>
      </c>
      <c r="I83" s="372">
        <f t="shared" si="21"/>
        <v>-33926209.840000004</v>
      </c>
      <c r="J83" s="372">
        <f t="shared" si="21"/>
        <v>17838011.909999967</v>
      </c>
      <c r="K83" s="372">
        <f t="shared" si="21"/>
        <v>3272508</v>
      </c>
      <c r="L83" s="372">
        <f t="shared" si="21"/>
        <v>87906324.729999989</v>
      </c>
      <c r="M83" s="372">
        <f t="shared" si="21"/>
        <v>91178832.729999989</v>
      </c>
      <c r="N83" s="372">
        <f t="shared" si="21"/>
        <v>0</v>
      </c>
      <c r="O83" s="372">
        <f t="shared" si="21"/>
        <v>4088253.2400000021</v>
      </c>
      <c r="P83" s="372">
        <f>P80-P82</f>
        <v>113105097.87999988</v>
      </c>
    </row>
    <row r="84" spans="1:17" s="373" customFormat="1" ht="78" customHeight="1" x14ac:dyDescent="0.5">
      <c r="A84" s="370"/>
      <c r="B84" s="371"/>
      <c r="C84" s="372" t="s">
        <v>80</v>
      </c>
      <c r="D84" s="372">
        <f t="shared" ref="D84:O84" si="22">+D80-D81-D82</f>
        <v>2491360.1900000572</v>
      </c>
      <c r="E84" s="372">
        <f t="shared" si="22"/>
        <v>4932407.0200000107</v>
      </c>
      <c r="F84" s="372">
        <f t="shared" si="22"/>
        <v>-7423767.2099999785</v>
      </c>
      <c r="G84" s="372">
        <f t="shared" si="22"/>
        <v>0</v>
      </c>
      <c r="H84" s="372">
        <f t="shared" si="22"/>
        <v>38168331.189999998</v>
      </c>
      <c r="I84" s="372">
        <f t="shared" si="22"/>
        <v>-34070231.840000004</v>
      </c>
      <c r="J84" s="372">
        <f t="shared" si="22"/>
        <v>4098099.3499999642</v>
      </c>
      <c r="K84" s="372">
        <f t="shared" si="22"/>
        <v>1493</v>
      </c>
      <c r="L84" s="372">
        <f t="shared" si="22"/>
        <v>12135121.5</v>
      </c>
      <c r="M84" s="372">
        <f t="shared" si="22"/>
        <v>12136614.5</v>
      </c>
      <c r="N84" s="372">
        <f t="shared" si="22"/>
        <v>0</v>
      </c>
      <c r="O84" s="372">
        <f t="shared" si="22"/>
        <v>2411953.2400000021</v>
      </c>
      <c r="P84" s="372">
        <f>P80-P81-P82</f>
        <v>18646667.089999914</v>
      </c>
    </row>
    <row r="85" spans="1:17" s="381" customFormat="1" ht="78" customHeight="1" x14ac:dyDescent="0.5">
      <c r="A85" s="377"/>
      <c r="B85" s="378"/>
      <c r="C85" s="379" t="s">
        <v>100</v>
      </c>
      <c r="D85" s="379">
        <f t="shared" ref="D85:M85" si="23">+D82*100/D79</f>
        <v>97.299548145769535</v>
      </c>
      <c r="E85" s="379">
        <f t="shared" si="23"/>
        <v>98.186419706240414</v>
      </c>
      <c r="F85" s="379">
        <f t="shared" si="23"/>
        <v>101.53960526675991</v>
      </c>
      <c r="G85" s="379">
        <f t="shared" si="23"/>
        <v>98.930330033243479</v>
      </c>
      <c r="H85" s="379">
        <f t="shared" si="23"/>
        <v>87.417527089063285</v>
      </c>
      <c r="I85" s="379">
        <f t="shared" si="23"/>
        <v>214.83554592750303</v>
      </c>
      <c r="J85" s="379">
        <f t="shared" si="23"/>
        <v>94.317690129630037</v>
      </c>
      <c r="K85" s="379">
        <f t="shared" si="23"/>
        <v>94.483347317472308</v>
      </c>
      <c r="L85" s="379">
        <f t="shared" si="23"/>
        <v>43.189346015623556</v>
      </c>
      <c r="M85" s="379">
        <f t="shared" si="23"/>
        <v>50.153449430607125</v>
      </c>
      <c r="N85" s="379">
        <v>0</v>
      </c>
      <c r="O85" s="379">
        <f>+O82*100/O79</f>
        <v>80.663150726383691</v>
      </c>
      <c r="P85" s="379">
        <f>+P82*100/P79</f>
        <v>92.768732954887156</v>
      </c>
      <c r="Q85" s="380"/>
    </row>
    <row r="86" spans="1:17" s="380" customFormat="1" ht="78" customHeight="1" x14ac:dyDescent="0.5">
      <c r="A86" s="377"/>
      <c r="B86" s="378"/>
      <c r="C86" s="382" t="s">
        <v>101</v>
      </c>
      <c r="D86" s="382">
        <f t="shared" ref="D86:M86" si="24">+D82*100/D80</f>
        <v>99.606077064362324</v>
      </c>
      <c r="E86" s="382">
        <f t="shared" si="24"/>
        <v>98.186419706240414</v>
      </c>
      <c r="F86" s="382">
        <f t="shared" si="24"/>
        <v>101.53960526675991</v>
      </c>
      <c r="G86" s="382">
        <f t="shared" si="24"/>
        <v>100</v>
      </c>
      <c r="H86" s="382">
        <f t="shared" si="24"/>
        <v>89.705628917397348</v>
      </c>
      <c r="I86" s="382">
        <f t="shared" si="24"/>
        <v>214.83554592750303</v>
      </c>
      <c r="J86" s="382">
        <f t="shared" si="24"/>
        <v>96.649404687824259</v>
      </c>
      <c r="K86" s="382">
        <f t="shared" si="24"/>
        <v>89.278755731961226</v>
      </c>
      <c r="L86" s="382">
        <f t="shared" si="24"/>
        <v>47.424331149001034</v>
      </c>
      <c r="M86" s="382">
        <f t="shared" si="24"/>
        <v>53.885621187326734</v>
      </c>
      <c r="N86" s="382">
        <v>0</v>
      </c>
      <c r="O86" s="382">
        <f>+O82*100/O80</f>
        <v>87.463508312454792</v>
      </c>
      <c r="P86" s="382">
        <f>+P82*100/P80</f>
        <v>94.737641047806619</v>
      </c>
    </row>
    <row r="87" spans="1:17" s="354" customFormat="1" ht="52.5" hidden="1" customHeight="1" thickBot="1" x14ac:dyDescent="0.55000000000000004">
      <c r="A87" s="383"/>
      <c r="B87" s="1296" t="s">
        <v>64</v>
      </c>
      <c r="C87" s="384" t="s">
        <v>400</v>
      </c>
      <c r="D87" s="385">
        <f>+D79</f>
        <v>647441100</v>
      </c>
      <c r="E87" s="385">
        <f>+E79</f>
        <v>271970700</v>
      </c>
      <c r="F87" s="385">
        <f>+F79</f>
        <v>482186400</v>
      </c>
      <c r="G87" s="386">
        <f>SUM(D87:F87)</f>
        <v>1401598200</v>
      </c>
      <c r="H87" s="385">
        <f t="shared" ref="H87:I90" si="25">+H79</f>
        <v>516001600</v>
      </c>
      <c r="I87" s="385">
        <f t="shared" si="25"/>
        <v>29543300</v>
      </c>
      <c r="J87" s="386">
        <f>SUM(H87:I87)</f>
        <v>545544900</v>
      </c>
      <c r="K87" s="386"/>
      <c r="L87" s="386"/>
      <c r="M87" s="386"/>
      <c r="N87" s="385">
        <f t="shared" ref="N87:O90" si="26">+N79</f>
        <v>0</v>
      </c>
      <c r="O87" s="385">
        <f t="shared" si="26"/>
        <v>35360100</v>
      </c>
      <c r="P87" s="386">
        <f>SUM(G87+J87+M87+N87+O87)</f>
        <v>1982503200</v>
      </c>
    </row>
    <row r="88" spans="1:17" s="354" customFormat="1" ht="52.5" hidden="1" customHeight="1" thickBot="1" x14ac:dyDescent="0.55000000000000004">
      <c r="A88" s="1298">
        <v>2</v>
      </c>
      <c r="B88" s="1297"/>
      <c r="C88" s="351" t="s">
        <v>401</v>
      </c>
      <c r="D88" s="352">
        <f t="shared" ref="D88:F90" si="27">+D80</f>
        <v>632448625</v>
      </c>
      <c r="E88" s="352">
        <f t="shared" si="27"/>
        <v>271970700</v>
      </c>
      <c r="F88" s="352">
        <f>+F80</f>
        <v>482186400</v>
      </c>
      <c r="G88" s="352">
        <f>SUM(D88:F88)</f>
        <v>1386605725</v>
      </c>
      <c r="H88" s="352">
        <f t="shared" si="25"/>
        <v>502840060.21000004</v>
      </c>
      <c r="I88" s="352">
        <f t="shared" si="25"/>
        <v>29543300</v>
      </c>
      <c r="J88" s="352">
        <f>SUM(H88:I88)</f>
        <v>532383360.21000004</v>
      </c>
      <c r="K88" s="352"/>
      <c r="L88" s="352"/>
      <c r="M88" s="352"/>
      <c r="N88" s="352">
        <f t="shared" si="26"/>
        <v>0</v>
      </c>
      <c r="O88" s="352">
        <f t="shared" si="26"/>
        <v>32610824</v>
      </c>
      <c r="P88" s="352">
        <f>SUM(G88+J88+M88+N88+O88)</f>
        <v>1951599909.21</v>
      </c>
    </row>
    <row r="89" spans="1:17" s="354" customFormat="1" ht="52.5" hidden="1" customHeight="1" thickBot="1" x14ac:dyDescent="0.55000000000000004">
      <c r="A89" s="1298"/>
      <c r="B89" s="1297"/>
      <c r="C89" s="351" t="s">
        <v>77</v>
      </c>
      <c r="D89" s="352">
        <f t="shared" si="27"/>
        <v>0</v>
      </c>
      <c r="E89" s="352">
        <f t="shared" si="27"/>
        <v>0</v>
      </c>
      <c r="F89" s="352">
        <f t="shared" si="27"/>
        <v>0</v>
      </c>
      <c r="G89" s="352">
        <f>SUM(D89:F89)</f>
        <v>0</v>
      </c>
      <c r="H89" s="352">
        <f t="shared" si="25"/>
        <v>13595890.559999999</v>
      </c>
      <c r="I89" s="352">
        <f t="shared" si="25"/>
        <v>144022</v>
      </c>
      <c r="J89" s="352">
        <f>SUM(H89:I89)</f>
        <v>13739912.559999999</v>
      </c>
      <c r="K89" s="352"/>
      <c r="L89" s="352"/>
      <c r="M89" s="352"/>
      <c r="N89" s="352">
        <f t="shared" si="26"/>
        <v>0</v>
      </c>
      <c r="O89" s="352">
        <f t="shared" si="26"/>
        <v>1676300</v>
      </c>
      <c r="P89" s="386">
        <f>SUM(G89+J89+M89+N89+O89)</f>
        <v>15416212.559999999</v>
      </c>
    </row>
    <row r="90" spans="1:17" s="354" customFormat="1" ht="52.5" hidden="1" customHeight="1" thickBot="1" x14ac:dyDescent="0.55000000000000004">
      <c r="A90" s="1298"/>
      <c r="B90" s="1297"/>
      <c r="C90" s="351" t="s">
        <v>17</v>
      </c>
      <c r="D90" s="352">
        <f t="shared" si="27"/>
        <v>629957264.80999994</v>
      </c>
      <c r="E90" s="352">
        <f t="shared" si="27"/>
        <v>267038292.97999999</v>
      </c>
      <c r="F90" s="352">
        <f t="shared" si="27"/>
        <v>489610167.20999998</v>
      </c>
      <c r="G90" s="352">
        <f>SUM(D90:F90)</f>
        <v>1386605725</v>
      </c>
      <c r="H90" s="352">
        <f t="shared" si="25"/>
        <v>451075838.46000004</v>
      </c>
      <c r="I90" s="352">
        <f t="shared" si="25"/>
        <v>63469509.840000004</v>
      </c>
      <c r="J90" s="352">
        <f>SUM(H90:I90)</f>
        <v>514545348.30000007</v>
      </c>
      <c r="K90" s="352"/>
      <c r="L90" s="352"/>
      <c r="M90" s="352"/>
      <c r="N90" s="352">
        <f t="shared" si="26"/>
        <v>0</v>
      </c>
      <c r="O90" s="352">
        <f t="shared" si="26"/>
        <v>28522570.759999998</v>
      </c>
      <c r="P90" s="386">
        <f>SUM(G90+J90+M90+N90+O90)</f>
        <v>1929673644.0600002</v>
      </c>
    </row>
    <row r="91" spans="1:17" s="354" customFormat="1" ht="52.5" hidden="1" customHeight="1" thickBot="1" x14ac:dyDescent="0.55000000000000004">
      <c r="A91" s="1298"/>
      <c r="B91" s="1297"/>
      <c r="C91" s="351" t="s">
        <v>78</v>
      </c>
      <c r="D91" s="352">
        <f t="shared" ref="D91:J91" si="28">+D88-D90</f>
        <v>2491360.1900000572</v>
      </c>
      <c r="E91" s="352">
        <f t="shared" si="28"/>
        <v>4932407.0200000107</v>
      </c>
      <c r="F91" s="352">
        <f t="shared" si="28"/>
        <v>-7423767.2099999785</v>
      </c>
      <c r="G91" s="352">
        <f t="shared" si="28"/>
        <v>0</v>
      </c>
      <c r="H91" s="352">
        <f t="shared" si="28"/>
        <v>51764221.75</v>
      </c>
      <c r="I91" s="352">
        <f t="shared" si="28"/>
        <v>-33926209.840000004</v>
      </c>
      <c r="J91" s="352">
        <f t="shared" si="28"/>
        <v>17838011.909999967</v>
      </c>
      <c r="K91" s="352"/>
      <c r="L91" s="352"/>
      <c r="M91" s="352"/>
      <c r="N91" s="352">
        <f>+N88-N90</f>
        <v>0</v>
      </c>
      <c r="O91" s="352">
        <f>+O88-O90</f>
        <v>4088253.2400000021</v>
      </c>
      <c r="P91" s="352">
        <f>P88-P90</f>
        <v>21926265.149999857</v>
      </c>
    </row>
    <row r="92" spans="1:17" s="354" customFormat="1" ht="52.5" hidden="1" customHeight="1" thickBot="1" x14ac:dyDescent="0.55000000000000004">
      <c r="A92" s="383"/>
      <c r="B92" s="1297"/>
      <c r="C92" s="351" t="s">
        <v>80</v>
      </c>
      <c r="D92" s="352">
        <f t="shared" ref="D92:J92" si="29">+D88-D89-D90</f>
        <v>2491360.1900000572</v>
      </c>
      <c r="E92" s="352">
        <f t="shared" si="29"/>
        <v>4932407.0200000107</v>
      </c>
      <c r="F92" s="352">
        <f t="shared" si="29"/>
        <v>-7423767.2099999785</v>
      </c>
      <c r="G92" s="352">
        <f t="shared" si="29"/>
        <v>0</v>
      </c>
      <c r="H92" s="352">
        <f t="shared" si="29"/>
        <v>38168331.189999998</v>
      </c>
      <c r="I92" s="352">
        <f t="shared" si="29"/>
        <v>-34070231.840000004</v>
      </c>
      <c r="J92" s="352">
        <f t="shared" si="29"/>
        <v>4098099.3499999642</v>
      </c>
      <c r="K92" s="352"/>
      <c r="L92" s="352"/>
      <c r="M92" s="352"/>
      <c r="N92" s="352">
        <f>+N88-N89-N90</f>
        <v>0</v>
      </c>
      <c r="O92" s="352">
        <f>+O88-O89-O90</f>
        <v>2411953.2400000021</v>
      </c>
      <c r="P92" s="352">
        <f>P88-P89-P90</f>
        <v>6510052.5899999142</v>
      </c>
    </row>
    <row r="93" spans="1:17" s="353" customFormat="1" ht="52.5" hidden="1" customHeight="1" thickBot="1" x14ac:dyDescent="0.55000000000000004">
      <c r="A93" s="383"/>
      <c r="B93" s="1297"/>
      <c r="C93" s="351" t="s">
        <v>100</v>
      </c>
      <c r="D93" s="352">
        <f t="shared" ref="D93:J93" si="30">+D90*100/D87</f>
        <v>97.299548145769535</v>
      </c>
      <c r="E93" s="352">
        <f t="shared" si="30"/>
        <v>98.186419706240414</v>
      </c>
      <c r="F93" s="352">
        <f t="shared" si="30"/>
        <v>101.53960526675991</v>
      </c>
      <c r="G93" s="352">
        <f t="shared" si="30"/>
        <v>98.930330033243479</v>
      </c>
      <c r="H93" s="352">
        <f t="shared" si="30"/>
        <v>87.417527089063285</v>
      </c>
      <c r="I93" s="352">
        <f t="shared" si="30"/>
        <v>214.83554592750303</v>
      </c>
      <c r="J93" s="352">
        <f t="shared" si="30"/>
        <v>94.317690129630037</v>
      </c>
      <c r="K93" s="352"/>
      <c r="L93" s="352"/>
      <c r="M93" s="352"/>
      <c r="N93" s="352">
        <v>0</v>
      </c>
      <c r="O93" s="352">
        <f>+O90*100/O87</f>
        <v>80.663150726383691</v>
      </c>
      <c r="P93" s="352">
        <f>+P90*100/P87</f>
        <v>97.335209550229237</v>
      </c>
      <c r="Q93" s="354"/>
    </row>
    <row r="94" spans="1:17" s="354" customFormat="1" ht="52.5" hidden="1" customHeight="1" thickBot="1" x14ac:dyDescent="0.55000000000000004">
      <c r="A94" s="387"/>
      <c r="B94" s="1297"/>
      <c r="C94" s="388" t="s">
        <v>101</v>
      </c>
      <c r="D94" s="389">
        <f t="shared" ref="D94:J94" si="31">+D90*100/D88</f>
        <v>99.606077064362324</v>
      </c>
      <c r="E94" s="389">
        <f t="shared" si="31"/>
        <v>98.186419706240414</v>
      </c>
      <c r="F94" s="389">
        <f t="shared" si="31"/>
        <v>101.53960526675991</v>
      </c>
      <c r="G94" s="389">
        <f t="shared" si="31"/>
        <v>100</v>
      </c>
      <c r="H94" s="389">
        <f t="shared" si="31"/>
        <v>89.705628917397348</v>
      </c>
      <c r="I94" s="389">
        <f t="shared" si="31"/>
        <v>214.83554592750303</v>
      </c>
      <c r="J94" s="389">
        <f t="shared" si="31"/>
        <v>96.649404687824259</v>
      </c>
      <c r="K94" s="389"/>
      <c r="L94" s="389"/>
      <c r="M94" s="389"/>
      <c r="N94" s="389">
        <v>0</v>
      </c>
      <c r="O94" s="389">
        <f>+O90*100/O88</f>
        <v>87.463508312454792</v>
      </c>
      <c r="P94" s="389">
        <f>+P90*100/P88</f>
        <v>98.876497941687475</v>
      </c>
    </row>
    <row r="95" spans="1:17" s="354" customFormat="1" ht="52.5" hidden="1" customHeight="1" thickBot="1" x14ac:dyDescent="0.55000000000000004">
      <c r="A95" s="390"/>
      <c r="B95" s="1297" t="s">
        <v>15</v>
      </c>
      <c r="C95" s="384" t="s">
        <v>400</v>
      </c>
      <c r="D95" s="391">
        <v>0</v>
      </c>
      <c r="E95" s="391">
        <v>0</v>
      </c>
      <c r="F95" s="391">
        <v>0</v>
      </c>
      <c r="G95" s="391">
        <f>SUM(D95:F95)</f>
        <v>0</v>
      </c>
      <c r="H95" s="391">
        <v>0</v>
      </c>
      <c r="I95" s="391">
        <v>0</v>
      </c>
      <c r="J95" s="391">
        <f>SUM(H95:I95)</f>
        <v>0</v>
      </c>
      <c r="K95" s="391">
        <f>+K79</f>
        <v>28842200</v>
      </c>
      <c r="L95" s="391">
        <f>+L79</f>
        <v>183594600</v>
      </c>
      <c r="M95" s="391">
        <f>SUM(K95:L95)</f>
        <v>212436800</v>
      </c>
      <c r="N95" s="391">
        <v>0</v>
      </c>
      <c r="O95" s="391">
        <v>0</v>
      </c>
      <c r="P95" s="391">
        <f>SUM(G95+J95+M95+N95+O95)</f>
        <v>212436800</v>
      </c>
    </row>
    <row r="96" spans="1:17" s="354" customFormat="1" ht="52.5" hidden="1" customHeight="1" thickBot="1" x14ac:dyDescent="0.55000000000000004">
      <c r="A96" s="1298">
        <v>12</v>
      </c>
      <c r="B96" s="1297"/>
      <c r="C96" s="351" t="s">
        <v>401</v>
      </c>
      <c r="D96" s="352">
        <v>0</v>
      </c>
      <c r="E96" s="352">
        <v>0</v>
      </c>
      <c r="F96" s="352">
        <v>0</v>
      </c>
      <c r="G96" s="352">
        <f>SUM(D96:F96)</f>
        <v>0</v>
      </c>
      <c r="H96" s="352">
        <v>0</v>
      </c>
      <c r="I96" s="352">
        <v>0</v>
      </c>
      <c r="J96" s="352">
        <f>SUM(H96:I96)</f>
        <v>0</v>
      </c>
      <c r="K96" s="352">
        <f t="shared" ref="K96:L98" si="32">+K80</f>
        <v>30523584</v>
      </c>
      <c r="L96" s="352">
        <f t="shared" si="32"/>
        <v>167199631.78999999</v>
      </c>
      <c r="M96" s="352">
        <f>SUM(K96:L96)</f>
        <v>197723215.78999999</v>
      </c>
      <c r="N96" s="352">
        <v>0</v>
      </c>
      <c r="O96" s="352">
        <v>0</v>
      </c>
      <c r="P96" s="352">
        <f>SUM(G96+J96+M96+N96+O96)</f>
        <v>197723215.78999999</v>
      </c>
    </row>
    <row r="97" spans="1:17" s="354" customFormat="1" ht="52.5" hidden="1" customHeight="1" thickBot="1" x14ac:dyDescent="0.55000000000000004">
      <c r="A97" s="1298"/>
      <c r="B97" s="1297"/>
      <c r="C97" s="351" t="s">
        <v>77</v>
      </c>
      <c r="D97" s="352">
        <v>0</v>
      </c>
      <c r="E97" s="352">
        <v>0</v>
      </c>
      <c r="F97" s="352">
        <v>0</v>
      </c>
      <c r="G97" s="352">
        <f>SUM(D97:F97)</f>
        <v>0</v>
      </c>
      <c r="H97" s="352">
        <v>0</v>
      </c>
      <c r="I97" s="352">
        <v>0</v>
      </c>
      <c r="J97" s="352">
        <f>SUM(H97:I97)</f>
        <v>0</v>
      </c>
      <c r="K97" s="352">
        <f t="shared" si="32"/>
        <v>3271015</v>
      </c>
      <c r="L97" s="352">
        <f t="shared" si="32"/>
        <v>75771203.229999989</v>
      </c>
      <c r="M97" s="352">
        <f>SUM(K97:L97)</f>
        <v>79042218.229999989</v>
      </c>
      <c r="N97" s="352">
        <v>0</v>
      </c>
      <c r="O97" s="352">
        <v>0</v>
      </c>
      <c r="P97" s="386">
        <f>SUM(G97+J97+M97+N97+O97)</f>
        <v>79042218.229999989</v>
      </c>
    </row>
    <row r="98" spans="1:17" s="354" customFormat="1" ht="52.5" hidden="1" customHeight="1" thickBot="1" x14ac:dyDescent="0.55000000000000004">
      <c r="A98" s="1298"/>
      <c r="B98" s="1297"/>
      <c r="C98" s="351" t="s">
        <v>17</v>
      </c>
      <c r="D98" s="352">
        <v>0</v>
      </c>
      <c r="E98" s="352">
        <v>0</v>
      </c>
      <c r="F98" s="352">
        <v>0</v>
      </c>
      <c r="G98" s="352">
        <f>SUM(D98:F98)</f>
        <v>0</v>
      </c>
      <c r="H98" s="352">
        <v>0</v>
      </c>
      <c r="I98" s="352">
        <v>0</v>
      </c>
      <c r="J98" s="352">
        <f>SUM(H98:I98)</f>
        <v>0</v>
      </c>
      <c r="K98" s="352">
        <f t="shared" si="32"/>
        <v>27251076</v>
      </c>
      <c r="L98" s="352">
        <f t="shared" si="32"/>
        <v>79293307.060000002</v>
      </c>
      <c r="M98" s="352">
        <f>SUM(K98:L98)</f>
        <v>106544383.06</v>
      </c>
      <c r="N98" s="352">
        <v>0</v>
      </c>
      <c r="O98" s="352">
        <v>0</v>
      </c>
      <c r="P98" s="386">
        <f>SUM(G98+J98+M98+N98+O98)</f>
        <v>106544383.06</v>
      </c>
    </row>
    <row r="99" spans="1:17" s="354" customFormat="1" ht="52.5" hidden="1" customHeight="1" thickBot="1" x14ac:dyDescent="0.55000000000000004">
      <c r="A99" s="1298"/>
      <c r="B99" s="1297"/>
      <c r="C99" s="351" t="s">
        <v>78</v>
      </c>
      <c r="D99" s="352">
        <f>+D96-D98</f>
        <v>0</v>
      </c>
      <c r="E99" s="352">
        <f>+E96-E98</f>
        <v>0</v>
      </c>
      <c r="F99" s="352">
        <f>+F96-F98</f>
        <v>0</v>
      </c>
      <c r="G99" s="352">
        <f>G96-G98</f>
        <v>0</v>
      </c>
      <c r="H99" s="352">
        <f>+H96-H98</f>
        <v>0</v>
      </c>
      <c r="I99" s="352">
        <f>+I96-I98</f>
        <v>0</v>
      </c>
      <c r="J99" s="352">
        <f>J96-J98</f>
        <v>0</v>
      </c>
      <c r="K99" s="352">
        <f>+K96-K98</f>
        <v>3272508</v>
      </c>
      <c r="L99" s="352">
        <f>+L96-L98</f>
        <v>87906324.729999989</v>
      </c>
      <c r="M99" s="352">
        <f>M96-M98</f>
        <v>91178832.729999989</v>
      </c>
      <c r="N99" s="352">
        <f>+N96-N98</f>
        <v>0</v>
      </c>
      <c r="O99" s="352">
        <f>+O96-O98</f>
        <v>0</v>
      </c>
      <c r="P99" s="352">
        <f>P96-P98</f>
        <v>91178832.729999989</v>
      </c>
    </row>
    <row r="100" spans="1:17" s="354" customFormat="1" ht="52.5" hidden="1" customHeight="1" thickBot="1" x14ac:dyDescent="0.55000000000000004">
      <c r="A100" s="383"/>
      <c r="B100" s="1297"/>
      <c r="C100" s="351" t="s">
        <v>80</v>
      </c>
      <c r="D100" s="352">
        <f>+D96-D97-D98</f>
        <v>0</v>
      </c>
      <c r="E100" s="352">
        <f>+E96-E97-E98</f>
        <v>0</v>
      </c>
      <c r="F100" s="352">
        <f>+F96-F97-F98</f>
        <v>0</v>
      </c>
      <c r="G100" s="352">
        <f>G96-G97-G98</f>
        <v>0</v>
      </c>
      <c r="H100" s="352">
        <f>+H96-H97-H98</f>
        <v>0</v>
      </c>
      <c r="I100" s="352">
        <f>+I96-I97-I98</f>
        <v>0</v>
      </c>
      <c r="J100" s="352">
        <f>J96-J97-J98</f>
        <v>0</v>
      </c>
      <c r="K100" s="352">
        <f>+K96-K97-K98</f>
        <v>1493</v>
      </c>
      <c r="L100" s="352">
        <f>+L96-L97-L98</f>
        <v>12135121.5</v>
      </c>
      <c r="M100" s="352">
        <f>M96-M97-M98</f>
        <v>12136614.5</v>
      </c>
      <c r="N100" s="352">
        <f>+N96-N97-N98</f>
        <v>0</v>
      </c>
      <c r="O100" s="352">
        <f>+O96-O97-O98</f>
        <v>0</v>
      </c>
      <c r="P100" s="352">
        <f>P96-P97-P98</f>
        <v>12136614.5</v>
      </c>
    </row>
    <row r="101" spans="1:17" s="353" customFormat="1" ht="52.5" hidden="1" customHeight="1" thickBot="1" x14ac:dyDescent="0.55000000000000004">
      <c r="A101" s="383"/>
      <c r="B101" s="1297"/>
      <c r="C101" s="351" t="s">
        <v>100</v>
      </c>
      <c r="D101" s="352">
        <v>0</v>
      </c>
      <c r="E101" s="352">
        <v>0</v>
      </c>
      <c r="F101" s="352">
        <v>0</v>
      </c>
      <c r="G101" s="352">
        <v>0</v>
      </c>
      <c r="H101" s="352">
        <v>0</v>
      </c>
      <c r="I101" s="352">
        <v>0</v>
      </c>
      <c r="J101" s="352">
        <v>0</v>
      </c>
      <c r="K101" s="352">
        <f t="shared" ref="K101:P101" si="33">+K98*100/K95</f>
        <v>94.483347317472308</v>
      </c>
      <c r="L101" s="352">
        <f>+L98*100/L95</f>
        <v>43.189346015623556</v>
      </c>
      <c r="M101" s="352">
        <f t="shared" si="33"/>
        <v>50.153449430607125</v>
      </c>
      <c r="N101" s="352">
        <v>0</v>
      </c>
      <c r="O101" s="352">
        <v>0</v>
      </c>
      <c r="P101" s="352">
        <f t="shared" si="33"/>
        <v>50.153449430607125</v>
      </c>
      <c r="Q101" s="354"/>
    </row>
    <row r="102" spans="1:17" s="354" customFormat="1" ht="52.5" hidden="1" customHeight="1" thickBot="1" x14ac:dyDescent="0.55000000000000004">
      <c r="A102" s="387"/>
      <c r="B102" s="1297"/>
      <c r="C102" s="388" t="s">
        <v>101</v>
      </c>
      <c r="D102" s="389">
        <v>0</v>
      </c>
      <c r="E102" s="389">
        <v>0</v>
      </c>
      <c r="F102" s="389">
        <v>0</v>
      </c>
      <c r="G102" s="389">
        <v>0</v>
      </c>
      <c r="H102" s="389">
        <v>0</v>
      </c>
      <c r="I102" s="389">
        <v>0</v>
      </c>
      <c r="J102" s="389">
        <v>0</v>
      </c>
      <c r="K102" s="389">
        <f t="shared" ref="K102:P102" si="34">+K98*100/K96</f>
        <v>89.278755731961226</v>
      </c>
      <c r="L102" s="389">
        <f>+L98*100/L96</f>
        <v>47.424331149001034</v>
      </c>
      <c r="M102" s="389">
        <f t="shared" si="34"/>
        <v>53.885621187326734</v>
      </c>
      <c r="N102" s="389">
        <v>0</v>
      </c>
      <c r="O102" s="389">
        <v>0</v>
      </c>
      <c r="P102" s="389">
        <f t="shared" si="34"/>
        <v>53.885621187326734</v>
      </c>
    </row>
    <row r="103" spans="1:17" s="395" customFormat="1" ht="53.25" hidden="1" customHeight="1" x14ac:dyDescent="0.5">
      <c r="A103" s="392"/>
      <c r="B103" s="393" t="s">
        <v>674</v>
      </c>
      <c r="C103" s="394"/>
      <c r="D103" s="394"/>
      <c r="E103" s="394"/>
      <c r="F103" s="394"/>
      <c r="G103" s="394"/>
      <c r="H103" s="394"/>
      <c r="I103" s="394"/>
      <c r="J103" s="394"/>
      <c r="K103" s="394"/>
      <c r="L103" s="394"/>
      <c r="M103" s="394"/>
      <c r="N103" s="394"/>
      <c r="O103" s="394"/>
      <c r="P103" s="394"/>
    </row>
    <row r="104" spans="1:17" s="395" customFormat="1" ht="53.25" hidden="1" customHeight="1" x14ac:dyDescent="0.5">
      <c r="A104" s="392"/>
      <c r="B104" s="396" t="s">
        <v>74</v>
      </c>
      <c r="C104" s="397" t="s">
        <v>81</v>
      </c>
      <c r="D104" s="394" t="s">
        <v>92</v>
      </c>
      <c r="E104" s="394"/>
      <c r="F104" s="394"/>
      <c r="G104" s="394"/>
      <c r="H104" s="394"/>
      <c r="I104" s="394"/>
      <c r="J104" s="394"/>
      <c r="K104" s="394"/>
      <c r="L104" s="394"/>
      <c r="M104" s="394"/>
      <c r="N104" s="394"/>
      <c r="O104" s="394"/>
      <c r="P104" s="394"/>
    </row>
    <row r="105" spans="1:17" s="395" customFormat="1" ht="53.25" hidden="1" customHeight="1" x14ac:dyDescent="0.5">
      <c r="A105" s="392"/>
      <c r="B105" s="396" t="s">
        <v>69</v>
      </c>
      <c r="C105" s="397" t="s">
        <v>90</v>
      </c>
      <c r="D105" s="394" t="s">
        <v>93</v>
      </c>
      <c r="E105" s="394"/>
      <c r="F105" s="394"/>
      <c r="G105" s="394"/>
      <c r="H105" s="394">
        <v>8.3330000000000002</v>
      </c>
      <c r="I105" s="394">
        <f>42+8.33+8.33</f>
        <v>58.66</v>
      </c>
      <c r="J105" s="394"/>
      <c r="K105" s="394"/>
      <c r="L105" s="394"/>
      <c r="M105" s="394"/>
      <c r="N105" s="394"/>
      <c r="O105" s="394"/>
      <c r="P105" s="394"/>
    </row>
    <row r="106" spans="1:17" s="395" customFormat="1" ht="53.25" hidden="1" customHeight="1" x14ac:dyDescent="0.5">
      <c r="A106" s="392"/>
      <c r="B106" s="396" t="s">
        <v>70</v>
      </c>
      <c r="C106" s="397" t="s">
        <v>91</v>
      </c>
      <c r="D106" s="394" t="s">
        <v>94</v>
      </c>
      <c r="E106" s="394"/>
      <c r="F106" s="394"/>
      <c r="G106" s="394"/>
      <c r="H106" s="394"/>
      <c r="I106" s="394"/>
      <c r="J106" s="394"/>
      <c r="K106" s="394"/>
      <c r="L106" s="394"/>
      <c r="M106" s="394"/>
      <c r="N106" s="394"/>
      <c r="O106" s="394"/>
      <c r="P106" s="394"/>
    </row>
    <row r="107" spans="1:17" s="395" customFormat="1" ht="53.25" hidden="1" customHeight="1" x14ac:dyDescent="0.5">
      <c r="A107" s="392"/>
      <c r="B107" s="396" t="s">
        <v>71</v>
      </c>
      <c r="C107" s="397" t="s">
        <v>85</v>
      </c>
      <c r="D107" s="394" t="s">
        <v>95</v>
      </c>
      <c r="E107" s="394"/>
      <c r="F107" s="394"/>
      <c r="G107" s="394"/>
      <c r="H107" s="394"/>
      <c r="I107" s="394"/>
      <c r="J107" s="394"/>
      <c r="K107" s="394"/>
      <c r="L107" s="394"/>
      <c r="M107" s="394"/>
      <c r="N107" s="394"/>
      <c r="O107" s="394"/>
      <c r="P107" s="394"/>
    </row>
    <row r="108" spans="1:17" s="400" customFormat="1" ht="53.25" hidden="1" customHeight="1" x14ac:dyDescent="0.5">
      <c r="A108" s="392"/>
      <c r="B108" s="398" t="s">
        <v>675</v>
      </c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5"/>
      <c r="N108" s="395"/>
      <c r="O108" s="395"/>
      <c r="P108" s="395"/>
    </row>
    <row r="109" spans="1:17" s="395" customFormat="1" ht="53.25" hidden="1" customHeight="1" x14ac:dyDescent="0.5">
      <c r="A109" s="392"/>
      <c r="B109" s="396" t="s">
        <v>74</v>
      </c>
      <c r="C109" s="397" t="s">
        <v>86</v>
      </c>
      <c r="D109" s="394" t="s">
        <v>92</v>
      </c>
      <c r="E109" s="394"/>
      <c r="F109" s="394"/>
      <c r="G109" s="394"/>
      <c r="H109" s="394"/>
      <c r="I109" s="394"/>
      <c r="J109" s="394"/>
      <c r="K109" s="394"/>
      <c r="L109" s="394"/>
      <c r="M109" s="394"/>
      <c r="N109" s="394"/>
      <c r="O109" s="394"/>
      <c r="P109" s="394"/>
    </row>
    <row r="110" spans="1:17" s="395" customFormat="1" ht="53.25" hidden="1" customHeight="1" x14ac:dyDescent="0.5">
      <c r="A110" s="392"/>
      <c r="B110" s="396" t="s">
        <v>69</v>
      </c>
      <c r="C110" s="397" t="s">
        <v>96</v>
      </c>
      <c r="D110" s="394" t="s">
        <v>93</v>
      </c>
      <c r="E110" s="394"/>
      <c r="F110" s="394"/>
      <c r="G110" s="394"/>
      <c r="H110" s="394">
        <v>6.6660000000000004</v>
      </c>
      <c r="I110" s="394">
        <f>23+6.666+6.666</f>
        <v>36.332000000000001</v>
      </c>
      <c r="J110" s="394"/>
      <c r="K110" s="394"/>
      <c r="L110" s="394"/>
      <c r="M110" s="394"/>
      <c r="N110" s="394"/>
      <c r="O110" s="394"/>
      <c r="P110" s="394"/>
    </row>
    <row r="111" spans="1:17" s="395" customFormat="1" ht="53.25" hidden="1" customHeight="1" x14ac:dyDescent="0.5">
      <c r="A111" s="392"/>
      <c r="B111" s="396" t="s">
        <v>70</v>
      </c>
      <c r="C111" s="397" t="s">
        <v>97</v>
      </c>
      <c r="D111" s="394" t="s">
        <v>94</v>
      </c>
      <c r="E111" s="394"/>
      <c r="F111" s="394"/>
      <c r="G111" s="394"/>
      <c r="H111" s="394"/>
      <c r="I111" s="394"/>
      <c r="J111" s="394"/>
      <c r="K111" s="394"/>
      <c r="L111" s="394"/>
      <c r="M111" s="394"/>
      <c r="N111" s="394"/>
      <c r="O111" s="394"/>
      <c r="P111" s="394"/>
    </row>
    <row r="112" spans="1:17" s="395" customFormat="1" ht="53.25" hidden="1" customHeight="1" x14ac:dyDescent="0.5">
      <c r="A112" s="392"/>
      <c r="B112" s="396" t="s">
        <v>71</v>
      </c>
      <c r="C112" s="397" t="s">
        <v>87</v>
      </c>
      <c r="D112" s="394" t="s">
        <v>95</v>
      </c>
      <c r="E112" s="394"/>
      <c r="F112" s="394"/>
      <c r="G112" s="394"/>
      <c r="H112" s="394"/>
      <c r="I112" s="394"/>
      <c r="J112" s="394"/>
      <c r="K112" s="394"/>
      <c r="L112" s="394"/>
      <c r="M112" s="394"/>
      <c r="N112" s="394"/>
      <c r="O112" s="394"/>
      <c r="P112" s="394"/>
    </row>
    <row r="113" spans="1:16" s="401" customFormat="1" ht="52.5" hidden="1" customHeight="1" x14ac:dyDescent="0.5">
      <c r="A113" s="1024" t="s">
        <v>182</v>
      </c>
      <c r="B113" s="1024"/>
      <c r="C113" s="1024"/>
      <c r="D113" s="1024"/>
      <c r="E113" s="1024"/>
      <c r="F113" s="1024"/>
      <c r="G113" s="1024"/>
      <c r="H113" s="1024"/>
      <c r="I113" s="1024"/>
      <c r="J113" s="1024"/>
      <c r="K113" s="1024"/>
      <c r="L113" s="1024"/>
      <c r="M113" s="1024"/>
      <c r="N113" s="1024"/>
      <c r="O113" s="1024"/>
      <c r="P113" s="1024"/>
    </row>
    <row r="114" spans="1:16" s="404" customFormat="1" ht="46.5" hidden="1" customHeight="1" x14ac:dyDescent="0.5">
      <c r="A114" s="392" t="s">
        <v>98</v>
      </c>
      <c r="B114" s="402" t="s">
        <v>99</v>
      </c>
      <c r="C114" s="403"/>
      <c r="D114" s="403"/>
      <c r="E114" s="403"/>
      <c r="F114" s="403"/>
      <c r="G114" s="403"/>
      <c r="H114" s="403"/>
      <c r="I114" s="403"/>
      <c r="J114" s="403"/>
      <c r="K114" s="403"/>
      <c r="L114" s="403"/>
      <c r="M114" s="403"/>
      <c r="N114" s="403"/>
      <c r="O114" s="403"/>
    </row>
    <row r="115" spans="1:16" hidden="1" x14ac:dyDescent="0.5">
      <c r="K115" s="407">
        <f>+K96-K95</f>
        <v>1681384</v>
      </c>
      <c r="L115" s="407">
        <f>+L96-L95</f>
        <v>-16394968.210000008</v>
      </c>
      <c r="M115" s="407">
        <f>+M96-M95</f>
        <v>-14713584.210000008</v>
      </c>
    </row>
    <row r="116" spans="1:16" hidden="1" x14ac:dyDescent="0.5"/>
  </sheetData>
  <mergeCells count="50">
    <mergeCell ref="A113:P113"/>
    <mergeCell ref="B81:B83"/>
    <mergeCell ref="A56:B56"/>
    <mergeCell ref="A57:A62"/>
    <mergeCell ref="A63:B63"/>
    <mergeCell ref="A64:B64"/>
    <mergeCell ref="A65:A70"/>
    <mergeCell ref="A71:A78"/>
    <mergeCell ref="A80:A83"/>
    <mergeCell ref="B87:B94"/>
    <mergeCell ref="A88:A91"/>
    <mergeCell ref="B95:B102"/>
    <mergeCell ref="A96:A99"/>
    <mergeCell ref="A55:B55"/>
    <mergeCell ref="A17:A22"/>
    <mergeCell ref="A23:B23"/>
    <mergeCell ref="A24:A30"/>
    <mergeCell ref="A31:B31"/>
    <mergeCell ref="A32:A38"/>
    <mergeCell ref="A39:B39"/>
    <mergeCell ref="A40:B40"/>
    <mergeCell ref="A41:A46"/>
    <mergeCell ref="A47:B47"/>
    <mergeCell ref="A48:B48"/>
    <mergeCell ref="A49:A54"/>
    <mergeCell ref="A16:B16"/>
    <mergeCell ref="P4:P6"/>
    <mergeCell ref="D5:D6"/>
    <mergeCell ref="E5:E6"/>
    <mergeCell ref="G5:G6"/>
    <mergeCell ref="I5:I6"/>
    <mergeCell ref="J5:J6"/>
    <mergeCell ref="K5:K6"/>
    <mergeCell ref="L5:L6"/>
    <mergeCell ref="M5:M6"/>
    <mergeCell ref="A7:B7"/>
    <mergeCell ref="A8:B8"/>
    <mergeCell ref="A9:B9"/>
    <mergeCell ref="A10:A14"/>
    <mergeCell ref="A15:B15"/>
    <mergeCell ref="A1:P1"/>
    <mergeCell ref="A2:P2"/>
    <mergeCell ref="A3:P3"/>
    <mergeCell ref="A4:A6"/>
    <mergeCell ref="B4:C6"/>
    <mergeCell ref="D4:G4"/>
    <mergeCell ref="H4:J4"/>
    <mergeCell ref="K4:M4"/>
    <mergeCell ref="N4:N6"/>
    <mergeCell ref="O4:O6"/>
  </mergeCells>
  <printOptions horizontalCentered="1"/>
  <pageMargins left="0" right="0" top="0.66929133858267698" bottom="0.43307086614173201" header="0.35433070866141703" footer="0.23622047244094499"/>
  <pageSetup paperSize="5" scale="43" orientation="landscape" r:id="rId1"/>
  <headerFooter alignWithMargins="0">
    <oddFooter>&amp;L&amp;20กลุ่มงานบัญชีและงบประมาณ&amp;R&amp;26หน้าที่ &amp;P จาก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45"/>
  <sheetViews>
    <sheetView workbookViewId="0">
      <selection activeCell="B9" sqref="B9"/>
    </sheetView>
  </sheetViews>
  <sheetFormatPr defaultColWidth="13" defaultRowHeight="26.25" x14ac:dyDescent="0.55000000000000004"/>
  <cols>
    <col min="1" max="1" width="24.85546875" style="53" customWidth="1"/>
    <col min="2" max="2" width="21.7109375" style="60" customWidth="1"/>
    <col min="3" max="3" width="18.7109375" style="60" customWidth="1"/>
    <col min="4" max="5" width="21.7109375" style="60" customWidth="1"/>
    <col min="6" max="6" width="20.5703125" style="53" customWidth="1"/>
    <col min="7" max="16384" width="13" style="53"/>
  </cols>
  <sheetData>
    <row r="1" spans="1:6" x14ac:dyDescent="0.55000000000000004">
      <c r="A1" s="51" t="s">
        <v>58</v>
      </c>
      <c r="B1" s="52" t="s">
        <v>184</v>
      </c>
      <c r="C1" s="52" t="s">
        <v>185</v>
      </c>
      <c r="D1" s="52" t="s">
        <v>79</v>
      </c>
      <c r="E1" s="52" t="s">
        <v>17</v>
      </c>
      <c r="F1" s="54" t="s">
        <v>60</v>
      </c>
    </row>
    <row r="2" spans="1:6" x14ac:dyDescent="0.55000000000000004">
      <c r="A2" s="54" t="s">
        <v>186</v>
      </c>
      <c r="B2" s="55"/>
      <c r="C2" s="55"/>
      <c r="D2" s="55"/>
      <c r="E2" s="55"/>
      <c r="F2" s="61">
        <f>+B2-C2-D2-E2</f>
        <v>0</v>
      </c>
    </row>
    <row r="3" spans="1:6" x14ac:dyDescent="0.55000000000000004">
      <c r="A3" s="54" t="s">
        <v>187</v>
      </c>
      <c r="B3" s="55"/>
      <c r="C3" s="55"/>
      <c r="D3" s="55"/>
      <c r="E3" s="55"/>
      <c r="F3" s="61">
        <f t="shared" ref="F3:F12" si="0">+B3-C3-D3-E3</f>
        <v>0</v>
      </c>
    </row>
    <row r="4" spans="1:6" x14ac:dyDescent="0.55000000000000004">
      <c r="A4" s="54"/>
      <c r="B4" s="55"/>
      <c r="C4" s="55"/>
      <c r="D4" s="55"/>
      <c r="E4" s="55"/>
      <c r="F4" s="61">
        <f t="shared" si="0"/>
        <v>0</v>
      </c>
    </row>
    <row r="5" spans="1:6" x14ac:dyDescent="0.55000000000000004">
      <c r="A5" s="54"/>
      <c r="B5" s="55"/>
      <c r="C5" s="55"/>
      <c r="D5" s="55"/>
      <c r="E5" s="55"/>
      <c r="F5" s="61">
        <f t="shared" si="0"/>
        <v>0</v>
      </c>
    </row>
    <row r="6" spans="1:6" x14ac:dyDescent="0.55000000000000004">
      <c r="A6" s="54"/>
      <c r="B6" s="55"/>
      <c r="C6" s="55"/>
      <c r="D6" s="55"/>
      <c r="E6" s="55"/>
      <c r="F6" s="61">
        <f t="shared" si="0"/>
        <v>0</v>
      </c>
    </row>
    <row r="7" spans="1:6" x14ac:dyDescent="0.55000000000000004">
      <c r="A7" s="54"/>
      <c r="B7" s="55"/>
      <c r="C7" s="55"/>
      <c r="D7" s="55"/>
      <c r="E7" s="55"/>
      <c r="F7" s="61">
        <f t="shared" si="0"/>
        <v>0</v>
      </c>
    </row>
    <row r="8" spans="1:6" x14ac:dyDescent="0.55000000000000004">
      <c r="A8" s="54"/>
      <c r="B8" s="55"/>
      <c r="C8" s="55"/>
      <c r="D8" s="55"/>
      <c r="E8" s="55"/>
      <c r="F8" s="61">
        <f t="shared" si="0"/>
        <v>0</v>
      </c>
    </row>
    <row r="9" spans="1:6" x14ac:dyDescent="0.55000000000000004">
      <c r="A9" s="54"/>
      <c r="B9" s="55"/>
      <c r="C9" s="55"/>
      <c r="D9" s="55"/>
      <c r="E9" s="55"/>
      <c r="F9" s="61">
        <f t="shared" si="0"/>
        <v>0</v>
      </c>
    </row>
    <row r="10" spans="1:6" x14ac:dyDescent="0.55000000000000004">
      <c r="A10" s="54"/>
      <c r="B10" s="55"/>
      <c r="C10" s="55"/>
      <c r="D10" s="55"/>
      <c r="E10" s="55"/>
      <c r="F10" s="61">
        <f t="shared" si="0"/>
        <v>0</v>
      </c>
    </row>
    <row r="11" spans="1:6" x14ac:dyDescent="0.55000000000000004">
      <c r="A11" s="54"/>
      <c r="B11" s="55"/>
      <c r="C11" s="55"/>
      <c r="D11" s="55"/>
      <c r="E11" s="55"/>
      <c r="F11" s="61">
        <f t="shared" si="0"/>
        <v>0</v>
      </c>
    </row>
    <row r="12" spans="1:6" x14ac:dyDescent="0.55000000000000004">
      <c r="A12" s="54"/>
      <c r="B12" s="55"/>
      <c r="C12" s="55"/>
      <c r="D12" s="55"/>
      <c r="E12" s="55"/>
      <c r="F12" s="61">
        <f t="shared" si="0"/>
        <v>0</v>
      </c>
    </row>
    <row r="13" spans="1:6" hidden="1" x14ac:dyDescent="0.55000000000000004">
      <c r="A13" s="54"/>
      <c r="B13" s="55"/>
      <c r="C13" s="55"/>
      <c r="D13" s="55"/>
      <c r="E13" s="55"/>
      <c r="F13" s="61"/>
    </row>
    <row r="14" spans="1:6" hidden="1" x14ac:dyDescent="0.55000000000000004">
      <c r="A14" s="54"/>
      <c r="B14" s="55"/>
      <c r="C14" s="55"/>
      <c r="D14" s="55">
        <v>0</v>
      </c>
      <c r="E14" s="55">
        <v>0</v>
      </c>
      <c r="F14" s="61">
        <f>+B14-C14-D14-E14</f>
        <v>0</v>
      </c>
    </row>
    <row r="15" spans="1:6" ht="27" thickBot="1" x14ac:dyDescent="0.6">
      <c r="A15" s="54" t="s">
        <v>188</v>
      </c>
      <c r="B15" s="56">
        <f>SUM(B3:B14)</f>
        <v>0</v>
      </c>
      <c r="C15" s="56">
        <f>SUM(C3:C14)</f>
        <v>0</v>
      </c>
      <c r="D15" s="56">
        <f>SUM(D3:D14)</f>
        <v>0</v>
      </c>
      <c r="E15" s="56">
        <f>SUM(E3:E14)</f>
        <v>0</v>
      </c>
      <c r="F15" s="56">
        <f>SUM(F3:F14)</f>
        <v>0</v>
      </c>
    </row>
    <row r="16" spans="1:6" ht="27" thickTop="1" x14ac:dyDescent="0.55000000000000004">
      <c r="A16" s="54" t="s">
        <v>223</v>
      </c>
      <c r="B16" s="57">
        <f>+B2-B15</f>
        <v>0</v>
      </c>
      <c r="C16" s="57">
        <f>+C2-C15</f>
        <v>0</v>
      </c>
      <c r="D16" s="57">
        <f>+D2-D15</f>
        <v>0</v>
      </c>
      <c r="E16" s="57">
        <f>+E2-E15</f>
        <v>0</v>
      </c>
      <c r="F16" s="57">
        <f>+F2-F15</f>
        <v>0</v>
      </c>
    </row>
    <row r="17" spans="1:6" x14ac:dyDescent="0.55000000000000004">
      <c r="A17" s="58"/>
      <c r="B17" s="59"/>
      <c r="C17" s="59"/>
      <c r="D17" s="59"/>
      <c r="E17" s="59"/>
      <c r="F17" s="58"/>
    </row>
    <row r="19" spans="1:6" x14ac:dyDescent="0.55000000000000004">
      <c r="A19" s="53" t="s">
        <v>189</v>
      </c>
      <c r="B19" s="62">
        <f>+รายจ่ายจริง!P80</f>
        <v>993916800</v>
      </c>
      <c r="C19" s="62"/>
      <c r="D19" s="62">
        <f>+รายจ่ายจริง!P81</f>
        <v>18608157.960000001</v>
      </c>
      <c r="E19" s="62">
        <f>+รายจ่ายจริง!P82</f>
        <v>118445704.55999999</v>
      </c>
      <c r="F19" s="62">
        <f>+B19-C19-D19-E19</f>
        <v>856862937.48000002</v>
      </c>
    </row>
    <row r="20" spans="1:6" s="68" customFormat="1" x14ac:dyDescent="0.55000000000000004">
      <c r="A20" s="68" t="s">
        <v>190</v>
      </c>
      <c r="B20" s="63">
        <f>+B16-B19</f>
        <v>-993916800</v>
      </c>
      <c r="C20" s="63">
        <f>+C16-C19</f>
        <v>0</v>
      </c>
      <c r="D20" s="63">
        <f>+D16-D19</f>
        <v>-18608157.960000001</v>
      </c>
      <c r="E20" s="63">
        <f>+E16-E19</f>
        <v>-118445704.55999999</v>
      </c>
      <c r="F20" s="63">
        <f>+F16-F19</f>
        <v>-856862937.48000002</v>
      </c>
    </row>
    <row r="22" spans="1:6" hidden="1" x14ac:dyDescent="0.55000000000000004">
      <c r="A22" s="53" t="s">
        <v>215</v>
      </c>
      <c r="B22" s="60">
        <v>181782377.80000001</v>
      </c>
      <c r="D22" s="60">
        <v>181782377.80000001</v>
      </c>
    </row>
    <row r="23" spans="1:6" hidden="1" x14ac:dyDescent="0.55000000000000004">
      <c r="A23" s="53" t="s">
        <v>216</v>
      </c>
      <c r="B23" s="60">
        <v>119500</v>
      </c>
      <c r="D23" s="60">
        <v>119500</v>
      </c>
    </row>
    <row r="24" spans="1:6" hidden="1" x14ac:dyDescent="0.55000000000000004">
      <c r="A24" s="53" t="s">
        <v>217</v>
      </c>
      <c r="B24" s="60">
        <f>+B22-B23</f>
        <v>181662877.80000001</v>
      </c>
      <c r="C24" s="60">
        <f>+C22-C23</f>
        <v>0</v>
      </c>
      <c r="D24" s="60">
        <f>+D22-D23</f>
        <v>181662877.80000001</v>
      </c>
    </row>
    <row r="25" spans="1:6" x14ac:dyDescent="0.55000000000000004">
      <c r="A25" s="53" t="s">
        <v>15</v>
      </c>
      <c r="B25" s="60" t="e">
        <f>+รายจ่ายจริง!#REF!</f>
        <v>#REF!</v>
      </c>
      <c r="D25" s="60" t="e">
        <f>+รายจ่ายจริง!#REF!</f>
        <v>#REF!</v>
      </c>
      <c r="E25" s="60" t="e">
        <f>+รายจ่ายจริง!#REF!</f>
        <v>#REF!</v>
      </c>
      <c r="F25" s="82" t="e">
        <f>+B25-C25-D25-E25</f>
        <v>#REF!</v>
      </c>
    </row>
    <row r="26" spans="1:6" x14ac:dyDescent="0.55000000000000004">
      <c r="B26" s="60" t="e">
        <f>+B25+B20</f>
        <v>#REF!</v>
      </c>
      <c r="C26" s="60">
        <f>+C25+C20</f>
        <v>0</v>
      </c>
      <c r="D26" s="60" t="e">
        <f>+D25+D20</f>
        <v>#REF!</v>
      </c>
      <c r="E26" s="60" t="e">
        <f>+E25+E20</f>
        <v>#REF!</v>
      </c>
      <c r="F26" s="60" t="e">
        <f>+F25+F20</f>
        <v>#REF!</v>
      </c>
    </row>
    <row r="28" spans="1:6" x14ac:dyDescent="0.55000000000000004">
      <c r="B28" s="96">
        <v>43443127</v>
      </c>
      <c r="C28" s="96"/>
      <c r="D28" s="96">
        <v>4828500</v>
      </c>
      <c r="E28" s="96">
        <v>38589387.729999997</v>
      </c>
      <c r="F28" s="97">
        <f>+B28-C28-D28-E28</f>
        <v>25239.270000003278</v>
      </c>
    </row>
    <row r="29" spans="1:6" x14ac:dyDescent="0.55000000000000004">
      <c r="B29" s="96">
        <v>97567324</v>
      </c>
      <c r="C29" s="96">
        <v>10692000</v>
      </c>
      <c r="D29" s="96">
        <v>50048348.219999999</v>
      </c>
      <c r="E29" s="96">
        <v>36672845.18</v>
      </c>
      <c r="F29" s="97">
        <f>+B29-C29-D29-E29</f>
        <v>154130.60000000149</v>
      </c>
    </row>
    <row r="30" spans="1:6" x14ac:dyDescent="0.55000000000000004">
      <c r="B30" s="96">
        <v>24046058</v>
      </c>
      <c r="C30" s="96"/>
      <c r="D30" s="96"/>
      <c r="E30" s="96">
        <v>24044510.100000001</v>
      </c>
      <c r="F30" s="97">
        <f>+B30-C30-D30-E30</f>
        <v>1547.8999999985099</v>
      </c>
    </row>
    <row r="31" spans="1:6" x14ac:dyDescent="0.55000000000000004">
      <c r="B31" s="96">
        <v>72778942</v>
      </c>
      <c r="C31" s="96"/>
      <c r="D31" s="96">
        <v>21011266.739999998</v>
      </c>
      <c r="E31" s="96">
        <v>51765141.030000001</v>
      </c>
      <c r="F31" s="97">
        <f>+B31-C31-D31-E31</f>
        <v>2534.2300000041723</v>
      </c>
    </row>
    <row r="32" spans="1:6" x14ac:dyDescent="0.55000000000000004">
      <c r="B32" s="96">
        <f>SUM(B28:B31)</f>
        <v>237835451</v>
      </c>
      <c r="C32" s="96">
        <f>SUM(C28:C31)</f>
        <v>10692000</v>
      </c>
      <c r="D32" s="96">
        <f>SUM(D28:D31)</f>
        <v>75888114.959999993</v>
      </c>
      <c r="E32" s="96">
        <f>SUM(E28:E31)</f>
        <v>151071884.03999999</v>
      </c>
      <c r="F32" s="96">
        <f>SUM(F28:F31)</f>
        <v>183452.00000000745</v>
      </c>
    </row>
    <row r="33" spans="2:6" x14ac:dyDescent="0.55000000000000004">
      <c r="B33" s="60">
        <f>+B32+B16</f>
        <v>237835451</v>
      </c>
      <c r="C33" s="60">
        <f>+C32+C16</f>
        <v>10692000</v>
      </c>
      <c r="D33" s="60">
        <f>+D32+D16</f>
        <v>75888114.959999993</v>
      </c>
      <c r="E33" s="60">
        <f>+E32+E16</f>
        <v>151071884.03999999</v>
      </c>
      <c r="F33" s="60">
        <f>+F32+F16</f>
        <v>183452.00000000745</v>
      </c>
    </row>
    <row r="34" spans="2:6" x14ac:dyDescent="0.55000000000000004">
      <c r="F34" s="60"/>
    </row>
    <row r="35" spans="2:6" x14ac:dyDescent="0.55000000000000004">
      <c r="B35" s="60">
        <v>363976.87</v>
      </c>
    </row>
    <row r="36" spans="2:6" x14ac:dyDescent="0.55000000000000004">
      <c r="B36" s="60">
        <v>19207006.5</v>
      </c>
    </row>
    <row r="37" spans="2:6" x14ac:dyDescent="0.55000000000000004">
      <c r="B37" s="60">
        <v>17075529</v>
      </c>
    </row>
    <row r="38" spans="2:6" x14ac:dyDescent="0.55000000000000004">
      <c r="B38" s="60">
        <f>SUM(B35:B37)</f>
        <v>36646512.370000005</v>
      </c>
      <c r="C38" s="60">
        <f>SUM(C35:C37)</f>
        <v>0</v>
      </c>
      <c r="D38" s="60">
        <f>SUM(D35:D37)</f>
        <v>0</v>
      </c>
      <c r="E38" s="60">
        <f>SUM(E35:E37)</f>
        <v>0</v>
      </c>
      <c r="F38" s="60">
        <f>SUM(F35:F37)</f>
        <v>0</v>
      </c>
    </row>
    <row r="39" spans="2:6" x14ac:dyDescent="0.55000000000000004">
      <c r="B39" s="60">
        <f>+B33+B38</f>
        <v>274481963.37</v>
      </c>
      <c r="C39" s="60">
        <f>+C33+C38</f>
        <v>10692000</v>
      </c>
      <c r="D39" s="60">
        <f>+D33+D38</f>
        <v>75888114.959999993</v>
      </c>
      <c r="E39" s="60">
        <f>+E33+E38</f>
        <v>151071884.03999999</v>
      </c>
      <c r="F39" s="60">
        <f>+F33+F38</f>
        <v>183452.00000000745</v>
      </c>
    </row>
    <row r="40" spans="2:6" x14ac:dyDescent="0.55000000000000004">
      <c r="B40" s="60">
        <v>5000000</v>
      </c>
      <c r="E40" s="60">
        <v>5000000</v>
      </c>
    </row>
    <row r="41" spans="2:6" x14ac:dyDescent="0.55000000000000004">
      <c r="B41" s="60">
        <f>+B39+B40</f>
        <v>279481963.37</v>
      </c>
      <c r="C41" s="60">
        <f>+C39+C40</f>
        <v>10692000</v>
      </c>
      <c r="D41" s="60">
        <f>+D39+D40</f>
        <v>75888114.959999993</v>
      </c>
      <c r="E41" s="60">
        <f>+E39+E40</f>
        <v>156071884.03999999</v>
      </c>
    </row>
    <row r="42" spans="2:6" x14ac:dyDescent="0.55000000000000004">
      <c r="B42" s="60">
        <v>493000</v>
      </c>
      <c r="E42" s="60">
        <v>493000</v>
      </c>
    </row>
    <row r="43" spans="2:6" x14ac:dyDescent="0.55000000000000004">
      <c r="B43" s="60">
        <f>+B41+B42</f>
        <v>279974963.37</v>
      </c>
      <c r="C43" s="60">
        <f>+C41+C42</f>
        <v>10692000</v>
      </c>
      <c r="D43" s="60">
        <f>+D41+D42</f>
        <v>75888114.959999993</v>
      </c>
      <c r="E43" s="60">
        <f>+E41+E42</f>
        <v>156564884.03999999</v>
      </c>
    </row>
    <row r="44" spans="2:6" x14ac:dyDescent="0.55000000000000004">
      <c r="B44" s="60">
        <f>+B19</f>
        <v>993916800</v>
      </c>
      <c r="C44" s="60">
        <f>+C19</f>
        <v>0</v>
      </c>
      <c r="D44" s="60">
        <f>+D19</f>
        <v>18608157.960000001</v>
      </c>
      <c r="E44" s="60">
        <f>+E19</f>
        <v>118445704.55999999</v>
      </c>
    </row>
    <row r="45" spans="2:6" x14ac:dyDescent="0.55000000000000004">
      <c r="B45" s="60">
        <f>+B43-B44</f>
        <v>-713941836.63</v>
      </c>
      <c r="E45" s="60">
        <f>+E43-E44</f>
        <v>38119179.480000004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defaultRowHeight="21.75" x14ac:dyDescent="0.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K44"/>
  <sheetViews>
    <sheetView workbookViewId="0">
      <selection activeCell="C47" sqref="C47"/>
    </sheetView>
  </sheetViews>
  <sheetFormatPr defaultRowHeight="21.75" x14ac:dyDescent="0.5"/>
  <cols>
    <col min="2" max="2" width="29.140625" bestFit="1" customWidth="1"/>
    <col min="3" max="3" width="18.140625" bestFit="1" customWidth="1"/>
    <col min="4" max="4" width="18.140625" customWidth="1"/>
    <col min="5" max="5" width="27.5703125" bestFit="1" customWidth="1"/>
    <col min="6" max="6" width="11.85546875" hidden="1" customWidth="1"/>
    <col min="11" max="11" width="0" hidden="1" customWidth="1"/>
  </cols>
  <sheetData>
    <row r="1" spans="1:11" s="510" customFormat="1" ht="27.75" x14ac:dyDescent="0.65">
      <c r="A1" s="1193" t="str">
        <f>+รายงานผู้บริหาร!A1</f>
        <v>กรมพินิจและคุ้มครองเด็กและเยาวชน   กระทรวงยุติธรรม</v>
      </c>
      <c r="B1" s="1193"/>
      <c r="C1" s="1193"/>
      <c r="D1" s="1193"/>
      <c r="E1" s="1193"/>
      <c r="F1" s="1193"/>
      <c r="G1" s="1193"/>
      <c r="H1" s="1193"/>
      <c r="I1" s="1193"/>
      <c r="J1" s="1193"/>
      <c r="K1" s="1193"/>
    </row>
    <row r="2" spans="1:11" s="510" customFormat="1" ht="27.75" x14ac:dyDescent="0.65">
      <c r="A2" s="1193" t="str">
        <f>+รายงานผู้บริหาร!A2</f>
        <v>สรุปรายละเอียดการเบิกจ่ายเงินงบประมาณประจำปีงบประมาณ พ.ศ. 2565</v>
      </c>
      <c r="B2" s="1193"/>
      <c r="C2" s="1193"/>
      <c r="D2" s="1193"/>
      <c r="E2" s="1193"/>
      <c r="F2" s="1193"/>
      <c r="G2" s="1193"/>
      <c r="H2" s="1193"/>
      <c r="I2" s="1193"/>
      <c r="J2" s="1193"/>
      <c r="K2" s="1193"/>
    </row>
    <row r="3" spans="1:11" s="510" customFormat="1" ht="27.75" x14ac:dyDescent="0.65">
      <c r="A3" s="1193" t="str">
        <f>+รายงานผู้บริหาร!A3</f>
        <v>ตั้งแต่วันที่ 1  ตุลาคม 2564 ถึงวันที่ 31 ตุลาคม 2564</v>
      </c>
      <c r="B3" s="1193"/>
      <c r="C3" s="1193"/>
      <c r="D3" s="1193"/>
      <c r="E3" s="1193"/>
      <c r="F3" s="1193"/>
      <c r="G3" s="1193"/>
      <c r="H3" s="1193"/>
      <c r="I3" s="1193"/>
      <c r="J3" s="1193"/>
      <c r="K3" s="1193"/>
    </row>
    <row r="7" spans="1:11" ht="24" x14ac:dyDescent="0.55000000000000004">
      <c r="B7" s="508" t="s">
        <v>764</v>
      </c>
      <c r="C7" s="508" t="s">
        <v>59</v>
      </c>
      <c r="D7" s="508" t="s">
        <v>805</v>
      </c>
      <c r="E7" s="508" t="s">
        <v>110</v>
      </c>
      <c r="F7" s="442" t="s">
        <v>66</v>
      </c>
    </row>
    <row r="8" spans="1:11" ht="24" x14ac:dyDescent="0.55000000000000004">
      <c r="B8" s="107" t="s">
        <v>13</v>
      </c>
      <c r="C8" s="285">
        <f>+รายงานผู้บริหาร!B7</f>
        <v>1390052000</v>
      </c>
      <c r="D8" s="285" t="e">
        <f>+รายงานผู้บริหาร!#REF!</f>
        <v>#REF!</v>
      </c>
      <c r="E8" s="440">
        <f>+รายงานผู้บริหาร!F7</f>
        <v>109106629.47</v>
      </c>
      <c r="F8" s="443">
        <f>+E8*100/C8</f>
        <v>7.8491041680455123</v>
      </c>
    </row>
    <row r="9" spans="1:11" ht="24" x14ac:dyDescent="0.55000000000000004">
      <c r="B9" s="107" t="s">
        <v>14</v>
      </c>
      <c r="C9" s="285">
        <f>+รายงานผู้บริหาร!B8</f>
        <v>432541700</v>
      </c>
      <c r="D9" s="285" t="e">
        <f>+รายงานผู้บริหาร!#REF!</f>
        <v>#REF!</v>
      </c>
      <c r="E9" s="440">
        <f>+รายงานผู้บริหาร!F8</f>
        <v>8016568.5899999999</v>
      </c>
      <c r="F9" s="443">
        <f>+E9*100/C9</f>
        <v>1.8533631763134051</v>
      </c>
    </row>
    <row r="10" spans="1:11" ht="24" x14ac:dyDescent="0.55000000000000004">
      <c r="B10" s="107" t="s">
        <v>15</v>
      </c>
      <c r="C10" s="285">
        <f>+รายงานผู้บริหาร!B9</f>
        <v>118294300</v>
      </c>
      <c r="D10" s="285" t="e">
        <f>+รายงานผู้บริหาร!#REF!</f>
        <v>#REF!</v>
      </c>
      <c r="E10" s="440">
        <f>+รายงานผู้บริหาร!F9</f>
        <v>1322506.5</v>
      </c>
      <c r="F10" s="443">
        <f>+E10*100/C10</f>
        <v>1.1179799026664852</v>
      </c>
    </row>
    <row r="11" spans="1:11" ht="24" x14ac:dyDescent="0.55000000000000004">
      <c r="B11" s="107" t="s">
        <v>16</v>
      </c>
      <c r="C11" s="285">
        <f>+รายงานผู้บริหาร!B12</f>
        <v>28793900</v>
      </c>
      <c r="D11" s="285" t="e">
        <f>+รายงานผู้บริหาร!#REF!</f>
        <v>#REF!</v>
      </c>
      <c r="E11" s="440">
        <f>+รายงานผู้บริหาร!F12</f>
        <v>0</v>
      </c>
      <c r="F11" s="443">
        <f>+E11*100/C11</f>
        <v>0</v>
      </c>
    </row>
    <row r="12" spans="1:11" s="39" customFormat="1" ht="24" x14ac:dyDescent="0.55000000000000004">
      <c r="B12" s="441" t="s">
        <v>75</v>
      </c>
      <c r="C12" s="465">
        <f>SUM(C8:C11)</f>
        <v>1969681900</v>
      </c>
      <c r="D12" s="465" t="e">
        <f>+รายงานผู้บริหาร!#REF!</f>
        <v>#REF!</v>
      </c>
      <c r="E12" s="465">
        <f>SUM(E8:E11)</f>
        <v>118445704.56</v>
      </c>
      <c r="F12" s="509">
        <f>+E12*100/C12</f>
        <v>6.0134433158978613</v>
      </c>
    </row>
    <row r="21" spans="1:10" hidden="1" x14ac:dyDescent="0.5"/>
    <row r="22" spans="1:10" hidden="1" x14ac:dyDescent="0.5"/>
    <row r="23" spans="1:10" s="272" customFormat="1" ht="24" x14ac:dyDescent="0.55000000000000004">
      <c r="A23" s="272" t="str">
        <f>+รายงานผู้บริหาร!A22</f>
        <v>*หมายเหตุ :   1. กรมพินิจฯ ได้รับงบประมาณ ตาม พรบ. เป็นเงินจำนวน 1,969,681,900.- บาท แต่ ปัจจุบันได้รับจัดสรรในเบื้องต้น(ในระบบ GFMIS)</v>
      </c>
    </row>
    <row r="24" spans="1:10" s="272" customFormat="1" ht="24" x14ac:dyDescent="0.55000000000000004">
      <c r="A24" s="272" t="e">
        <f>+รายงานผู้บริหาร!#REF!</f>
        <v>#REF!</v>
      </c>
    </row>
    <row r="25" spans="1:10" s="272" customFormat="1" ht="24" x14ac:dyDescent="0.55000000000000004">
      <c r="A25" s="272" t="e">
        <f>+รายงานผู้บริหาร!#REF!</f>
        <v>#REF!</v>
      </c>
    </row>
    <row r="28" spans="1:10" hidden="1" x14ac:dyDescent="0.5"/>
    <row r="29" spans="1:10" hidden="1" x14ac:dyDescent="0.5"/>
    <row r="30" spans="1:10" hidden="1" x14ac:dyDescent="0.5"/>
    <row r="31" spans="1:10" hidden="1" x14ac:dyDescent="0.5"/>
    <row r="32" spans="1:10" ht="27.75" hidden="1" x14ac:dyDescent="0.65">
      <c r="B32" s="1193">
        <f>+รายงานผู้บริหาร!A1:I1</f>
        <v>0</v>
      </c>
      <c r="C32" s="1193"/>
      <c r="D32" s="1193"/>
      <c r="E32" s="1193"/>
      <c r="F32" s="1193"/>
      <c r="G32" s="1193"/>
      <c r="H32" s="1193"/>
      <c r="I32" s="1193"/>
      <c r="J32" s="1193"/>
    </row>
    <row r="33" spans="2:11" ht="27.75" hidden="1" x14ac:dyDescent="0.65">
      <c r="B33" s="1193">
        <f>+รายงานผู้บริหาร!A2:I2</f>
        <v>0</v>
      </c>
      <c r="C33" s="1193"/>
      <c r="D33" s="1193"/>
      <c r="E33" s="1193"/>
      <c r="F33" s="1193"/>
      <c r="G33" s="1193"/>
      <c r="H33" s="1193"/>
      <c r="I33" s="1193"/>
      <c r="J33" s="1193"/>
    </row>
    <row r="34" spans="2:11" ht="27.75" hidden="1" x14ac:dyDescent="0.65">
      <c r="B34" s="1193">
        <f>+รายงานผู้บริหาร!A3:I3</f>
        <v>0</v>
      </c>
      <c r="C34" s="1193"/>
      <c r="D34" s="1193"/>
      <c r="E34" s="1193"/>
      <c r="F34" s="1193"/>
      <c r="G34" s="1193"/>
      <c r="H34" s="1193"/>
      <c r="I34" s="1193"/>
      <c r="J34" s="1193"/>
    </row>
    <row r="35" spans="2:11" hidden="1" x14ac:dyDescent="0.5"/>
    <row r="36" spans="2:11" hidden="1" x14ac:dyDescent="0.5"/>
    <row r="37" spans="2:11" hidden="1" x14ac:dyDescent="0.5"/>
    <row r="38" spans="2:11" hidden="1" x14ac:dyDescent="0.5"/>
    <row r="39" spans="2:11" ht="24" hidden="1" x14ac:dyDescent="0.55000000000000004">
      <c r="B39" s="439" t="str">
        <f>+รายงานผู้บริหาร!A22</f>
        <v>*หมายเหตุ :   1. กรมพินิจฯ ได้รับงบประมาณ ตาม พรบ. เป็นเงินจำนวน 1,969,681,900.- บาท แต่ ปัจจุบันได้รับจัดสรรในเบื้องต้น(ในระบบ GFMIS)</v>
      </c>
      <c r="C39" s="438"/>
      <c r="D39" s="438"/>
      <c r="E39" s="438"/>
      <c r="F39" s="438"/>
      <c r="G39" s="438"/>
      <c r="H39" s="438"/>
      <c r="I39" s="438"/>
      <c r="J39" s="438"/>
      <c r="K39" s="438"/>
    </row>
    <row r="40" spans="2:11" ht="24" hidden="1" x14ac:dyDescent="0.55000000000000004">
      <c r="B40" s="439" t="e">
        <f>+รายงานผู้บริหาร!#REF!</f>
        <v>#REF!</v>
      </c>
      <c r="C40" s="438"/>
      <c r="D40" s="438"/>
      <c r="E40" s="438"/>
      <c r="F40" s="438"/>
      <c r="G40" s="438"/>
      <c r="H40" s="438"/>
      <c r="I40" s="438"/>
      <c r="J40" s="438"/>
      <c r="K40" s="438"/>
    </row>
    <row r="41" spans="2:11" ht="24" hidden="1" x14ac:dyDescent="0.55000000000000004">
      <c r="B41" s="439" t="e">
        <f>+รายงานผู้บริหาร!#REF!</f>
        <v>#REF!</v>
      </c>
      <c r="C41" s="438"/>
      <c r="D41" s="438"/>
      <c r="E41" s="438"/>
      <c r="F41" s="438"/>
      <c r="G41" s="438"/>
      <c r="H41" s="438"/>
      <c r="I41" s="438"/>
      <c r="J41" s="438"/>
      <c r="K41" s="438"/>
    </row>
    <row r="42" spans="2:11" hidden="1" x14ac:dyDescent="0.5"/>
    <row r="43" spans="2:11" hidden="1" x14ac:dyDescent="0.5"/>
    <row r="44" spans="2:11" hidden="1" x14ac:dyDescent="0.5"/>
  </sheetData>
  <mergeCells count="6">
    <mergeCell ref="B34:J34"/>
    <mergeCell ref="A1:K1"/>
    <mergeCell ref="A2:K2"/>
    <mergeCell ref="A3:K3"/>
    <mergeCell ref="B32:J32"/>
    <mergeCell ref="B33:J33"/>
  </mergeCells>
  <pageMargins left="0.70866141732283472" right="0.70866141732283472" top="0.74803149606299213" bottom="0.35433070866141736" header="0.31496062992125984" footer="0.31496062992125984"/>
  <pageSetup paperSize="9" orientation="landscape" horizontalDpi="4294967295" verticalDpi="4294967295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50"/>
  </sheetPr>
  <dimension ref="A1:AM66"/>
  <sheetViews>
    <sheetView topLeftCell="D8" zoomScale="80" zoomScaleNormal="80" workbookViewId="0">
      <pane ySplit="2010" topLeftCell="A6" activePane="bottomLeft"/>
      <selection activeCell="S8" sqref="S1:AM1048576"/>
      <selection pane="bottomLeft" activeCell="K11" sqref="K11"/>
    </sheetView>
  </sheetViews>
  <sheetFormatPr defaultRowHeight="26.25" x14ac:dyDescent="0.5"/>
  <cols>
    <col min="1" max="1" width="6.85546875" style="533" customWidth="1"/>
    <col min="2" max="2" width="22.28515625" style="573" hidden="1" customWidth="1"/>
    <col min="3" max="3" width="6" style="596" customWidth="1"/>
    <col min="4" max="4" width="48.7109375" style="535" customWidth="1"/>
    <col min="5" max="5" width="20.5703125" style="513" bestFit="1" customWidth="1"/>
    <col min="6" max="6" width="22.85546875" style="513" bestFit="1" customWidth="1"/>
    <col min="7" max="7" width="12.85546875" style="513" hidden="1" customWidth="1"/>
    <col min="8" max="8" width="24.42578125" style="528" hidden="1" customWidth="1"/>
    <col min="9" max="9" width="17.85546875" style="519" bestFit="1" customWidth="1"/>
    <col min="10" max="10" width="17.85546875" style="513" bestFit="1" customWidth="1"/>
    <col min="11" max="11" width="19.140625" style="513" bestFit="1" customWidth="1"/>
    <col min="12" max="12" width="21.7109375" style="513" bestFit="1" customWidth="1"/>
    <col min="13" max="13" width="11.5703125" style="519" bestFit="1" customWidth="1"/>
    <col min="14" max="14" width="16" style="519" bestFit="1" customWidth="1"/>
    <col min="15" max="15" width="21" style="519" bestFit="1" customWidth="1"/>
    <col min="16" max="16" width="17.5703125" style="519" customWidth="1"/>
    <col min="17" max="17" width="36.85546875" style="534" customWidth="1"/>
    <col min="18" max="18" width="1.5703125" style="513" hidden="1" customWidth="1"/>
    <col min="19" max="39" width="9.140625" style="513" hidden="1" customWidth="1"/>
    <col min="40" max="44" width="9.140625" style="513" customWidth="1"/>
    <col min="45" max="16384" width="9.140625" style="513"/>
  </cols>
  <sheetData>
    <row r="1" spans="1:18" ht="29.25" x14ac:dyDescent="0.5">
      <c r="A1" s="1307" t="s">
        <v>57</v>
      </c>
      <c r="B1" s="1307"/>
      <c r="C1" s="1307"/>
      <c r="D1" s="1307"/>
      <c r="E1" s="1307"/>
      <c r="F1" s="1307"/>
      <c r="G1" s="1307"/>
      <c r="H1" s="1307"/>
      <c r="I1" s="1307"/>
      <c r="J1" s="1307"/>
      <c r="K1" s="1307"/>
      <c r="L1" s="1307"/>
      <c r="M1" s="1307"/>
      <c r="N1" s="1307"/>
      <c r="O1" s="1307"/>
      <c r="P1" s="1307"/>
      <c r="Q1" s="1307"/>
    </row>
    <row r="2" spans="1:18" ht="29.25" x14ac:dyDescent="0.5">
      <c r="A2" s="1307" t="s">
        <v>677</v>
      </c>
      <c r="B2" s="1307"/>
      <c r="C2" s="1307"/>
      <c r="D2" s="1307"/>
      <c r="E2" s="1307"/>
      <c r="F2" s="1307"/>
      <c r="G2" s="1307"/>
      <c r="H2" s="1307"/>
      <c r="I2" s="1307"/>
      <c r="J2" s="1307"/>
      <c r="K2" s="1307"/>
      <c r="L2" s="1307"/>
      <c r="M2" s="1307"/>
      <c r="N2" s="1307"/>
      <c r="O2" s="1307"/>
      <c r="P2" s="1307"/>
      <c r="Q2" s="1307"/>
    </row>
    <row r="3" spans="1:18" ht="29.25" x14ac:dyDescent="0.5">
      <c r="A3" s="1307" t="s">
        <v>65</v>
      </c>
      <c r="B3" s="1307"/>
      <c r="C3" s="1307"/>
      <c r="D3" s="1307"/>
      <c r="E3" s="1307"/>
      <c r="F3" s="1307"/>
      <c r="G3" s="1307"/>
      <c r="H3" s="1307"/>
      <c r="I3" s="1307"/>
      <c r="J3" s="1307"/>
      <c r="K3" s="1307"/>
      <c r="L3" s="1307"/>
      <c r="M3" s="1307"/>
      <c r="N3" s="1307"/>
      <c r="O3" s="1307"/>
      <c r="P3" s="1307"/>
      <c r="Q3" s="1307"/>
    </row>
    <row r="4" spans="1:18" ht="29.25" x14ac:dyDescent="0.5">
      <c r="A4" s="1308" t="str">
        <f>+รายจ่ายจริง!A3:P3</f>
        <v>ตั้งแต่วันที่ 1  ตุลาคม 2564 ถึงวันที่ 31 ตุลาคม 2564</v>
      </c>
      <c r="B4" s="1308"/>
      <c r="C4" s="1308"/>
      <c r="D4" s="1308"/>
      <c r="E4" s="1308"/>
      <c r="F4" s="1308"/>
      <c r="G4" s="1308"/>
      <c r="H4" s="1308"/>
      <c r="I4" s="1308"/>
      <c r="J4" s="1308"/>
      <c r="K4" s="1308"/>
      <c r="L4" s="1308"/>
      <c r="M4" s="1308"/>
      <c r="N4" s="1308"/>
      <c r="O4" s="1308"/>
      <c r="P4" s="1308"/>
      <c r="Q4" s="1308"/>
    </row>
    <row r="5" spans="1:18" s="605" customFormat="1" ht="36.75" customHeight="1" x14ac:dyDescent="0.5">
      <c r="A5" s="1309" t="s">
        <v>0</v>
      </c>
      <c r="B5" s="607"/>
      <c r="C5" s="1311" t="s">
        <v>58</v>
      </c>
      <c r="D5" s="1311"/>
      <c r="E5" s="1318" t="s">
        <v>837</v>
      </c>
      <c r="F5" s="1319"/>
      <c r="G5" s="1319"/>
      <c r="H5" s="1319"/>
      <c r="I5" s="1319"/>
      <c r="J5" s="1319"/>
      <c r="K5" s="1319"/>
      <c r="L5" s="1319"/>
      <c r="M5" s="1319"/>
      <c r="N5" s="1319"/>
      <c r="O5" s="1320"/>
      <c r="P5" s="608" t="s">
        <v>831</v>
      </c>
      <c r="Q5" s="1312" t="s">
        <v>165</v>
      </c>
    </row>
    <row r="6" spans="1:18" s="514" customFormat="1" x14ac:dyDescent="0.5">
      <c r="A6" s="1310"/>
      <c r="B6" s="609"/>
      <c r="C6" s="1311"/>
      <c r="D6" s="1311"/>
      <c r="E6" s="610" t="s">
        <v>59</v>
      </c>
      <c r="F6" s="611" t="s">
        <v>842</v>
      </c>
      <c r="G6" s="611" t="s">
        <v>428</v>
      </c>
      <c r="H6" s="611" t="s">
        <v>209</v>
      </c>
      <c r="I6" s="611" t="s">
        <v>166</v>
      </c>
      <c r="J6" s="611" t="s">
        <v>17</v>
      </c>
      <c r="K6" s="611" t="s">
        <v>62</v>
      </c>
      <c r="L6" s="611" t="s">
        <v>661</v>
      </c>
      <c r="M6" s="608" t="s">
        <v>83</v>
      </c>
      <c r="N6" s="608" t="s">
        <v>83</v>
      </c>
      <c r="O6" s="626" t="s">
        <v>838</v>
      </c>
      <c r="P6" s="612" t="s">
        <v>834</v>
      </c>
      <c r="Q6" s="1312"/>
    </row>
    <row r="7" spans="1:18" s="514" customFormat="1" x14ac:dyDescent="0.5">
      <c r="A7" s="613" t="s">
        <v>727</v>
      </c>
      <c r="B7" s="614" t="s">
        <v>179</v>
      </c>
      <c r="C7" s="1311"/>
      <c r="D7" s="1311"/>
      <c r="E7" s="615" t="s">
        <v>836</v>
      </c>
      <c r="F7" s="616" t="s">
        <v>841</v>
      </c>
      <c r="G7" s="617" t="s">
        <v>429</v>
      </c>
      <c r="H7" s="617"/>
      <c r="I7" s="617" t="s">
        <v>800</v>
      </c>
      <c r="J7" s="617" t="s">
        <v>2</v>
      </c>
      <c r="K7" s="617" t="s">
        <v>72</v>
      </c>
      <c r="L7" s="617" t="s">
        <v>102</v>
      </c>
      <c r="M7" s="618" t="s">
        <v>737</v>
      </c>
      <c r="N7" s="618" t="s">
        <v>737</v>
      </c>
      <c r="O7" s="586" t="s">
        <v>839</v>
      </c>
      <c r="P7" s="618" t="s">
        <v>832</v>
      </c>
      <c r="Q7" s="1312"/>
    </row>
    <row r="8" spans="1:18" s="514" customFormat="1" x14ac:dyDescent="0.5">
      <c r="A8" s="619"/>
      <c r="B8" s="620"/>
      <c r="C8" s="1311"/>
      <c r="D8" s="1311"/>
      <c r="E8" s="621" t="s">
        <v>448</v>
      </c>
      <c r="F8" s="622" t="s">
        <v>449</v>
      </c>
      <c r="G8" s="622" t="s">
        <v>704</v>
      </c>
      <c r="H8" s="622" t="s">
        <v>103</v>
      </c>
      <c r="I8" s="622" t="s">
        <v>450</v>
      </c>
      <c r="J8" s="622" t="s">
        <v>451</v>
      </c>
      <c r="K8" s="623" t="s">
        <v>768</v>
      </c>
      <c r="L8" s="623" t="s">
        <v>784</v>
      </c>
      <c r="M8" s="624" t="s">
        <v>61</v>
      </c>
      <c r="N8" s="624" t="s">
        <v>788</v>
      </c>
      <c r="O8" s="627" t="s">
        <v>840</v>
      </c>
      <c r="P8" s="625" t="s">
        <v>843</v>
      </c>
      <c r="Q8" s="1312"/>
    </row>
    <row r="9" spans="1:18" s="604" customFormat="1" ht="36.75" customHeight="1" x14ac:dyDescent="0.5">
      <c r="A9" s="597" t="s">
        <v>738</v>
      </c>
      <c r="B9" s="598"/>
      <c r="C9" s="599"/>
      <c r="D9" s="600"/>
      <c r="E9" s="601">
        <f>SUM(E10:E17)</f>
        <v>145666300</v>
      </c>
      <c r="F9" s="601">
        <f>SUM(F10:F17)</f>
        <v>40819000</v>
      </c>
      <c r="G9" s="601">
        <f t="shared" ref="G9:L9" si="0">SUM(G10:G17)</f>
        <v>0</v>
      </c>
      <c r="H9" s="601">
        <f t="shared" si="0"/>
        <v>40819000</v>
      </c>
      <c r="I9" s="601">
        <f t="shared" si="0"/>
        <v>30192654.93</v>
      </c>
      <c r="J9" s="601">
        <f t="shared" si="0"/>
        <v>10626345.07</v>
      </c>
      <c r="K9" s="601">
        <f t="shared" si="0"/>
        <v>135039954.93000001</v>
      </c>
      <c r="L9" s="601">
        <f t="shared" si="0"/>
        <v>104847300</v>
      </c>
      <c r="M9" s="602">
        <f t="shared" ref="M9:M17" si="1">+J9*100/E9</f>
        <v>7.2949920949457772</v>
      </c>
      <c r="N9" s="601">
        <f t="shared" ref="N9:N22" si="2">+R9*100/E9</f>
        <v>28.022267332938366</v>
      </c>
      <c r="O9" s="628">
        <f>SUM(O10:O17)</f>
        <v>104847300</v>
      </c>
      <c r="P9" s="601">
        <f>SUM(P10:P17)</f>
        <v>26383184.75</v>
      </c>
      <c r="Q9" s="603"/>
      <c r="R9" s="590">
        <f t="shared" ref="R9:R22" si="3">+I9+J9</f>
        <v>40819000</v>
      </c>
    </row>
    <row r="10" spans="1:18" s="528" customFormat="1" ht="104.25" customHeight="1" x14ac:dyDescent="0.5">
      <c r="A10" s="630"/>
      <c r="B10" s="631" t="s">
        <v>719</v>
      </c>
      <c r="C10" s="632" t="s">
        <v>448</v>
      </c>
      <c r="D10" s="606" t="s">
        <v>736</v>
      </c>
      <c r="E10" s="520">
        <v>14508000</v>
      </c>
      <c r="F10" s="523">
        <v>2418000</v>
      </c>
      <c r="G10" s="527">
        <v>0</v>
      </c>
      <c r="H10" s="516">
        <f>SUM(F10:G10)</f>
        <v>2418000</v>
      </c>
      <c r="I10" s="516">
        <v>2418000</v>
      </c>
      <c r="J10" s="516">
        <v>0</v>
      </c>
      <c r="K10" s="515">
        <f t="shared" ref="K10:K17" si="4">+E10-J10</f>
        <v>14508000</v>
      </c>
      <c r="L10" s="515">
        <f t="shared" ref="L10:L17" si="5">+E10-I10-J10</f>
        <v>12090000</v>
      </c>
      <c r="M10" s="339">
        <f t="shared" si="1"/>
        <v>0</v>
      </c>
      <c r="N10" s="339">
        <f t="shared" si="2"/>
        <v>16.666666666666668</v>
      </c>
      <c r="O10" s="629">
        <f>+E10-F10</f>
        <v>12090000</v>
      </c>
      <c r="P10" s="339">
        <v>4668200</v>
      </c>
      <c r="Q10" s="521" t="s">
        <v>813</v>
      </c>
      <c r="R10" s="514">
        <f t="shared" si="3"/>
        <v>2418000</v>
      </c>
    </row>
    <row r="11" spans="1:18" s="528" customFormat="1" ht="89.25" customHeight="1" x14ac:dyDescent="0.5">
      <c r="A11" s="630"/>
      <c r="B11" s="631" t="s">
        <v>720</v>
      </c>
      <c r="C11" s="632" t="s">
        <v>449</v>
      </c>
      <c r="D11" s="606" t="s">
        <v>729</v>
      </c>
      <c r="E11" s="520">
        <v>5632000</v>
      </c>
      <c r="F11" s="523">
        <v>2825700</v>
      </c>
      <c r="G11" s="527">
        <v>0</v>
      </c>
      <c r="H11" s="516">
        <f t="shared" ref="H11:H17" si="6">SUM(F11:G11)</f>
        <v>2825700</v>
      </c>
      <c r="I11" s="516">
        <v>2825700</v>
      </c>
      <c r="J11" s="516">
        <v>0</v>
      </c>
      <c r="K11" s="515">
        <f t="shared" si="4"/>
        <v>5632000</v>
      </c>
      <c r="L11" s="515">
        <f t="shared" si="5"/>
        <v>2806300</v>
      </c>
      <c r="M11" s="339">
        <f t="shared" si="1"/>
        <v>0</v>
      </c>
      <c r="N11" s="339">
        <f t="shared" si="2"/>
        <v>50.172230113636367</v>
      </c>
      <c r="O11" s="629">
        <f t="shared" ref="O11:O17" si="7">+E11-F11</f>
        <v>2806300</v>
      </c>
      <c r="P11" s="339">
        <v>7191566.75</v>
      </c>
      <c r="Q11" s="521" t="s">
        <v>814</v>
      </c>
      <c r="R11" s="514">
        <f t="shared" si="3"/>
        <v>2825700</v>
      </c>
    </row>
    <row r="12" spans="1:18" s="528" customFormat="1" ht="89.25" customHeight="1" x14ac:dyDescent="0.5">
      <c r="A12" s="630"/>
      <c r="B12" s="631" t="s">
        <v>721</v>
      </c>
      <c r="C12" s="632" t="s">
        <v>450</v>
      </c>
      <c r="D12" s="606" t="s">
        <v>730</v>
      </c>
      <c r="E12" s="520">
        <v>18890000</v>
      </c>
      <c r="F12" s="523">
        <v>5440000</v>
      </c>
      <c r="G12" s="527">
        <v>0</v>
      </c>
      <c r="H12" s="516">
        <f t="shared" si="6"/>
        <v>5440000</v>
      </c>
      <c r="I12" s="516">
        <v>0</v>
      </c>
      <c r="J12" s="516">
        <v>5440000</v>
      </c>
      <c r="K12" s="515">
        <f t="shared" si="4"/>
        <v>13450000</v>
      </c>
      <c r="L12" s="515">
        <f t="shared" si="5"/>
        <v>13450000</v>
      </c>
      <c r="M12" s="339">
        <f t="shared" si="1"/>
        <v>28.798305982001057</v>
      </c>
      <c r="N12" s="339">
        <f t="shared" si="2"/>
        <v>28.798305982001057</v>
      </c>
      <c r="O12" s="629">
        <f t="shared" si="7"/>
        <v>13450000</v>
      </c>
      <c r="P12" s="339">
        <v>0</v>
      </c>
      <c r="Q12" s="572" t="s">
        <v>815</v>
      </c>
      <c r="R12" s="514">
        <f t="shared" si="3"/>
        <v>5440000</v>
      </c>
    </row>
    <row r="13" spans="1:18" s="528" customFormat="1" ht="72.75" customHeight="1" x14ac:dyDescent="0.5">
      <c r="A13" s="630"/>
      <c r="B13" s="631" t="s">
        <v>722</v>
      </c>
      <c r="C13" s="632" t="s">
        <v>451</v>
      </c>
      <c r="D13" s="606" t="s">
        <v>731</v>
      </c>
      <c r="E13" s="520">
        <v>8400000</v>
      </c>
      <c r="F13" s="523">
        <v>5186400</v>
      </c>
      <c r="G13" s="527">
        <v>0</v>
      </c>
      <c r="H13" s="516">
        <f t="shared" si="6"/>
        <v>5186400</v>
      </c>
      <c r="I13" s="516">
        <v>54.93</v>
      </c>
      <c r="J13" s="516">
        <v>5186345.07</v>
      </c>
      <c r="K13" s="515">
        <f t="shared" si="4"/>
        <v>3213654.9299999997</v>
      </c>
      <c r="L13" s="515">
        <f t="shared" si="5"/>
        <v>3213600</v>
      </c>
      <c r="M13" s="339">
        <f t="shared" si="1"/>
        <v>61.742203214285716</v>
      </c>
      <c r="N13" s="339">
        <f t="shared" si="2"/>
        <v>61.74285714285714</v>
      </c>
      <c r="O13" s="629">
        <f t="shared" si="7"/>
        <v>3213600</v>
      </c>
      <c r="P13" s="339">
        <v>0</v>
      </c>
      <c r="Q13" s="521" t="s">
        <v>816</v>
      </c>
      <c r="R13" s="514">
        <f t="shared" si="3"/>
        <v>5186400</v>
      </c>
    </row>
    <row r="14" spans="1:18" s="528" customFormat="1" ht="72.75" customHeight="1" x14ac:dyDescent="0.5">
      <c r="A14" s="630"/>
      <c r="B14" s="631" t="s">
        <v>723</v>
      </c>
      <c r="C14" s="632" t="s">
        <v>452</v>
      </c>
      <c r="D14" s="606" t="s">
        <v>732</v>
      </c>
      <c r="E14" s="520">
        <v>27525700</v>
      </c>
      <c r="F14" s="523">
        <v>7800000</v>
      </c>
      <c r="G14" s="527">
        <v>0</v>
      </c>
      <c r="H14" s="516">
        <f t="shared" si="6"/>
        <v>7800000</v>
      </c>
      <c r="I14" s="516">
        <v>7800000</v>
      </c>
      <c r="J14" s="516">
        <v>0</v>
      </c>
      <c r="K14" s="515">
        <f t="shared" si="4"/>
        <v>27525700</v>
      </c>
      <c r="L14" s="515">
        <f t="shared" si="5"/>
        <v>19725700</v>
      </c>
      <c r="M14" s="339">
        <f t="shared" si="1"/>
        <v>0</v>
      </c>
      <c r="N14" s="339">
        <f t="shared" si="2"/>
        <v>28.337154005166081</v>
      </c>
      <c r="O14" s="629">
        <f t="shared" si="7"/>
        <v>19725700</v>
      </c>
      <c r="P14" s="518" t="s">
        <v>833</v>
      </c>
      <c r="Q14" s="521" t="s">
        <v>817</v>
      </c>
      <c r="R14" s="514">
        <f t="shared" si="3"/>
        <v>7800000</v>
      </c>
    </row>
    <row r="15" spans="1:18" s="528" customFormat="1" ht="72.75" customHeight="1" x14ac:dyDescent="0.5">
      <c r="A15" s="630"/>
      <c r="B15" s="631" t="s">
        <v>724</v>
      </c>
      <c r="C15" s="632" t="s">
        <v>453</v>
      </c>
      <c r="D15" s="606" t="s">
        <v>733</v>
      </c>
      <c r="E15" s="520">
        <v>13195000</v>
      </c>
      <c r="F15" s="523">
        <v>3770000</v>
      </c>
      <c r="G15" s="527">
        <v>0</v>
      </c>
      <c r="H15" s="516">
        <f t="shared" si="6"/>
        <v>3770000</v>
      </c>
      <c r="I15" s="516">
        <v>3770000</v>
      </c>
      <c r="J15" s="516">
        <v>0</v>
      </c>
      <c r="K15" s="515">
        <f t="shared" si="4"/>
        <v>13195000</v>
      </c>
      <c r="L15" s="515">
        <f t="shared" si="5"/>
        <v>9425000</v>
      </c>
      <c r="M15" s="339">
        <f t="shared" si="1"/>
        <v>0</v>
      </c>
      <c r="N15" s="339">
        <f t="shared" si="2"/>
        <v>28.571428571428573</v>
      </c>
      <c r="O15" s="629">
        <f t="shared" si="7"/>
        <v>9425000</v>
      </c>
      <c r="P15" s="339">
        <v>2805000</v>
      </c>
      <c r="Q15" s="521" t="s">
        <v>818</v>
      </c>
      <c r="R15" s="514">
        <f t="shared" si="3"/>
        <v>3770000</v>
      </c>
    </row>
    <row r="16" spans="1:18" s="528" customFormat="1" ht="138" customHeight="1" x14ac:dyDescent="0.5">
      <c r="A16" s="630"/>
      <c r="B16" s="631" t="s">
        <v>725</v>
      </c>
      <c r="C16" s="632" t="s">
        <v>454</v>
      </c>
      <c r="D16" s="606" t="s">
        <v>734</v>
      </c>
      <c r="E16" s="520">
        <v>20000000</v>
      </c>
      <c r="F16" s="524">
        <v>4000000</v>
      </c>
      <c r="G16" s="516">
        <v>0</v>
      </c>
      <c r="H16" s="516">
        <f t="shared" si="6"/>
        <v>4000000</v>
      </c>
      <c r="I16" s="516">
        <v>4000000</v>
      </c>
      <c r="J16" s="516">
        <v>0</v>
      </c>
      <c r="K16" s="515">
        <f t="shared" si="4"/>
        <v>20000000</v>
      </c>
      <c r="L16" s="515">
        <f t="shared" si="5"/>
        <v>16000000</v>
      </c>
      <c r="M16" s="339">
        <f t="shared" si="1"/>
        <v>0</v>
      </c>
      <c r="N16" s="339">
        <f t="shared" si="2"/>
        <v>20</v>
      </c>
      <c r="O16" s="629">
        <f t="shared" si="7"/>
        <v>16000000</v>
      </c>
      <c r="P16" s="339">
        <v>582768</v>
      </c>
      <c r="Q16" s="521" t="s">
        <v>835</v>
      </c>
      <c r="R16" s="514">
        <f t="shared" si="3"/>
        <v>4000000</v>
      </c>
    </row>
    <row r="17" spans="1:18" s="528" customFormat="1" ht="87.75" customHeight="1" x14ac:dyDescent="0.5">
      <c r="A17" s="526"/>
      <c r="B17" s="631" t="s">
        <v>726</v>
      </c>
      <c r="C17" s="632" t="s">
        <v>455</v>
      </c>
      <c r="D17" s="606" t="s">
        <v>735</v>
      </c>
      <c r="E17" s="520">
        <v>37515600</v>
      </c>
      <c r="F17" s="524">
        <v>9378900</v>
      </c>
      <c r="G17" s="516">
        <v>0</v>
      </c>
      <c r="H17" s="516">
        <f t="shared" si="6"/>
        <v>9378900</v>
      </c>
      <c r="I17" s="516">
        <v>9378900</v>
      </c>
      <c r="J17" s="516">
        <v>0</v>
      </c>
      <c r="K17" s="515">
        <f t="shared" si="4"/>
        <v>37515600</v>
      </c>
      <c r="L17" s="515">
        <f t="shared" si="5"/>
        <v>28136700</v>
      </c>
      <c r="M17" s="339">
        <f t="shared" si="1"/>
        <v>0</v>
      </c>
      <c r="N17" s="339">
        <f t="shared" si="2"/>
        <v>25</v>
      </c>
      <c r="O17" s="629">
        <f t="shared" si="7"/>
        <v>28136700</v>
      </c>
      <c r="P17" s="339">
        <v>11135650</v>
      </c>
      <c r="Q17" s="521" t="s">
        <v>819</v>
      </c>
      <c r="R17" s="514">
        <f t="shared" si="3"/>
        <v>9378900</v>
      </c>
    </row>
    <row r="18" spans="1:18" s="522" customFormat="1" ht="32.25" hidden="1" customHeight="1" x14ac:dyDescent="0.5">
      <c r="A18" s="1304" t="s">
        <v>15</v>
      </c>
      <c r="B18" s="1305"/>
      <c r="C18" s="1305"/>
      <c r="D18" s="1306"/>
      <c r="E18" s="529" t="e">
        <f>+#REF!/1000000</f>
        <v>#REF!</v>
      </c>
      <c r="F18" s="529" t="e">
        <f>+#REF!/1000000</f>
        <v>#REF!</v>
      </c>
      <c r="G18" s="529" t="e">
        <f>+#REF!/1000000</f>
        <v>#REF!</v>
      </c>
      <c r="H18" s="529" t="e">
        <f>+#REF!/1000000</f>
        <v>#REF!</v>
      </c>
      <c r="I18" s="529" t="e">
        <f>+#REF!/1000000</f>
        <v>#REF!</v>
      </c>
      <c r="J18" s="529" t="e">
        <f>+#REF!/1000000</f>
        <v>#REF!</v>
      </c>
      <c r="K18" s="530" t="e">
        <f>+#REF!/1000000</f>
        <v>#REF!</v>
      </c>
      <c r="L18" s="530" t="e">
        <f>+#REF!/1000000</f>
        <v>#REF!</v>
      </c>
      <c r="M18" s="525"/>
      <c r="N18" s="511" t="e">
        <f t="shared" si="2"/>
        <v>#REF!</v>
      </c>
      <c r="O18" s="571"/>
      <c r="P18" s="571"/>
      <c r="Q18" s="531"/>
      <c r="R18" s="570" t="e">
        <f t="shared" si="3"/>
        <v>#REF!</v>
      </c>
    </row>
    <row r="19" spans="1:18" s="522" customFormat="1" ht="32.25" hidden="1" customHeight="1" x14ac:dyDescent="0.5">
      <c r="A19" s="1304" t="s">
        <v>11</v>
      </c>
      <c r="B19" s="1305"/>
      <c r="C19" s="1305"/>
      <c r="D19" s="1306"/>
      <c r="E19" s="529" t="e">
        <f>+#REF!/1000000</f>
        <v>#REF!</v>
      </c>
      <c r="F19" s="529" t="e">
        <f>+#REF!/1000000</f>
        <v>#REF!</v>
      </c>
      <c r="G19" s="529" t="e">
        <f>+#REF!/1000000</f>
        <v>#REF!</v>
      </c>
      <c r="H19" s="529" t="e">
        <f>+#REF!/1000000</f>
        <v>#REF!</v>
      </c>
      <c r="I19" s="529" t="e">
        <f>+#REF!/1000000</f>
        <v>#REF!</v>
      </c>
      <c r="J19" s="529" t="e">
        <f>+#REF!/1000000</f>
        <v>#REF!</v>
      </c>
      <c r="K19" s="530" t="e">
        <f>+#REF!/1000000</f>
        <v>#REF!</v>
      </c>
      <c r="L19" s="530" t="e">
        <f>+#REF!/1000000</f>
        <v>#REF!</v>
      </c>
      <c r="M19" s="525"/>
      <c r="N19" s="511" t="e">
        <f t="shared" si="2"/>
        <v>#REF!</v>
      </c>
      <c r="O19" s="571"/>
      <c r="P19" s="571"/>
      <c r="Q19" s="531"/>
      <c r="R19" s="570" t="e">
        <f t="shared" si="3"/>
        <v>#REF!</v>
      </c>
    </row>
    <row r="20" spans="1:18" s="522" customFormat="1" ht="32.25" hidden="1" customHeight="1" x14ac:dyDescent="0.5">
      <c r="A20" s="1304" t="s">
        <v>167</v>
      </c>
      <c r="B20" s="1305"/>
      <c r="C20" s="1305"/>
      <c r="D20" s="1306"/>
      <c r="E20" s="529" t="e">
        <f>+#REF!/1000000</f>
        <v>#REF!</v>
      </c>
      <c r="F20" s="529" t="e">
        <f>+#REF!/1000000</f>
        <v>#REF!</v>
      </c>
      <c r="G20" s="529" t="e">
        <f>+#REF!/1000000</f>
        <v>#REF!</v>
      </c>
      <c r="H20" s="529" t="e">
        <f>+#REF!/1000000</f>
        <v>#REF!</v>
      </c>
      <c r="I20" s="529" t="e">
        <f>+#REF!/1000000</f>
        <v>#REF!</v>
      </c>
      <c r="J20" s="529" t="e">
        <f>+#REF!/1000000</f>
        <v>#REF!</v>
      </c>
      <c r="K20" s="530" t="e">
        <f>+#REF!/1000000</f>
        <v>#REF!</v>
      </c>
      <c r="L20" s="530" t="e">
        <f>+#REF!/1000000</f>
        <v>#REF!</v>
      </c>
      <c r="M20" s="525"/>
      <c r="N20" s="511" t="e">
        <f t="shared" si="2"/>
        <v>#REF!</v>
      </c>
      <c r="O20" s="571"/>
      <c r="P20" s="571"/>
      <c r="Q20" s="531"/>
      <c r="R20" s="570" t="e">
        <f t="shared" si="3"/>
        <v>#REF!</v>
      </c>
    </row>
    <row r="21" spans="1:18" s="522" customFormat="1" ht="42.75" hidden="1" customHeight="1" x14ac:dyDescent="0.5">
      <c r="A21" s="1304" t="s">
        <v>107</v>
      </c>
      <c r="B21" s="1305"/>
      <c r="C21" s="1305"/>
      <c r="D21" s="1306"/>
      <c r="E21" s="525">
        <f t="shared" ref="E21:L21" si="8">+E9</f>
        <v>145666300</v>
      </c>
      <c r="F21" s="525">
        <f t="shared" si="8"/>
        <v>40819000</v>
      </c>
      <c r="G21" s="525">
        <f t="shared" si="8"/>
        <v>0</v>
      </c>
      <c r="H21" s="525">
        <f t="shared" si="8"/>
        <v>40819000</v>
      </c>
      <c r="I21" s="525">
        <f t="shared" si="8"/>
        <v>30192654.93</v>
      </c>
      <c r="J21" s="525">
        <f t="shared" si="8"/>
        <v>10626345.07</v>
      </c>
      <c r="K21" s="525">
        <f t="shared" si="8"/>
        <v>135039954.93000001</v>
      </c>
      <c r="L21" s="525">
        <f t="shared" si="8"/>
        <v>104847300</v>
      </c>
      <c r="M21" s="525">
        <f t="shared" ref="M21:N44" si="9">+J21*100/H21</f>
        <v>26.032840270462284</v>
      </c>
      <c r="N21" s="511">
        <f t="shared" si="2"/>
        <v>28.022267332938366</v>
      </c>
      <c r="O21" s="511"/>
      <c r="P21" s="511"/>
      <c r="Q21" s="521"/>
      <c r="R21" s="570">
        <f t="shared" si="3"/>
        <v>40819000</v>
      </c>
    </row>
    <row r="22" spans="1:18" s="522" customFormat="1" ht="42.75" hidden="1" customHeight="1" x14ac:dyDescent="0.5">
      <c r="A22" s="1304" t="s">
        <v>108</v>
      </c>
      <c r="B22" s="1305"/>
      <c r="C22" s="1305"/>
      <c r="D22" s="1306"/>
      <c r="E22" s="517" t="e">
        <f>+#REF!+#REF!</f>
        <v>#REF!</v>
      </c>
      <c r="F22" s="517" t="e">
        <f>+#REF!+#REF!</f>
        <v>#REF!</v>
      </c>
      <c r="G22" s="517" t="e">
        <f>+#REF!+#REF!</f>
        <v>#REF!</v>
      </c>
      <c r="H22" s="517" t="e">
        <f>+#REF!+#REF!</f>
        <v>#REF!</v>
      </c>
      <c r="I22" s="517" t="e">
        <f>+#REF!+#REF!</f>
        <v>#REF!</v>
      </c>
      <c r="J22" s="517" t="e">
        <f>+#REF!+#REF!</f>
        <v>#REF!</v>
      </c>
      <c r="K22" s="517" t="e">
        <f>+#REF!+#REF!</f>
        <v>#REF!</v>
      </c>
      <c r="L22" s="517" t="e">
        <f>+#REF!+#REF!</f>
        <v>#REF!</v>
      </c>
      <c r="M22" s="525" t="e">
        <f t="shared" si="9"/>
        <v>#REF!</v>
      </c>
      <c r="N22" s="511" t="e">
        <f t="shared" si="2"/>
        <v>#REF!</v>
      </c>
      <c r="O22" s="511"/>
      <c r="P22" s="511"/>
      <c r="Q22" s="521"/>
      <c r="R22" s="570" t="e">
        <f t="shared" si="3"/>
        <v>#REF!</v>
      </c>
    </row>
    <row r="23" spans="1:18" s="522" customFormat="1" ht="88.5" hidden="1" customHeight="1" x14ac:dyDescent="0.5">
      <c r="A23" s="1313" t="s">
        <v>826</v>
      </c>
      <c r="B23" s="1314"/>
      <c r="C23" s="1314"/>
      <c r="D23" s="1314"/>
      <c r="E23" s="1314"/>
      <c r="F23" s="1314"/>
      <c r="G23" s="1314"/>
      <c r="H23" s="1314"/>
      <c r="I23" s="1315"/>
      <c r="J23" s="1302" t="s">
        <v>822</v>
      </c>
      <c r="K23" s="1303"/>
      <c r="L23" s="517">
        <f>27700+22000+7100</f>
        <v>56800</v>
      </c>
      <c r="M23" s="525"/>
      <c r="N23" s="511"/>
      <c r="O23" s="511"/>
      <c r="P23" s="511"/>
      <c r="Q23" s="521"/>
      <c r="R23" s="570"/>
    </row>
    <row r="24" spans="1:18" s="522" customFormat="1" ht="113.25" hidden="1" customHeight="1" x14ac:dyDescent="0.5">
      <c r="A24" s="1299"/>
      <c r="B24" s="1300"/>
      <c r="C24" s="1300"/>
      <c r="D24" s="1300"/>
      <c r="E24" s="1300"/>
      <c r="F24" s="1300"/>
      <c r="G24" s="1300"/>
      <c r="H24" s="1300"/>
      <c r="I24" s="1301"/>
      <c r="J24" s="1302" t="s">
        <v>821</v>
      </c>
      <c r="K24" s="1303"/>
      <c r="L24" s="517">
        <f>370276+495000+497550</f>
        <v>1362826</v>
      </c>
      <c r="M24" s="525"/>
      <c r="N24" s="511"/>
      <c r="O24" s="511"/>
      <c r="P24" s="511"/>
      <c r="Q24" s="521"/>
      <c r="R24" s="570"/>
    </row>
    <row r="25" spans="1:18" s="522" customFormat="1" ht="87" hidden="1" customHeight="1" x14ac:dyDescent="0.5">
      <c r="A25" s="1299"/>
      <c r="B25" s="1300"/>
      <c r="C25" s="1300"/>
      <c r="D25" s="1300"/>
      <c r="E25" s="1300"/>
      <c r="F25" s="1300"/>
      <c r="G25" s="1300"/>
      <c r="H25" s="1300"/>
      <c r="I25" s="1301"/>
      <c r="J25" s="1302" t="s">
        <v>824</v>
      </c>
      <c r="K25" s="1303"/>
      <c r="L25" s="575">
        <f>2814262.07+8000</f>
        <v>2822262.07</v>
      </c>
      <c r="M25" s="525"/>
      <c r="N25" s="511"/>
      <c r="O25" s="511"/>
      <c r="P25" s="511"/>
      <c r="Q25" s="578" t="e">
        <f>+L22-L26-L23</f>
        <v>#REF!</v>
      </c>
      <c r="R25" s="570"/>
    </row>
    <row r="26" spans="1:18" s="522" customFormat="1" ht="116.25" hidden="1" customHeight="1" x14ac:dyDescent="0.5">
      <c r="A26" s="1299"/>
      <c r="B26" s="1300"/>
      <c r="C26" s="1300"/>
      <c r="D26" s="1300"/>
      <c r="E26" s="1300"/>
      <c r="F26" s="1300"/>
      <c r="G26" s="1300"/>
      <c r="H26" s="1300"/>
      <c r="I26" s="1301"/>
      <c r="J26" s="1302" t="s">
        <v>828</v>
      </c>
      <c r="K26" s="1303"/>
      <c r="L26" s="517">
        <v>1700000</v>
      </c>
      <c r="M26" s="525"/>
      <c r="N26" s="511"/>
      <c r="O26" s="511"/>
      <c r="P26" s="511"/>
      <c r="Q26" s="521"/>
      <c r="R26" s="570"/>
    </row>
    <row r="27" spans="1:18" s="522" customFormat="1" ht="147" hidden="1" customHeight="1" x14ac:dyDescent="0.5">
      <c r="A27" s="1299"/>
      <c r="B27" s="1300"/>
      <c r="C27" s="1300"/>
      <c r="D27" s="1300"/>
      <c r="E27" s="1300"/>
      <c r="F27" s="1300"/>
      <c r="G27" s="1300"/>
      <c r="H27" s="1300"/>
      <c r="I27" s="1301"/>
      <c r="J27" s="1302" t="s">
        <v>823</v>
      </c>
      <c r="K27" s="1303"/>
      <c r="L27" s="517" t="e">
        <f>+#REF!+#REF!+#REF!+#REF!+#REF!+#REF!+#REF!+#REF!+#REF!+#REF!+#REF!+#REF!+#REF!+#REF!+#REF!+#REF!</f>
        <v>#REF!</v>
      </c>
      <c r="M27" s="525"/>
      <c r="N27" s="511"/>
      <c r="O27" s="511"/>
      <c r="P27" s="511"/>
      <c r="Q27" s="579" t="e">
        <f>+L22-Q28</f>
        <v>#REF!</v>
      </c>
      <c r="R27" s="570"/>
    </row>
    <row r="28" spans="1:18" s="522" customFormat="1" ht="141" hidden="1" customHeight="1" x14ac:dyDescent="0.5">
      <c r="A28" s="1299"/>
      <c r="B28" s="1300"/>
      <c r="C28" s="1300"/>
      <c r="D28" s="1300"/>
      <c r="E28" s="1300"/>
      <c r="F28" s="1300"/>
      <c r="G28" s="1300"/>
      <c r="H28" s="1300"/>
      <c r="I28" s="1301"/>
      <c r="J28" s="1302" t="s">
        <v>825</v>
      </c>
      <c r="K28" s="1303"/>
      <c r="L28" s="517">
        <v>2044100.02</v>
      </c>
      <c r="M28" s="525"/>
      <c r="N28" s="511"/>
      <c r="O28" s="511"/>
      <c r="P28" s="511"/>
      <c r="Q28" s="579" t="e">
        <f>SUM(L23:L28)</f>
        <v>#REF!</v>
      </c>
      <c r="R28" s="570"/>
    </row>
    <row r="29" spans="1:18" s="522" customFormat="1" ht="110.25" hidden="1" customHeight="1" x14ac:dyDescent="0.5">
      <c r="A29" s="587"/>
      <c r="B29" s="588"/>
      <c r="C29" s="592"/>
      <c r="D29" s="589"/>
      <c r="E29" s="517"/>
      <c r="F29" s="517"/>
      <c r="G29" s="517"/>
      <c r="H29" s="517"/>
      <c r="I29" s="517"/>
      <c r="J29" s="1302"/>
      <c r="K29" s="1303"/>
      <c r="L29" s="517"/>
      <c r="M29" s="576"/>
      <c r="N29" s="577"/>
      <c r="O29" s="571"/>
      <c r="P29" s="571"/>
      <c r="Q29" s="574" t="e">
        <f>+L22-Q28</f>
        <v>#REF!</v>
      </c>
      <c r="R29" s="570"/>
    </row>
    <row r="30" spans="1:18" s="522" customFormat="1" ht="42.75" hidden="1" customHeight="1" x14ac:dyDescent="0.5">
      <c r="A30" s="587"/>
      <c r="B30" s="588"/>
      <c r="C30" s="592"/>
      <c r="D30" s="589"/>
      <c r="E30" s="517"/>
      <c r="F30" s="517"/>
      <c r="G30" s="517"/>
      <c r="H30" s="517"/>
      <c r="I30" s="517"/>
      <c r="J30" s="517"/>
      <c r="K30" s="517"/>
      <c r="L30" s="517"/>
      <c r="M30" s="525"/>
      <c r="N30" s="511"/>
      <c r="O30" s="571"/>
      <c r="P30" s="571"/>
      <c r="Q30" s="531"/>
      <c r="R30" s="570"/>
    </row>
    <row r="31" spans="1:18" s="522" customFormat="1" ht="42.75" hidden="1" customHeight="1" x14ac:dyDescent="0.5">
      <c r="A31" s="587"/>
      <c r="B31" s="588"/>
      <c r="C31" s="592"/>
      <c r="D31" s="589"/>
      <c r="E31" s="517"/>
      <c r="F31" s="517"/>
      <c r="G31" s="517"/>
      <c r="H31" s="517"/>
      <c r="I31" s="517"/>
      <c r="J31" s="517"/>
      <c r="K31" s="517"/>
      <c r="L31" s="517"/>
      <c r="M31" s="525"/>
      <c r="N31" s="511"/>
      <c r="O31" s="571"/>
      <c r="P31" s="571"/>
      <c r="Q31" s="531"/>
      <c r="R31" s="570"/>
    </row>
    <row r="32" spans="1:18" s="522" customFormat="1" ht="42.75" hidden="1" customHeight="1" x14ac:dyDescent="0.5">
      <c r="A32" s="587"/>
      <c r="B32" s="588"/>
      <c r="C32" s="592"/>
      <c r="D32" s="589"/>
      <c r="E32" s="517"/>
      <c r="F32" s="517"/>
      <c r="G32" s="517"/>
      <c r="H32" s="517"/>
      <c r="I32" s="517"/>
      <c r="J32" s="517"/>
      <c r="K32" s="517"/>
      <c r="L32" s="517"/>
      <c r="M32" s="525"/>
      <c r="N32" s="511"/>
      <c r="O32" s="571"/>
      <c r="P32" s="571"/>
      <c r="Q32" s="531"/>
      <c r="R32" s="570"/>
    </row>
    <row r="33" spans="1:18" s="522" customFormat="1" ht="42.75" hidden="1" customHeight="1" x14ac:dyDescent="0.5">
      <c r="A33" s="587"/>
      <c r="B33" s="588"/>
      <c r="C33" s="592"/>
      <c r="D33" s="589"/>
      <c r="E33" s="517"/>
      <c r="F33" s="517"/>
      <c r="G33" s="517"/>
      <c r="H33" s="517"/>
      <c r="I33" s="517"/>
      <c r="J33" s="517"/>
      <c r="K33" s="517"/>
      <c r="L33" s="517"/>
      <c r="M33" s="525"/>
      <c r="N33" s="511"/>
      <c r="O33" s="571"/>
      <c r="P33" s="571"/>
      <c r="Q33" s="531"/>
      <c r="R33" s="570"/>
    </row>
    <row r="34" spans="1:18" s="522" customFormat="1" ht="42.75" hidden="1" customHeight="1" x14ac:dyDescent="0.5">
      <c r="A34" s="587"/>
      <c r="B34" s="588"/>
      <c r="C34" s="592"/>
      <c r="D34" s="589"/>
      <c r="E34" s="517"/>
      <c r="F34" s="517"/>
      <c r="G34" s="517"/>
      <c r="H34" s="517"/>
      <c r="I34" s="517"/>
      <c r="J34" s="517"/>
      <c r="K34" s="517"/>
      <c r="L34" s="517"/>
      <c r="M34" s="525"/>
      <c r="N34" s="511"/>
      <c r="O34" s="571"/>
      <c r="P34" s="571"/>
      <c r="Q34" s="531"/>
      <c r="R34" s="570"/>
    </row>
    <row r="35" spans="1:18" s="522" customFormat="1" ht="42.75" hidden="1" customHeight="1" x14ac:dyDescent="0.5">
      <c r="A35" s="587"/>
      <c r="B35" s="588"/>
      <c r="C35" s="592"/>
      <c r="D35" s="589"/>
      <c r="E35" s="517"/>
      <c r="F35" s="517"/>
      <c r="G35" s="517"/>
      <c r="H35" s="517"/>
      <c r="I35" s="517"/>
      <c r="J35" s="517"/>
      <c r="K35" s="517"/>
      <c r="L35" s="517"/>
      <c r="M35" s="525"/>
      <c r="N35" s="511"/>
      <c r="O35" s="571"/>
      <c r="P35" s="571"/>
      <c r="Q35" s="531"/>
      <c r="R35" s="570"/>
    </row>
    <row r="36" spans="1:18" s="522" customFormat="1" ht="42.75" hidden="1" customHeight="1" x14ac:dyDescent="0.5">
      <c r="A36" s="587"/>
      <c r="B36" s="588"/>
      <c r="C36" s="592"/>
      <c r="D36" s="589"/>
      <c r="E36" s="517"/>
      <c r="F36" s="517"/>
      <c r="G36" s="517"/>
      <c r="H36" s="517"/>
      <c r="I36" s="517"/>
      <c r="J36" s="517"/>
      <c r="K36" s="517"/>
      <c r="L36" s="517"/>
      <c r="M36" s="525"/>
      <c r="N36" s="511"/>
      <c r="O36" s="571"/>
      <c r="P36" s="571"/>
      <c r="Q36" s="531"/>
      <c r="R36" s="570"/>
    </row>
    <row r="37" spans="1:18" s="522" customFormat="1" ht="42.75" hidden="1" customHeight="1" x14ac:dyDescent="0.5">
      <c r="A37" s="587"/>
      <c r="B37" s="588"/>
      <c r="C37" s="592"/>
      <c r="D37" s="589"/>
      <c r="E37" s="517"/>
      <c r="F37" s="517"/>
      <c r="G37" s="517"/>
      <c r="H37" s="517"/>
      <c r="I37" s="517"/>
      <c r="J37" s="517"/>
      <c r="K37" s="517"/>
      <c r="L37" s="517"/>
      <c r="M37" s="525"/>
      <c r="N37" s="511"/>
      <c r="O37" s="571"/>
      <c r="P37" s="571"/>
      <c r="Q37" s="531"/>
      <c r="R37" s="570"/>
    </row>
    <row r="38" spans="1:18" s="522" customFormat="1" hidden="1" x14ac:dyDescent="0.5">
      <c r="A38" s="1304" t="s">
        <v>260</v>
      </c>
      <c r="B38" s="1305"/>
      <c r="C38" s="1305"/>
      <c r="D38" s="1306"/>
      <c r="E38" s="517" t="e">
        <f>+#REF!+#REF!+#REF!+#REF!+#REF!+#REF!+#REF!+#REF!+#REF!+#REF!+#REF!+#REF!+#REF!+#REF!+#REF!+#REF!+#REF!+#REF!+#REF!+#REF!+#REF!+#REF!+#REF!+#REF!+#REF!</f>
        <v>#REF!</v>
      </c>
      <c r="F38" s="517" t="e">
        <f>+#REF!+#REF!+#REF!+#REF!+#REF!+#REF!+#REF!+#REF!+#REF!+#REF!+#REF!+#REF!+#REF!+#REF!+#REF!+#REF!+#REF!+#REF!+#REF!+#REF!+#REF!+#REF!+#REF!+#REF!+#REF!</f>
        <v>#REF!</v>
      </c>
      <c r="G38" s="517" t="e">
        <f>+#REF!+#REF!+#REF!+#REF!+#REF!+#REF!+#REF!+#REF!+#REF!+#REF!+#REF!+#REF!+#REF!+#REF!+#REF!+#REF!+#REF!+#REF!+#REF!+#REF!+#REF!+#REF!+#REF!+#REF!+#REF!</f>
        <v>#REF!</v>
      </c>
      <c r="H38" s="517" t="e">
        <f>+#REF!+#REF!+#REF!+#REF!+#REF!+#REF!+#REF!+#REF!+#REF!+#REF!+#REF!+#REF!+#REF!+#REF!+#REF!+#REF!+#REF!+#REF!+#REF!+#REF!+#REF!+#REF!+#REF!+#REF!+#REF!</f>
        <v>#REF!</v>
      </c>
      <c r="I38" s="517" t="e">
        <f>+#REF!+#REF!+#REF!+#REF!+#REF!+#REF!+#REF!+#REF!+#REF!+#REF!+#REF!+#REF!+#REF!+#REF!+#REF!+#REF!+#REF!+#REF!+#REF!+#REF!+#REF!+#REF!+#REF!+#REF!+#REF!</f>
        <v>#REF!</v>
      </c>
      <c r="J38" s="517" t="e">
        <f>+#REF!+#REF!+#REF!+#REF!+#REF!+#REF!+#REF!+#REF!+#REF!+#REF!+#REF!+#REF!+#REF!+#REF!+#REF!+#REF!+#REF!+#REF!+#REF!+#REF!+#REF!+#REF!+#REF!+#REF!+#REF!</f>
        <v>#REF!</v>
      </c>
      <c r="K38" s="517" t="e">
        <f>+#REF!+#REF!+#REF!+#REF!+#REF!+#REF!+#REF!+#REF!+#REF!+#REF!+#REF!+#REF!+#REF!+#REF!+#REF!+#REF!+#REF!+#REF!+#REF!+#REF!+#REF!+#REF!+#REF!+#REF!+#REF!</f>
        <v>#REF!</v>
      </c>
      <c r="L38" s="517" t="e">
        <f>+#REF!+#REF!+#REF!+#REF!+#REF!+#REF!+#REF!+#REF!+#REF!+#REF!+#REF!+#REF!+#REF!+#REF!+#REF!+#REF!+#REF!+#REF!+#REF!+#REF!+#REF!+#REF!+#REF!+#REF!+#REF!</f>
        <v>#REF!</v>
      </c>
      <c r="M38" s="525" t="e">
        <f t="shared" si="9"/>
        <v>#REF!</v>
      </c>
      <c r="N38" s="525" t="e">
        <f t="shared" ref="N38" si="10">+R38*100/E38</f>
        <v>#REF!</v>
      </c>
      <c r="Q38" s="531"/>
      <c r="R38" s="570" t="e">
        <f t="shared" ref="R38:R51" si="11">+I38+J38</f>
        <v>#REF!</v>
      </c>
    </row>
    <row r="39" spans="1:18" s="522" customFormat="1" hidden="1" x14ac:dyDescent="0.5">
      <c r="A39" s="1304" t="s">
        <v>481</v>
      </c>
      <c r="B39" s="1305"/>
      <c r="C39" s="1305"/>
      <c r="D39" s="1305"/>
      <c r="E39" s="1305"/>
      <c r="F39" s="1305"/>
      <c r="G39" s="588"/>
      <c r="H39" s="589"/>
      <c r="I39" s="591" t="e">
        <f>+I38+J38</f>
        <v>#REF!</v>
      </c>
      <c r="J39" s="593"/>
      <c r="K39" s="529" t="e">
        <f>+I39/1000000</f>
        <v>#REF!</v>
      </c>
      <c r="L39" s="525"/>
      <c r="M39" s="525"/>
      <c r="N39" s="525"/>
      <c r="Q39" s="531"/>
      <c r="R39" s="570" t="e">
        <f t="shared" si="11"/>
        <v>#REF!</v>
      </c>
    </row>
    <row r="40" spans="1:18" s="522" customFormat="1" hidden="1" x14ac:dyDescent="0.5">
      <c r="A40" s="1304" t="s">
        <v>261</v>
      </c>
      <c r="B40" s="1305"/>
      <c r="C40" s="1305"/>
      <c r="D40" s="1306"/>
      <c r="E40" s="517" t="e">
        <f>+#REF!+#REF!+#REF!+#REF!+#REF!+#REF!+#REF!+#REF!+#REF!+#REF!+#REF!+#REF!+E9</f>
        <v>#REF!</v>
      </c>
      <c r="F40" s="517" t="e">
        <f>+#REF!+#REF!+#REF!+#REF!+#REF!+#REF!+#REF!+#REF!+#REF!+#REF!+#REF!+#REF!+F9</f>
        <v>#REF!</v>
      </c>
      <c r="G40" s="517" t="e">
        <f>+#REF!+#REF!+#REF!+#REF!+#REF!+#REF!+#REF!+#REF!+#REF!+#REF!+#REF!+#REF!+G9</f>
        <v>#REF!</v>
      </c>
      <c r="H40" s="517" t="e">
        <f>+#REF!+#REF!+#REF!+#REF!+#REF!+#REF!+#REF!+#REF!+#REF!+#REF!+#REF!+#REF!+H9</f>
        <v>#REF!</v>
      </c>
      <c r="I40" s="517" t="e">
        <f>+#REF!+#REF!+#REF!+#REF!+#REF!+#REF!+#REF!+#REF!+#REF!+#REF!+#REF!+#REF!+I9</f>
        <v>#REF!</v>
      </c>
      <c r="J40" s="517" t="e">
        <f>+#REF!+#REF!+#REF!+#REF!+#REF!+#REF!+#REF!+#REF!+#REF!+#REF!+#REF!+#REF!+J9</f>
        <v>#REF!</v>
      </c>
      <c r="K40" s="517" t="e">
        <f>+#REF!+#REF!+#REF!+#REF!+#REF!+#REF!+#REF!+#REF!+#REF!+#REF!+#REF!+#REF!+K9</f>
        <v>#REF!</v>
      </c>
      <c r="L40" s="517" t="e">
        <f>+#REF!+#REF!+#REF!+#REF!+#REF!+#REF!+#REF!+#REF!+#REF!+#REF!+#REF!+#REF!+L9</f>
        <v>#REF!</v>
      </c>
      <c r="M40" s="525" t="e">
        <f t="shared" si="9"/>
        <v>#REF!</v>
      </c>
      <c r="N40" s="525"/>
      <c r="Q40" s="531"/>
      <c r="R40" s="570" t="e">
        <f t="shared" si="11"/>
        <v>#REF!</v>
      </c>
    </row>
    <row r="41" spans="1:18" s="522" customFormat="1" hidden="1" x14ac:dyDescent="0.5">
      <c r="A41" s="1304" t="s">
        <v>480</v>
      </c>
      <c r="B41" s="1305"/>
      <c r="C41" s="1305"/>
      <c r="D41" s="1305"/>
      <c r="E41" s="1305"/>
      <c r="F41" s="1305"/>
      <c r="G41" s="588"/>
      <c r="H41" s="589"/>
      <c r="I41" s="591" t="e">
        <f>+I40+J40</f>
        <v>#REF!</v>
      </c>
      <c r="J41" s="593"/>
      <c r="K41" s="529" t="e">
        <f>+I41/1000000</f>
        <v>#REF!</v>
      </c>
      <c r="L41" s="525"/>
      <c r="M41" s="525"/>
      <c r="N41" s="525"/>
      <c r="Q41" s="531"/>
      <c r="R41" s="570" t="e">
        <f t="shared" si="11"/>
        <v>#REF!</v>
      </c>
    </row>
    <row r="42" spans="1:18" s="522" customFormat="1" hidden="1" x14ac:dyDescent="0.5">
      <c r="A42" s="1304" t="s">
        <v>478</v>
      </c>
      <c r="B42" s="1305"/>
      <c r="C42" s="1305"/>
      <c r="D42" s="1306"/>
      <c r="E42" s="517" t="e">
        <f>+E38+#REF!+#REF!+#REF!+#REF!+#REF!</f>
        <v>#REF!</v>
      </c>
      <c r="F42" s="517" t="e">
        <f>+F38+#REF!+#REF!+#REF!+#REF!+#REF!</f>
        <v>#REF!</v>
      </c>
      <c r="G42" s="517" t="e">
        <f>+G38+#REF!+#REF!+#REF!+#REF!+#REF!</f>
        <v>#REF!</v>
      </c>
      <c r="H42" s="517" t="e">
        <f>+H38+#REF!+#REF!+#REF!+#REF!+#REF!</f>
        <v>#REF!</v>
      </c>
      <c r="I42" s="517" t="e">
        <f>+I38+#REF!+#REF!+#REF!+#REF!+#REF!</f>
        <v>#REF!</v>
      </c>
      <c r="J42" s="517" t="e">
        <f>+J38+#REF!+#REF!+#REF!+#REF!+#REF!</f>
        <v>#REF!</v>
      </c>
      <c r="K42" s="517" t="e">
        <f>+K38+#REF!+#REF!+#REF!+#REF!+#REF!</f>
        <v>#REF!</v>
      </c>
      <c r="L42" s="517" t="e">
        <f>+L38+#REF!+#REF!+#REF!+#REF!+#REF!</f>
        <v>#REF!</v>
      </c>
      <c r="M42" s="525" t="e">
        <f t="shared" si="9"/>
        <v>#REF!</v>
      </c>
      <c r="N42" s="525" t="e">
        <f t="shared" si="9"/>
        <v>#REF!</v>
      </c>
      <c r="Q42" s="531"/>
      <c r="R42" s="570" t="e">
        <f t="shared" si="11"/>
        <v>#REF!</v>
      </c>
    </row>
    <row r="43" spans="1:18" s="522" customFormat="1" hidden="1" x14ac:dyDescent="0.5">
      <c r="A43" s="1304" t="s">
        <v>482</v>
      </c>
      <c r="B43" s="1305"/>
      <c r="C43" s="1305"/>
      <c r="D43" s="1305"/>
      <c r="E43" s="1305"/>
      <c r="F43" s="1305"/>
      <c r="G43" s="588"/>
      <c r="H43" s="589"/>
      <c r="I43" s="591" t="e">
        <f>+I42+J42</f>
        <v>#REF!</v>
      </c>
      <c r="J43" s="593"/>
      <c r="K43" s="529" t="e">
        <f>+I43/1000000</f>
        <v>#REF!</v>
      </c>
      <c r="L43" s="525"/>
      <c r="M43" s="525"/>
      <c r="N43" s="525"/>
      <c r="Q43" s="531"/>
      <c r="R43" s="570" t="e">
        <f t="shared" si="11"/>
        <v>#REF!</v>
      </c>
    </row>
    <row r="44" spans="1:18" s="522" customFormat="1" hidden="1" x14ac:dyDescent="0.5">
      <c r="A44" s="1304" t="s">
        <v>477</v>
      </c>
      <c r="B44" s="1305"/>
      <c r="C44" s="1305"/>
      <c r="D44" s="1306"/>
      <c r="E44" s="517" t="e">
        <f>+#REF!+#REF!+#REF!+#REF!+#REF!+#REF!+#REF!+E9</f>
        <v>#REF!</v>
      </c>
      <c r="F44" s="517" t="e">
        <f>+#REF!+#REF!+#REF!+#REF!+#REF!+#REF!+#REF!+F9</f>
        <v>#REF!</v>
      </c>
      <c r="G44" s="517" t="e">
        <f>+#REF!+#REF!+#REF!+#REF!+#REF!+#REF!+#REF!+G9</f>
        <v>#REF!</v>
      </c>
      <c r="H44" s="517" t="e">
        <f>+#REF!+#REF!+#REF!+#REF!+#REF!+#REF!+#REF!+H9</f>
        <v>#REF!</v>
      </c>
      <c r="I44" s="517" t="e">
        <f>+#REF!+#REF!+#REF!+#REF!+#REF!+#REF!+#REF!+I9</f>
        <v>#REF!</v>
      </c>
      <c r="J44" s="517" t="e">
        <f>+#REF!+#REF!+#REF!+#REF!+#REF!+#REF!+#REF!+J9</f>
        <v>#REF!</v>
      </c>
      <c r="K44" s="517" t="e">
        <f>+#REF!+#REF!+#REF!+#REF!+#REF!+#REF!+#REF!+K9</f>
        <v>#REF!</v>
      </c>
      <c r="L44" s="517" t="e">
        <f>+#REF!+#REF!+#REF!+#REF!+#REF!+#REF!+#REF!+L9</f>
        <v>#REF!</v>
      </c>
      <c r="M44" s="525" t="e">
        <f t="shared" si="9"/>
        <v>#REF!</v>
      </c>
      <c r="N44" s="525" t="e">
        <f t="shared" si="9"/>
        <v>#REF!</v>
      </c>
      <c r="Q44" s="531"/>
      <c r="R44" s="570" t="e">
        <f t="shared" si="11"/>
        <v>#REF!</v>
      </c>
    </row>
    <row r="45" spans="1:18" s="522" customFormat="1" hidden="1" x14ac:dyDescent="0.5">
      <c r="A45" s="1304" t="s">
        <v>483</v>
      </c>
      <c r="B45" s="1305"/>
      <c r="C45" s="1305"/>
      <c r="D45" s="1305"/>
      <c r="E45" s="1305"/>
      <c r="F45" s="1305"/>
      <c r="G45" s="588"/>
      <c r="H45" s="589"/>
      <c r="I45" s="591" t="e">
        <f>+I44+J44</f>
        <v>#REF!</v>
      </c>
      <c r="J45" s="593"/>
      <c r="K45" s="529" t="e">
        <f>+I45/1000000</f>
        <v>#REF!</v>
      </c>
      <c r="L45" s="525"/>
      <c r="M45" s="525"/>
      <c r="N45" s="525"/>
      <c r="Q45" s="531"/>
      <c r="R45" s="570" t="e">
        <f t="shared" si="11"/>
        <v>#REF!</v>
      </c>
    </row>
    <row r="46" spans="1:18" s="522" customFormat="1" hidden="1" x14ac:dyDescent="0.5">
      <c r="A46" s="1304" t="s">
        <v>484</v>
      </c>
      <c r="B46" s="1305"/>
      <c r="C46" s="1305"/>
      <c r="D46" s="1305"/>
      <c r="E46" s="1305"/>
      <c r="F46" s="1305"/>
      <c r="G46" s="588"/>
      <c r="H46" s="589"/>
      <c r="I46" s="591" t="e">
        <f>+#REF!+#REF!</f>
        <v>#REF!</v>
      </c>
      <c r="J46" s="593"/>
      <c r="K46" s="529" t="e">
        <f>+I46/1000000</f>
        <v>#REF!</v>
      </c>
      <c r="L46" s="525"/>
      <c r="M46" s="525"/>
      <c r="N46" s="525"/>
      <c r="Q46" s="531"/>
      <c r="R46" s="570" t="e">
        <f t="shared" si="11"/>
        <v>#REF!</v>
      </c>
    </row>
    <row r="47" spans="1:18" s="522" customFormat="1" hidden="1" x14ac:dyDescent="0.5">
      <c r="A47" s="1304" t="s">
        <v>485</v>
      </c>
      <c r="B47" s="1305"/>
      <c r="C47" s="1305"/>
      <c r="D47" s="1305"/>
      <c r="E47" s="1305"/>
      <c r="F47" s="1305"/>
      <c r="G47" s="588"/>
      <c r="H47" s="589"/>
      <c r="I47" s="591" t="e">
        <f>+#REF!</f>
        <v>#REF!</v>
      </c>
      <c r="J47" s="593"/>
      <c r="K47" s="529" t="e">
        <f>+I47/1000000</f>
        <v>#REF!</v>
      </c>
      <c r="L47" s="525"/>
      <c r="M47" s="525"/>
      <c r="N47" s="525"/>
      <c r="Q47" s="531"/>
      <c r="R47" s="570" t="e">
        <f t="shared" si="11"/>
        <v>#REF!</v>
      </c>
    </row>
    <row r="48" spans="1:18" s="522" customFormat="1" hidden="1" x14ac:dyDescent="0.5">
      <c r="A48" s="1304" t="s">
        <v>490</v>
      </c>
      <c r="B48" s="1305"/>
      <c r="C48" s="1305"/>
      <c r="D48" s="1306"/>
      <c r="E48" s="517" t="e">
        <f>+#REF!+E11+E13</f>
        <v>#REF!</v>
      </c>
      <c r="F48" s="517" t="e">
        <f>+#REF!+F11+F13</f>
        <v>#REF!</v>
      </c>
      <c r="G48" s="517" t="e">
        <f>+#REF!+G11+G13</f>
        <v>#REF!</v>
      </c>
      <c r="H48" s="517" t="e">
        <f>+#REF!+H11+H13</f>
        <v>#REF!</v>
      </c>
      <c r="I48" s="517" t="e">
        <f>+#REF!+I11+I13</f>
        <v>#REF!</v>
      </c>
      <c r="J48" s="517" t="e">
        <f>+#REF!+J11+J13</f>
        <v>#REF!</v>
      </c>
      <c r="K48" s="517" t="e">
        <f>+#REF!+K11+K13</f>
        <v>#REF!</v>
      </c>
      <c r="L48" s="527" t="e">
        <f>+#REF!+L11+L13</f>
        <v>#REF!</v>
      </c>
      <c r="M48" s="525" t="e">
        <f>+J48*100/H48</f>
        <v>#REF!</v>
      </c>
      <c r="N48" s="525" t="e">
        <f>+K48*100/I48</f>
        <v>#REF!</v>
      </c>
      <c r="Q48" s="531"/>
      <c r="R48" s="570" t="e">
        <f t="shared" si="11"/>
        <v>#REF!</v>
      </c>
    </row>
    <row r="49" spans="1:18" s="522" customFormat="1" hidden="1" x14ac:dyDescent="0.5">
      <c r="A49" s="1304" t="s">
        <v>489</v>
      </c>
      <c r="B49" s="1305"/>
      <c r="C49" s="1305"/>
      <c r="D49" s="1305"/>
      <c r="E49" s="1305"/>
      <c r="F49" s="1305"/>
      <c r="G49" s="588"/>
      <c r="H49" s="589"/>
      <c r="I49" s="591" t="e">
        <f>+I48+J48</f>
        <v>#REF!</v>
      </c>
      <c r="J49" s="593"/>
      <c r="K49" s="529" t="e">
        <f>+I49/1000000</f>
        <v>#REF!</v>
      </c>
      <c r="L49" s="525"/>
      <c r="M49" s="525"/>
      <c r="N49" s="525"/>
      <c r="Q49" s="531"/>
      <c r="R49" s="570" t="e">
        <f t="shared" si="11"/>
        <v>#REF!</v>
      </c>
    </row>
    <row r="50" spans="1:18" s="522" customFormat="1" hidden="1" x14ac:dyDescent="0.5">
      <c r="A50" s="1304" t="s">
        <v>491</v>
      </c>
      <c r="B50" s="1305"/>
      <c r="C50" s="1305"/>
      <c r="D50" s="1306"/>
      <c r="E50" s="517">
        <f>+E10+E12+E14+E15+E16+E17</f>
        <v>131634300</v>
      </c>
      <c r="F50" s="517">
        <f t="shared" ref="F50:L50" si="12">+F10+F12+F14+F15+F16+F17</f>
        <v>32806900</v>
      </c>
      <c r="G50" s="517">
        <f t="shared" si="12"/>
        <v>0</v>
      </c>
      <c r="H50" s="517">
        <f t="shared" si="12"/>
        <v>32806900</v>
      </c>
      <c r="I50" s="517">
        <f t="shared" si="12"/>
        <v>27366900</v>
      </c>
      <c r="J50" s="517">
        <f t="shared" si="12"/>
        <v>5440000</v>
      </c>
      <c r="K50" s="517">
        <f t="shared" si="12"/>
        <v>126194300</v>
      </c>
      <c r="L50" s="527">
        <f t="shared" si="12"/>
        <v>98827400</v>
      </c>
      <c r="M50" s="525">
        <f>+J50*100/H50</f>
        <v>16.58187759282346</v>
      </c>
      <c r="N50" s="525">
        <f>+K50*100/I50</f>
        <v>461.12018533337721</v>
      </c>
      <c r="Q50" s="531"/>
      <c r="R50" s="570">
        <f t="shared" si="11"/>
        <v>32806900</v>
      </c>
    </row>
    <row r="51" spans="1:18" s="522" customFormat="1" hidden="1" x14ac:dyDescent="0.5">
      <c r="A51" s="1304" t="s">
        <v>489</v>
      </c>
      <c r="B51" s="1305"/>
      <c r="C51" s="1305"/>
      <c r="D51" s="1305"/>
      <c r="E51" s="1305"/>
      <c r="F51" s="1305"/>
      <c r="G51" s="588"/>
      <c r="H51" s="589"/>
      <c r="I51" s="591">
        <f>+I50+J50</f>
        <v>32806900</v>
      </c>
      <c r="J51" s="593"/>
      <c r="K51" s="529">
        <f>+I51/1000000</f>
        <v>32.806899999999999</v>
      </c>
      <c r="L51" s="525"/>
      <c r="M51" s="525"/>
      <c r="N51" s="525"/>
      <c r="Q51" s="531"/>
      <c r="R51" s="570">
        <f t="shared" si="11"/>
        <v>32806900</v>
      </c>
    </row>
    <row r="52" spans="1:18" s="532" customFormat="1" ht="32.25" hidden="1" customHeight="1" x14ac:dyDescent="0.5">
      <c r="A52" s="1317" t="s">
        <v>827</v>
      </c>
      <c r="B52" s="1317"/>
      <c r="C52" s="1317"/>
      <c r="D52" s="1317"/>
      <c r="E52" s="1317"/>
      <c r="F52" s="1317"/>
      <c r="G52" s="1317"/>
      <c r="H52" s="1317"/>
      <c r="I52" s="1317"/>
      <c r="J52" s="1317"/>
      <c r="K52" s="1317"/>
      <c r="L52" s="1317"/>
      <c r="M52" s="1317"/>
      <c r="N52" s="1317"/>
      <c r="O52" s="1317"/>
      <c r="P52" s="1317"/>
      <c r="Q52" s="1317"/>
    </row>
    <row r="53" spans="1:18" s="532" customFormat="1" ht="32.25" hidden="1" customHeight="1" x14ac:dyDescent="0.5">
      <c r="A53" s="580"/>
      <c r="B53" s="580"/>
      <c r="C53" s="594"/>
      <c r="D53" s="1321" t="s">
        <v>804</v>
      </c>
      <c r="E53" s="1321"/>
      <c r="F53" s="1321"/>
      <c r="G53" s="1321"/>
      <c r="H53" s="1321"/>
      <c r="I53" s="1321"/>
      <c r="J53" s="1321"/>
      <c r="K53" s="1321"/>
      <c r="L53" s="1321"/>
      <c r="M53" s="1321"/>
      <c r="N53" s="580"/>
      <c r="O53" s="580"/>
      <c r="P53" s="580"/>
      <c r="Q53" s="581"/>
    </row>
    <row r="54" spans="1:18" ht="32.25" hidden="1" customHeight="1" x14ac:dyDescent="0.5">
      <c r="A54" s="582"/>
      <c r="B54" s="583"/>
      <c r="C54" s="595"/>
      <c r="D54" s="1321" t="s">
        <v>808</v>
      </c>
      <c r="E54" s="1321"/>
      <c r="F54" s="1321"/>
      <c r="G54" s="1321"/>
      <c r="H54" s="1321"/>
      <c r="I54" s="1321"/>
      <c r="J54" s="1321"/>
      <c r="K54" s="1321"/>
      <c r="L54" s="1321"/>
      <c r="M54" s="1321"/>
      <c r="N54" s="584"/>
      <c r="O54" s="584"/>
      <c r="P54" s="584"/>
      <c r="Q54" s="585"/>
    </row>
    <row r="55" spans="1:18" ht="32.25" hidden="1" customHeight="1" x14ac:dyDescent="0.5">
      <c r="A55" s="582"/>
      <c r="B55" s="583"/>
      <c r="C55" s="595"/>
      <c r="D55" s="1321" t="s">
        <v>829</v>
      </c>
      <c r="E55" s="1321"/>
      <c r="F55" s="1321"/>
      <c r="G55" s="1321"/>
      <c r="H55" s="1321"/>
      <c r="I55" s="1321"/>
      <c r="J55" s="1321"/>
      <c r="K55" s="1321"/>
      <c r="L55" s="1321"/>
      <c r="M55" s="1321"/>
      <c r="N55" s="584"/>
      <c r="O55" s="584"/>
      <c r="P55" s="584"/>
      <c r="Q55" s="585"/>
    </row>
    <row r="56" spans="1:18" ht="32.25" hidden="1" customHeight="1" x14ac:dyDescent="0.5">
      <c r="A56" s="582"/>
      <c r="B56" s="583"/>
      <c r="C56" s="595"/>
      <c r="D56" s="1321" t="s">
        <v>809</v>
      </c>
      <c r="E56" s="1321"/>
      <c r="F56" s="1321"/>
      <c r="G56" s="1321"/>
      <c r="H56" s="1321"/>
      <c r="I56" s="1321"/>
      <c r="J56" s="1321"/>
      <c r="K56" s="1321"/>
      <c r="L56" s="1321"/>
      <c r="M56" s="1321"/>
      <c r="N56" s="584"/>
      <c r="O56" s="584"/>
      <c r="P56" s="584"/>
      <c r="Q56" s="585"/>
    </row>
    <row r="57" spans="1:18" hidden="1" x14ac:dyDescent="0.5">
      <c r="D57" s="1316"/>
      <c r="E57" s="1316"/>
      <c r="F57" s="1316"/>
      <c r="G57" s="1316"/>
      <c r="H57" s="1316"/>
      <c r="I57" s="1316"/>
      <c r="J57" s="1316"/>
      <c r="K57" s="1316"/>
      <c r="L57" s="1316"/>
      <c r="M57" s="1316"/>
    </row>
    <row r="58" spans="1:18" hidden="1" x14ac:dyDescent="0.5"/>
    <row r="59" spans="1:18" hidden="1" x14ac:dyDescent="0.5"/>
    <row r="60" spans="1:18" hidden="1" x14ac:dyDescent="0.5"/>
    <row r="61" spans="1:18" hidden="1" x14ac:dyDescent="0.5"/>
    <row r="62" spans="1:18" hidden="1" x14ac:dyDescent="0.5"/>
    <row r="63" spans="1:18" hidden="1" x14ac:dyDescent="0.5"/>
    <row r="64" spans="1:18" hidden="1" x14ac:dyDescent="0.5"/>
    <row r="65" hidden="1" x14ac:dyDescent="0.5"/>
    <row r="66" hidden="1" x14ac:dyDescent="0.5"/>
  </sheetData>
  <mergeCells count="46">
    <mergeCell ref="E5:O5"/>
    <mergeCell ref="D53:M53"/>
    <mergeCell ref="D54:M54"/>
    <mergeCell ref="D55:M55"/>
    <mergeCell ref="D56:M56"/>
    <mergeCell ref="A41:F41"/>
    <mergeCell ref="A42:D42"/>
    <mergeCell ref="A43:F43"/>
    <mergeCell ref="A44:D44"/>
    <mergeCell ref="A45:F45"/>
    <mergeCell ref="A46:F46"/>
    <mergeCell ref="A28:I28"/>
    <mergeCell ref="J28:K28"/>
    <mergeCell ref="J29:K29"/>
    <mergeCell ref="A38:D38"/>
    <mergeCell ref="A39:F39"/>
    <mergeCell ref="D57:M57"/>
    <mergeCell ref="A47:F47"/>
    <mergeCell ref="A48:D48"/>
    <mergeCell ref="A49:F49"/>
    <mergeCell ref="A50:D50"/>
    <mergeCell ref="A51:F51"/>
    <mergeCell ref="A52:Q52"/>
    <mergeCell ref="A40:D40"/>
    <mergeCell ref="A25:I25"/>
    <mergeCell ref="J25:K25"/>
    <mergeCell ref="A26:I26"/>
    <mergeCell ref="J26:K26"/>
    <mergeCell ref="A27:I27"/>
    <mergeCell ref="J27:K27"/>
    <mergeCell ref="A24:I24"/>
    <mergeCell ref="J24:K24"/>
    <mergeCell ref="A18:D18"/>
    <mergeCell ref="A19:D19"/>
    <mergeCell ref="A1:Q1"/>
    <mergeCell ref="A2:Q2"/>
    <mergeCell ref="A3:Q3"/>
    <mergeCell ref="A4:Q4"/>
    <mergeCell ref="A5:A6"/>
    <mergeCell ref="C5:D8"/>
    <mergeCell ref="Q5:Q8"/>
    <mergeCell ref="A20:D20"/>
    <mergeCell ref="A21:D21"/>
    <mergeCell ref="A22:D22"/>
    <mergeCell ref="A23:I23"/>
    <mergeCell ref="J23:K23"/>
  </mergeCells>
  <pageMargins left="0.23622047244094491" right="0" top="0.6692913385826772" bottom="0.43307086614173229" header="0.23622047244094491" footer="0.19685039370078741"/>
  <pageSetup paperSize="9" scale="55" orientation="landscape" r:id="rId1"/>
  <headerFooter alignWithMargins="0">
    <oddHeader>&amp;R&amp;"+,ตัวหนา"&amp;25งบลงทุน</oddHeader>
    <oddFooter>&amp;Lกลุ่มบริหารงานบัญชีและงบประมาณ&amp;Rหน้าที่ &amp;P จาก 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50"/>
  </sheetPr>
  <dimension ref="A1:P47"/>
  <sheetViews>
    <sheetView topLeftCell="A22" zoomScale="80" zoomScaleNormal="80" workbookViewId="0">
      <selection activeCell="F52" sqref="F52"/>
    </sheetView>
  </sheetViews>
  <sheetFormatPr defaultRowHeight="26.25" x14ac:dyDescent="0.55000000000000004"/>
  <cols>
    <col min="1" max="1" width="8" style="562" bestFit="1" customWidth="1"/>
    <col min="2" max="2" width="27.28515625" style="536" bestFit="1" customWidth="1"/>
    <col min="3" max="3" width="13.42578125" style="562" bestFit="1" customWidth="1"/>
    <col min="4" max="4" width="14.42578125" style="562" customWidth="1"/>
    <col min="5" max="5" width="19.5703125" style="563" bestFit="1" customWidth="1"/>
    <col min="6" max="6" width="12.42578125" style="562" bestFit="1" customWidth="1"/>
    <col min="7" max="7" width="33.42578125" style="564" customWidth="1"/>
    <col min="8" max="9" width="17.5703125" style="536" bestFit="1" customWidth="1"/>
    <col min="10" max="10" width="17.7109375" style="566" bestFit="1" customWidth="1"/>
    <col min="11" max="11" width="8.7109375" style="561" bestFit="1" customWidth="1"/>
    <col min="12" max="12" width="30.28515625" style="569" customWidth="1"/>
    <col min="13" max="13" width="25" style="536" hidden="1" customWidth="1"/>
    <col min="14" max="15" width="12.28515625" style="536" hidden="1" customWidth="1"/>
    <col min="16" max="16" width="24.7109375" style="536" hidden="1" customWidth="1"/>
    <col min="17" max="261" width="9.140625" style="536"/>
    <col min="262" max="262" width="6.42578125" style="536" bestFit="1" customWidth="1"/>
    <col min="263" max="263" width="32" style="536" bestFit="1" customWidth="1"/>
    <col min="264" max="264" width="14.5703125" style="536" bestFit="1" customWidth="1"/>
    <col min="265" max="265" width="12.42578125" style="536" bestFit="1" customWidth="1"/>
    <col min="266" max="266" width="51.28515625" style="536" bestFit="1" customWidth="1"/>
    <col min="267" max="267" width="14.85546875" style="536" bestFit="1" customWidth="1"/>
    <col min="268" max="268" width="25" style="536" bestFit="1" customWidth="1"/>
    <col min="269" max="270" width="12.28515625" style="536" bestFit="1" customWidth="1"/>
    <col min="271" max="271" width="24.7109375" style="536" bestFit="1" customWidth="1"/>
    <col min="272" max="272" width="15" style="536" bestFit="1" customWidth="1"/>
    <col min="273" max="517" width="9.140625" style="536"/>
    <col min="518" max="518" width="6.42578125" style="536" bestFit="1" customWidth="1"/>
    <col min="519" max="519" width="32" style="536" bestFit="1" customWidth="1"/>
    <col min="520" max="520" width="14.5703125" style="536" bestFit="1" customWidth="1"/>
    <col min="521" max="521" width="12.42578125" style="536" bestFit="1" customWidth="1"/>
    <col min="522" max="522" width="51.28515625" style="536" bestFit="1" customWidth="1"/>
    <col min="523" max="523" width="14.85546875" style="536" bestFit="1" customWidth="1"/>
    <col min="524" max="524" width="25" style="536" bestFit="1" customWidth="1"/>
    <col min="525" max="526" width="12.28515625" style="536" bestFit="1" customWidth="1"/>
    <col min="527" max="527" width="24.7109375" style="536" bestFit="1" customWidth="1"/>
    <col min="528" max="528" width="15" style="536" bestFit="1" customWidth="1"/>
    <col min="529" max="773" width="9.140625" style="536"/>
    <col min="774" max="774" width="6.42578125" style="536" bestFit="1" customWidth="1"/>
    <col min="775" max="775" width="32" style="536" bestFit="1" customWidth="1"/>
    <col min="776" max="776" width="14.5703125" style="536" bestFit="1" customWidth="1"/>
    <col min="777" max="777" width="12.42578125" style="536" bestFit="1" customWidth="1"/>
    <col min="778" max="778" width="51.28515625" style="536" bestFit="1" customWidth="1"/>
    <col min="779" max="779" width="14.85546875" style="536" bestFit="1" customWidth="1"/>
    <col min="780" max="780" width="25" style="536" bestFit="1" customWidth="1"/>
    <col min="781" max="782" width="12.28515625" style="536" bestFit="1" customWidth="1"/>
    <col min="783" max="783" width="24.7109375" style="536" bestFit="1" customWidth="1"/>
    <col min="784" max="784" width="15" style="536" bestFit="1" customWidth="1"/>
    <col min="785" max="1029" width="9.140625" style="536"/>
    <col min="1030" max="1030" width="6.42578125" style="536" bestFit="1" customWidth="1"/>
    <col min="1031" max="1031" width="32" style="536" bestFit="1" customWidth="1"/>
    <col min="1032" max="1032" width="14.5703125" style="536" bestFit="1" customWidth="1"/>
    <col min="1033" max="1033" width="12.42578125" style="536" bestFit="1" customWidth="1"/>
    <col min="1034" max="1034" width="51.28515625" style="536" bestFit="1" customWidth="1"/>
    <col min="1035" max="1035" width="14.85546875" style="536" bestFit="1" customWidth="1"/>
    <col min="1036" max="1036" width="25" style="536" bestFit="1" customWidth="1"/>
    <col min="1037" max="1038" width="12.28515625" style="536" bestFit="1" customWidth="1"/>
    <col min="1039" max="1039" width="24.7109375" style="536" bestFit="1" customWidth="1"/>
    <col min="1040" max="1040" width="15" style="536" bestFit="1" customWidth="1"/>
    <col min="1041" max="1285" width="9.140625" style="536"/>
    <col min="1286" max="1286" width="6.42578125" style="536" bestFit="1" customWidth="1"/>
    <col min="1287" max="1287" width="32" style="536" bestFit="1" customWidth="1"/>
    <col min="1288" max="1288" width="14.5703125" style="536" bestFit="1" customWidth="1"/>
    <col min="1289" max="1289" width="12.42578125" style="536" bestFit="1" customWidth="1"/>
    <col min="1290" max="1290" width="51.28515625" style="536" bestFit="1" customWidth="1"/>
    <col min="1291" max="1291" width="14.85546875" style="536" bestFit="1" customWidth="1"/>
    <col min="1292" max="1292" width="25" style="536" bestFit="1" customWidth="1"/>
    <col min="1293" max="1294" width="12.28515625" style="536" bestFit="1" customWidth="1"/>
    <col min="1295" max="1295" width="24.7109375" style="536" bestFit="1" customWidth="1"/>
    <col min="1296" max="1296" width="15" style="536" bestFit="1" customWidth="1"/>
    <col min="1297" max="1541" width="9.140625" style="536"/>
    <col min="1542" max="1542" width="6.42578125" style="536" bestFit="1" customWidth="1"/>
    <col min="1543" max="1543" width="32" style="536" bestFit="1" customWidth="1"/>
    <col min="1544" max="1544" width="14.5703125" style="536" bestFit="1" customWidth="1"/>
    <col min="1545" max="1545" width="12.42578125" style="536" bestFit="1" customWidth="1"/>
    <col min="1546" max="1546" width="51.28515625" style="536" bestFit="1" customWidth="1"/>
    <col min="1547" max="1547" width="14.85546875" style="536" bestFit="1" customWidth="1"/>
    <col min="1548" max="1548" width="25" style="536" bestFit="1" customWidth="1"/>
    <col min="1549" max="1550" width="12.28515625" style="536" bestFit="1" customWidth="1"/>
    <col min="1551" max="1551" width="24.7109375" style="536" bestFit="1" customWidth="1"/>
    <col min="1552" max="1552" width="15" style="536" bestFit="1" customWidth="1"/>
    <col min="1553" max="1797" width="9.140625" style="536"/>
    <col min="1798" max="1798" width="6.42578125" style="536" bestFit="1" customWidth="1"/>
    <col min="1799" max="1799" width="32" style="536" bestFit="1" customWidth="1"/>
    <col min="1800" max="1800" width="14.5703125" style="536" bestFit="1" customWidth="1"/>
    <col min="1801" max="1801" width="12.42578125" style="536" bestFit="1" customWidth="1"/>
    <col min="1802" max="1802" width="51.28515625" style="536" bestFit="1" customWidth="1"/>
    <col min="1803" max="1803" width="14.85546875" style="536" bestFit="1" customWidth="1"/>
    <col min="1804" max="1804" width="25" style="536" bestFit="1" customWidth="1"/>
    <col min="1805" max="1806" width="12.28515625" style="536" bestFit="1" customWidth="1"/>
    <col min="1807" max="1807" width="24.7109375" style="536" bestFit="1" customWidth="1"/>
    <col min="1808" max="1808" width="15" style="536" bestFit="1" customWidth="1"/>
    <col min="1809" max="2053" width="9.140625" style="536"/>
    <col min="2054" max="2054" width="6.42578125" style="536" bestFit="1" customWidth="1"/>
    <col min="2055" max="2055" width="32" style="536" bestFit="1" customWidth="1"/>
    <col min="2056" max="2056" width="14.5703125" style="536" bestFit="1" customWidth="1"/>
    <col min="2057" max="2057" width="12.42578125" style="536" bestFit="1" customWidth="1"/>
    <col min="2058" max="2058" width="51.28515625" style="536" bestFit="1" customWidth="1"/>
    <col min="2059" max="2059" width="14.85546875" style="536" bestFit="1" customWidth="1"/>
    <col min="2060" max="2060" width="25" style="536" bestFit="1" customWidth="1"/>
    <col min="2061" max="2062" width="12.28515625" style="536" bestFit="1" customWidth="1"/>
    <col min="2063" max="2063" width="24.7109375" style="536" bestFit="1" customWidth="1"/>
    <col min="2064" max="2064" width="15" style="536" bestFit="1" customWidth="1"/>
    <col min="2065" max="2309" width="9.140625" style="536"/>
    <col min="2310" max="2310" width="6.42578125" style="536" bestFit="1" customWidth="1"/>
    <col min="2311" max="2311" width="32" style="536" bestFit="1" customWidth="1"/>
    <col min="2312" max="2312" width="14.5703125" style="536" bestFit="1" customWidth="1"/>
    <col min="2313" max="2313" width="12.42578125" style="536" bestFit="1" customWidth="1"/>
    <col min="2314" max="2314" width="51.28515625" style="536" bestFit="1" customWidth="1"/>
    <col min="2315" max="2315" width="14.85546875" style="536" bestFit="1" customWidth="1"/>
    <col min="2316" max="2316" width="25" style="536" bestFit="1" customWidth="1"/>
    <col min="2317" max="2318" width="12.28515625" style="536" bestFit="1" customWidth="1"/>
    <col min="2319" max="2319" width="24.7109375" style="536" bestFit="1" customWidth="1"/>
    <col min="2320" max="2320" width="15" style="536" bestFit="1" customWidth="1"/>
    <col min="2321" max="2565" width="9.140625" style="536"/>
    <col min="2566" max="2566" width="6.42578125" style="536" bestFit="1" customWidth="1"/>
    <col min="2567" max="2567" width="32" style="536" bestFit="1" customWidth="1"/>
    <col min="2568" max="2568" width="14.5703125" style="536" bestFit="1" customWidth="1"/>
    <col min="2569" max="2569" width="12.42578125" style="536" bestFit="1" customWidth="1"/>
    <col min="2570" max="2570" width="51.28515625" style="536" bestFit="1" customWidth="1"/>
    <col min="2571" max="2571" width="14.85546875" style="536" bestFit="1" customWidth="1"/>
    <col min="2572" max="2572" width="25" style="536" bestFit="1" customWidth="1"/>
    <col min="2573" max="2574" width="12.28515625" style="536" bestFit="1" customWidth="1"/>
    <col min="2575" max="2575" width="24.7109375" style="536" bestFit="1" customWidth="1"/>
    <col min="2576" max="2576" width="15" style="536" bestFit="1" customWidth="1"/>
    <col min="2577" max="2821" width="9.140625" style="536"/>
    <col min="2822" max="2822" width="6.42578125" style="536" bestFit="1" customWidth="1"/>
    <col min="2823" max="2823" width="32" style="536" bestFit="1" customWidth="1"/>
    <col min="2824" max="2824" width="14.5703125" style="536" bestFit="1" customWidth="1"/>
    <col min="2825" max="2825" width="12.42578125" style="536" bestFit="1" customWidth="1"/>
    <col min="2826" max="2826" width="51.28515625" style="536" bestFit="1" customWidth="1"/>
    <col min="2827" max="2827" width="14.85546875" style="536" bestFit="1" customWidth="1"/>
    <col min="2828" max="2828" width="25" style="536" bestFit="1" customWidth="1"/>
    <col min="2829" max="2830" width="12.28515625" style="536" bestFit="1" customWidth="1"/>
    <col min="2831" max="2831" width="24.7109375" style="536" bestFit="1" customWidth="1"/>
    <col min="2832" max="2832" width="15" style="536" bestFit="1" customWidth="1"/>
    <col min="2833" max="3077" width="9.140625" style="536"/>
    <col min="3078" max="3078" width="6.42578125" style="536" bestFit="1" customWidth="1"/>
    <col min="3079" max="3079" width="32" style="536" bestFit="1" customWidth="1"/>
    <col min="3080" max="3080" width="14.5703125" style="536" bestFit="1" customWidth="1"/>
    <col min="3081" max="3081" width="12.42578125" style="536" bestFit="1" customWidth="1"/>
    <col min="3082" max="3082" width="51.28515625" style="536" bestFit="1" customWidth="1"/>
    <col min="3083" max="3083" width="14.85546875" style="536" bestFit="1" customWidth="1"/>
    <col min="3084" max="3084" width="25" style="536" bestFit="1" customWidth="1"/>
    <col min="3085" max="3086" width="12.28515625" style="536" bestFit="1" customWidth="1"/>
    <col min="3087" max="3087" width="24.7109375" style="536" bestFit="1" customWidth="1"/>
    <col min="3088" max="3088" width="15" style="536" bestFit="1" customWidth="1"/>
    <col min="3089" max="3333" width="9.140625" style="536"/>
    <col min="3334" max="3334" width="6.42578125" style="536" bestFit="1" customWidth="1"/>
    <col min="3335" max="3335" width="32" style="536" bestFit="1" customWidth="1"/>
    <col min="3336" max="3336" width="14.5703125" style="536" bestFit="1" customWidth="1"/>
    <col min="3337" max="3337" width="12.42578125" style="536" bestFit="1" customWidth="1"/>
    <col min="3338" max="3338" width="51.28515625" style="536" bestFit="1" customWidth="1"/>
    <col min="3339" max="3339" width="14.85546875" style="536" bestFit="1" customWidth="1"/>
    <col min="3340" max="3340" width="25" style="536" bestFit="1" customWidth="1"/>
    <col min="3341" max="3342" width="12.28515625" style="536" bestFit="1" customWidth="1"/>
    <col min="3343" max="3343" width="24.7109375" style="536" bestFit="1" customWidth="1"/>
    <col min="3344" max="3344" width="15" style="536" bestFit="1" customWidth="1"/>
    <col min="3345" max="3589" width="9.140625" style="536"/>
    <col min="3590" max="3590" width="6.42578125" style="536" bestFit="1" customWidth="1"/>
    <col min="3591" max="3591" width="32" style="536" bestFit="1" customWidth="1"/>
    <col min="3592" max="3592" width="14.5703125" style="536" bestFit="1" customWidth="1"/>
    <col min="3593" max="3593" width="12.42578125" style="536" bestFit="1" customWidth="1"/>
    <col min="3594" max="3594" width="51.28515625" style="536" bestFit="1" customWidth="1"/>
    <col min="3595" max="3595" width="14.85546875" style="536" bestFit="1" customWidth="1"/>
    <col min="3596" max="3596" width="25" style="536" bestFit="1" customWidth="1"/>
    <col min="3597" max="3598" width="12.28515625" style="536" bestFit="1" customWidth="1"/>
    <col min="3599" max="3599" width="24.7109375" style="536" bestFit="1" customWidth="1"/>
    <col min="3600" max="3600" width="15" style="536" bestFit="1" customWidth="1"/>
    <col min="3601" max="3845" width="9.140625" style="536"/>
    <col min="3846" max="3846" width="6.42578125" style="536" bestFit="1" customWidth="1"/>
    <col min="3847" max="3847" width="32" style="536" bestFit="1" customWidth="1"/>
    <col min="3848" max="3848" width="14.5703125" style="536" bestFit="1" customWidth="1"/>
    <col min="3849" max="3849" width="12.42578125" style="536" bestFit="1" customWidth="1"/>
    <col min="3850" max="3850" width="51.28515625" style="536" bestFit="1" customWidth="1"/>
    <col min="3851" max="3851" width="14.85546875" style="536" bestFit="1" customWidth="1"/>
    <col min="3852" max="3852" width="25" style="536" bestFit="1" customWidth="1"/>
    <col min="3853" max="3854" width="12.28515625" style="536" bestFit="1" customWidth="1"/>
    <col min="3855" max="3855" width="24.7109375" style="536" bestFit="1" customWidth="1"/>
    <col min="3856" max="3856" width="15" style="536" bestFit="1" customWidth="1"/>
    <col min="3857" max="4101" width="9.140625" style="536"/>
    <col min="4102" max="4102" width="6.42578125" style="536" bestFit="1" customWidth="1"/>
    <col min="4103" max="4103" width="32" style="536" bestFit="1" customWidth="1"/>
    <col min="4104" max="4104" width="14.5703125" style="536" bestFit="1" customWidth="1"/>
    <col min="4105" max="4105" width="12.42578125" style="536" bestFit="1" customWidth="1"/>
    <col min="4106" max="4106" width="51.28515625" style="536" bestFit="1" customWidth="1"/>
    <col min="4107" max="4107" width="14.85546875" style="536" bestFit="1" customWidth="1"/>
    <col min="4108" max="4108" width="25" style="536" bestFit="1" customWidth="1"/>
    <col min="4109" max="4110" width="12.28515625" style="536" bestFit="1" customWidth="1"/>
    <col min="4111" max="4111" width="24.7109375" style="536" bestFit="1" customWidth="1"/>
    <col min="4112" max="4112" width="15" style="536" bestFit="1" customWidth="1"/>
    <col min="4113" max="4357" width="9.140625" style="536"/>
    <col min="4358" max="4358" width="6.42578125" style="536" bestFit="1" customWidth="1"/>
    <col min="4359" max="4359" width="32" style="536" bestFit="1" customWidth="1"/>
    <col min="4360" max="4360" width="14.5703125" style="536" bestFit="1" customWidth="1"/>
    <col min="4361" max="4361" width="12.42578125" style="536" bestFit="1" customWidth="1"/>
    <col min="4362" max="4362" width="51.28515625" style="536" bestFit="1" customWidth="1"/>
    <col min="4363" max="4363" width="14.85546875" style="536" bestFit="1" customWidth="1"/>
    <col min="4364" max="4364" width="25" style="536" bestFit="1" customWidth="1"/>
    <col min="4365" max="4366" width="12.28515625" style="536" bestFit="1" customWidth="1"/>
    <col min="4367" max="4367" width="24.7109375" style="536" bestFit="1" customWidth="1"/>
    <col min="4368" max="4368" width="15" style="536" bestFit="1" customWidth="1"/>
    <col min="4369" max="4613" width="9.140625" style="536"/>
    <col min="4614" max="4614" width="6.42578125" style="536" bestFit="1" customWidth="1"/>
    <col min="4615" max="4615" width="32" style="536" bestFit="1" customWidth="1"/>
    <col min="4616" max="4616" width="14.5703125" style="536" bestFit="1" customWidth="1"/>
    <col min="4617" max="4617" width="12.42578125" style="536" bestFit="1" customWidth="1"/>
    <col min="4618" max="4618" width="51.28515625" style="536" bestFit="1" customWidth="1"/>
    <col min="4619" max="4619" width="14.85546875" style="536" bestFit="1" customWidth="1"/>
    <col min="4620" max="4620" width="25" style="536" bestFit="1" customWidth="1"/>
    <col min="4621" max="4622" width="12.28515625" style="536" bestFit="1" customWidth="1"/>
    <col min="4623" max="4623" width="24.7109375" style="536" bestFit="1" customWidth="1"/>
    <col min="4624" max="4624" width="15" style="536" bestFit="1" customWidth="1"/>
    <col min="4625" max="4869" width="9.140625" style="536"/>
    <col min="4870" max="4870" width="6.42578125" style="536" bestFit="1" customWidth="1"/>
    <col min="4871" max="4871" width="32" style="536" bestFit="1" customWidth="1"/>
    <col min="4872" max="4872" width="14.5703125" style="536" bestFit="1" customWidth="1"/>
    <col min="4873" max="4873" width="12.42578125" style="536" bestFit="1" customWidth="1"/>
    <col min="4874" max="4874" width="51.28515625" style="536" bestFit="1" customWidth="1"/>
    <col min="4875" max="4875" width="14.85546875" style="536" bestFit="1" customWidth="1"/>
    <col min="4876" max="4876" width="25" style="536" bestFit="1" customWidth="1"/>
    <col min="4877" max="4878" width="12.28515625" style="536" bestFit="1" customWidth="1"/>
    <col min="4879" max="4879" width="24.7109375" style="536" bestFit="1" customWidth="1"/>
    <col min="4880" max="4880" width="15" style="536" bestFit="1" customWidth="1"/>
    <col min="4881" max="5125" width="9.140625" style="536"/>
    <col min="5126" max="5126" width="6.42578125" style="536" bestFit="1" customWidth="1"/>
    <col min="5127" max="5127" width="32" style="536" bestFit="1" customWidth="1"/>
    <col min="5128" max="5128" width="14.5703125" style="536" bestFit="1" customWidth="1"/>
    <col min="5129" max="5129" width="12.42578125" style="536" bestFit="1" customWidth="1"/>
    <col min="5130" max="5130" width="51.28515625" style="536" bestFit="1" customWidth="1"/>
    <col min="5131" max="5131" width="14.85546875" style="536" bestFit="1" customWidth="1"/>
    <col min="5132" max="5132" width="25" style="536" bestFit="1" customWidth="1"/>
    <col min="5133" max="5134" width="12.28515625" style="536" bestFit="1" customWidth="1"/>
    <col min="5135" max="5135" width="24.7109375" style="536" bestFit="1" customWidth="1"/>
    <col min="5136" max="5136" width="15" style="536" bestFit="1" customWidth="1"/>
    <col min="5137" max="5381" width="9.140625" style="536"/>
    <col min="5382" max="5382" width="6.42578125" style="536" bestFit="1" customWidth="1"/>
    <col min="5383" max="5383" width="32" style="536" bestFit="1" customWidth="1"/>
    <col min="5384" max="5384" width="14.5703125" style="536" bestFit="1" customWidth="1"/>
    <col min="5385" max="5385" width="12.42578125" style="536" bestFit="1" customWidth="1"/>
    <col min="5386" max="5386" width="51.28515625" style="536" bestFit="1" customWidth="1"/>
    <col min="5387" max="5387" width="14.85546875" style="536" bestFit="1" customWidth="1"/>
    <col min="5388" max="5388" width="25" style="536" bestFit="1" customWidth="1"/>
    <col min="5389" max="5390" width="12.28515625" style="536" bestFit="1" customWidth="1"/>
    <col min="5391" max="5391" width="24.7109375" style="536" bestFit="1" customWidth="1"/>
    <col min="5392" max="5392" width="15" style="536" bestFit="1" customWidth="1"/>
    <col min="5393" max="5637" width="9.140625" style="536"/>
    <col min="5638" max="5638" width="6.42578125" style="536" bestFit="1" customWidth="1"/>
    <col min="5639" max="5639" width="32" style="536" bestFit="1" customWidth="1"/>
    <col min="5640" max="5640" width="14.5703125" style="536" bestFit="1" customWidth="1"/>
    <col min="5641" max="5641" width="12.42578125" style="536" bestFit="1" customWidth="1"/>
    <col min="5642" max="5642" width="51.28515625" style="536" bestFit="1" customWidth="1"/>
    <col min="5643" max="5643" width="14.85546875" style="536" bestFit="1" customWidth="1"/>
    <col min="5644" max="5644" width="25" style="536" bestFit="1" customWidth="1"/>
    <col min="5645" max="5646" width="12.28515625" style="536" bestFit="1" customWidth="1"/>
    <col min="5647" max="5647" width="24.7109375" style="536" bestFit="1" customWidth="1"/>
    <col min="5648" max="5648" width="15" style="536" bestFit="1" customWidth="1"/>
    <col min="5649" max="5893" width="9.140625" style="536"/>
    <col min="5894" max="5894" width="6.42578125" style="536" bestFit="1" customWidth="1"/>
    <col min="5895" max="5895" width="32" style="536" bestFit="1" customWidth="1"/>
    <col min="5896" max="5896" width="14.5703125" style="536" bestFit="1" customWidth="1"/>
    <col min="5897" max="5897" width="12.42578125" style="536" bestFit="1" customWidth="1"/>
    <col min="5898" max="5898" width="51.28515625" style="536" bestFit="1" customWidth="1"/>
    <col min="5899" max="5899" width="14.85546875" style="536" bestFit="1" customWidth="1"/>
    <col min="5900" max="5900" width="25" style="536" bestFit="1" customWidth="1"/>
    <col min="5901" max="5902" width="12.28515625" style="536" bestFit="1" customWidth="1"/>
    <col min="5903" max="5903" width="24.7109375" style="536" bestFit="1" customWidth="1"/>
    <col min="5904" max="5904" width="15" style="536" bestFit="1" customWidth="1"/>
    <col min="5905" max="6149" width="9.140625" style="536"/>
    <col min="6150" max="6150" width="6.42578125" style="536" bestFit="1" customWidth="1"/>
    <col min="6151" max="6151" width="32" style="536" bestFit="1" customWidth="1"/>
    <col min="6152" max="6152" width="14.5703125" style="536" bestFit="1" customWidth="1"/>
    <col min="6153" max="6153" width="12.42578125" style="536" bestFit="1" customWidth="1"/>
    <col min="6154" max="6154" width="51.28515625" style="536" bestFit="1" customWidth="1"/>
    <col min="6155" max="6155" width="14.85546875" style="536" bestFit="1" customWidth="1"/>
    <col min="6156" max="6156" width="25" style="536" bestFit="1" customWidth="1"/>
    <col min="6157" max="6158" width="12.28515625" style="536" bestFit="1" customWidth="1"/>
    <col min="6159" max="6159" width="24.7109375" style="536" bestFit="1" customWidth="1"/>
    <col min="6160" max="6160" width="15" style="536" bestFit="1" customWidth="1"/>
    <col min="6161" max="6405" width="9.140625" style="536"/>
    <col min="6406" max="6406" width="6.42578125" style="536" bestFit="1" customWidth="1"/>
    <col min="6407" max="6407" width="32" style="536" bestFit="1" customWidth="1"/>
    <col min="6408" max="6408" width="14.5703125" style="536" bestFit="1" customWidth="1"/>
    <col min="6409" max="6409" width="12.42578125" style="536" bestFit="1" customWidth="1"/>
    <col min="6410" max="6410" width="51.28515625" style="536" bestFit="1" customWidth="1"/>
    <col min="6411" max="6411" width="14.85546875" style="536" bestFit="1" customWidth="1"/>
    <col min="6412" max="6412" width="25" style="536" bestFit="1" customWidth="1"/>
    <col min="6413" max="6414" width="12.28515625" style="536" bestFit="1" customWidth="1"/>
    <col min="6415" max="6415" width="24.7109375" style="536" bestFit="1" customWidth="1"/>
    <col min="6416" max="6416" width="15" style="536" bestFit="1" customWidth="1"/>
    <col min="6417" max="6661" width="9.140625" style="536"/>
    <col min="6662" max="6662" width="6.42578125" style="536" bestFit="1" customWidth="1"/>
    <col min="6663" max="6663" width="32" style="536" bestFit="1" customWidth="1"/>
    <col min="6664" max="6664" width="14.5703125" style="536" bestFit="1" customWidth="1"/>
    <col min="6665" max="6665" width="12.42578125" style="536" bestFit="1" customWidth="1"/>
    <col min="6666" max="6666" width="51.28515625" style="536" bestFit="1" customWidth="1"/>
    <col min="6667" max="6667" width="14.85546875" style="536" bestFit="1" customWidth="1"/>
    <col min="6668" max="6668" width="25" style="536" bestFit="1" customWidth="1"/>
    <col min="6669" max="6670" width="12.28515625" style="536" bestFit="1" customWidth="1"/>
    <col min="6671" max="6671" width="24.7109375" style="536" bestFit="1" customWidth="1"/>
    <col min="6672" max="6672" width="15" style="536" bestFit="1" customWidth="1"/>
    <col min="6673" max="6917" width="9.140625" style="536"/>
    <col min="6918" max="6918" width="6.42578125" style="536" bestFit="1" customWidth="1"/>
    <col min="6919" max="6919" width="32" style="536" bestFit="1" customWidth="1"/>
    <col min="6920" max="6920" width="14.5703125" style="536" bestFit="1" customWidth="1"/>
    <col min="6921" max="6921" width="12.42578125" style="536" bestFit="1" customWidth="1"/>
    <col min="6922" max="6922" width="51.28515625" style="536" bestFit="1" customWidth="1"/>
    <col min="6923" max="6923" width="14.85546875" style="536" bestFit="1" customWidth="1"/>
    <col min="6924" max="6924" width="25" style="536" bestFit="1" customWidth="1"/>
    <col min="6925" max="6926" width="12.28515625" style="536" bestFit="1" customWidth="1"/>
    <col min="6927" max="6927" width="24.7109375" style="536" bestFit="1" customWidth="1"/>
    <col min="6928" max="6928" width="15" style="536" bestFit="1" customWidth="1"/>
    <col min="6929" max="7173" width="9.140625" style="536"/>
    <col min="7174" max="7174" width="6.42578125" style="536" bestFit="1" customWidth="1"/>
    <col min="7175" max="7175" width="32" style="536" bestFit="1" customWidth="1"/>
    <col min="7176" max="7176" width="14.5703125" style="536" bestFit="1" customWidth="1"/>
    <col min="7177" max="7177" width="12.42578125" style="536" bestFit="1" customWidth="1"/>
    <col min="7178" max="7178" width="51.28515625" style="536" bestFit="1" customWidth="1"/>
    <col min="7179" max="7179" width="14.85546875" style="536" bestFit="1" customWidth="1"/>
    <col min="7180" max="7180" width="25" style="536" bestFit="1" customWidth="1"/>
    <col min="7181" max="7182" width="12.28515625" style="536" bestFit="1" customWidth="1"/>
    <col min="7183" max="7183" width="24.7109375" style="536" bestFit="1" customWidth="1"/>
    <col min="7184" max="7184" width="15" style="536" bestFit="1" customWidth="1"/>
    <col min="7185" max="7429" width="9.140625" style="536"/>
    <col min="7430" max="7430" width="6.42578125" style="536" bestFit="1" customWidth="1"/>
    <col min="7431" max="7431" width="32" style="536" bestFit="1" customWidth="1"/>
    <col min="7432" max="7432" width="14.5703125" style="536" bestFit="1" customWidth="1"/>
    <col min="7433" max="7433" width="12.42578125" style="536" bestFit="1" customWidth="1"/>
    <col min="7434" max="7434" width="51.28515625" style="536" bestFit="1" customWidth="1"/>
    <col min="7435" max="7435" width="14.85546875" style="536" bestFit="1" customWidth="1"/>
    <col min="7436" max="7436" width="25" style="536" bestFit="1" customWidth="1"/>
    <col min="7437" max="7438" width="12.28515625" style="536" bestFit="1" customWidth="1"/>
    <col min="7439" max="7439" width="24.7109375" style="536" bestFit="1" customWidth="1"/>
    <col min="7440" max="7440" width="15" style="536" bestFit="1" customWidth="1"/>
    <col min="7441" max="7685" width="9.140625" style="536"/>
    <col min="7686" max="7686" width="6.42578125" style="536" bestFit="1" customWidth="1"/>
    <col min="7687" max="7687" width="32" style="536" bestFit="1" customWidth="1"/>
    <col min="7688" max="7688" width="14.5703125" style="536" bestFit="1" customWidth="1"/>
    <col min="7689" max="7689" width="12.42578125" style="536" bestFit="1" customWidth="1"/>
    <col min="7690" max="7690" width="51.28515625" style="536" bestFit="1" customWidth="1"/>
    <col min="7691" max="7691" width="14.85546875" style="536" bestFit="1" customWidth="1"/>
    <col min="7692" max="7692" width="25" style="536" bestFit="1" customWidth="1"/>
    <col min="7693" max="7694" width="12.28515625" style="536" bestFit="1" customWidth="1"/>
    <col min="7695" max="7695" width="24.7109375" style="536" bestFit="1" customWidth="1"/>
    <col min="7696" max="7696" width="15" style="536" bestFit="1" customWidth="1"/>
    <col min="7697" max="7941" width="9.140625" style="536"/>
    <col min="7942" max="7942" width="6.42578125" style="536" bestFit="1" customWidth="1"/>
    <col min="7943" max="7943" width="32" style="536" bestFit="1" customWidth="1"/>
    <col min="7944" max="7944" width="14.5703125" style="536" bestFit="1" customWidth="1"/>
    <col min="7945" max="7945" width="12.42578125" style="536" bestFit="1" customWidth="1"/>
    <col min="7946" max="7946" width="51.28515625" style="536" bestFit="1" customWidth="1"/>
    <col min="7947" max="7947" width="14.85546875" style="536" bestFit="1" customWidth="1"/>
    <col min="7948" max="7948" width="25" style="536" bestFit="1" customWidth="1"/>
    <col min="7949" max="7950" width="12.28515625" style="536" bestFit="1" customWidth="1"/>
    <col min="7951" max="7951" width="24.7109375" style="536" bestFit="1" customWidth="1"/>
    <col min="7952" max="7952" width="15" style="536" bestFit="1" customWidth="1"/>
    <col min="7953" max="8197" width="9.140625" style="536"/>
    <col min="8198" max="8198" width="6.42578125" style="536" bestFit="1" customWidth="1"/>
    <col min="8199" max="8199" width="32" style="536" bestFit="1" customWidth="1"/>
    <col min="8200" max="8200" width="14.5703125" style="536" bestFit="1" customWidth="1"/>
    <col min="8201" max="8201" width="12.42578125" style="536" bestFit="1" customWidth="1"/>
    <col min="8202" max="8202" width="51.28515625" style="536" bestFit="1" customWidth="1"/>
    <col min="8203" max="8203" width="14.85546875" style="536" bestFit="1" customWidth="1"/>
    <col min="8204" max="8204" width="25" style="536" bestFit="1" customWidth="1"/>
    <col min="8205" max="8206" width="12.28515625" style="536" bestFit="1" customWidth="1"/>
    <col min="8207" max="8207" width="24.7109375" style="536" bestFit="1" customWidth="1"/>
    <col min="8208" max="8208" width="15" style="536" bestFit="1" customWidth="1"/>
    <col min="8209" max="8453" width="9.140625" style="536"/>
    <col min="8454" max="8454" width="6.42578125" style="536" bestFit="1" customWidth="1"/>
    <col min="8455" max="8455" width="32" style="536" bestFit="1" customWidth="1"/>
    <col min="8456" max="8456" width="14.5703125" style="536" bestFit="1" customWidth="1"/>
    <col min="8457" max="8457" width="12.42578125" style="536" bestFit="1" customWidth="1"/>
    <col min="8458" max="8458" width="51.28515625" style="536" bestFit="1" customWidth="1"/>
    <col min="8459" max="8459" width="14.85546875" style="536" bestFit="1" customWidth="1"/>
    <col min="8460" max="8460" width="25" style="536" bestFit="1" customWidth="1"/>
    <col min="8461" max="8462" width="12.28515625" style="536" bestFit="1" customWidth="1"/>
    <col min="8463" max="8463" width="24.7109375" style="536" bestFit="1" customWidth="1"/>
    <col min="8464" max="8464" width="15" style="536" bestFit="1" customWidth="1"/>
    <col min="8465" max="8709" width="9.140625" style="536"/>
    <col min="8710" max="8710" width="6.42578125" style="536" bestFit="1" customWidth="1"/>
    <col min="8711" max="8711" width="32" style="536" bestFit="1" customWidth="1"/>
    <col min="8712" max="8712" width="14.5703125" style="536" bestFit="1" customWidth="1"/>
    <col min="8713" max="8713" width="12.42578125" style="536" bestFit="1" customWidth="1"/>
    <col min="8714" max="8714" width="51.28515625" style="536" bestFit="1" customWidth="1"/>
    <col min="8715" max="8715" width="14.85546875" style="536" bestFit="1" customWidth="1"/>
    <col min="8716" max="8716" width="25" style="536" bestFit="1" customWidth="1"/>
    <col min="8717" max="8718" width="12.28515625" style="536" bestFit="1" customWidth="1"/>
    <col min="8719" max="8719" width="24.7109375" style="536" bestFit="1" customWidth="1"/>
    <col min="8720" max="8720" width="15" style="536" bestFit="1" customWidth="1"/>
    <col min="8721" max="8965" width="9.140625" style="536"/>
    <col min="8966" max="8966" width="6.42578125" style="536" bestFit="1" customWidth="1"/>
    <col min="8967" max="8967" width="32" style="536" bestFit="1" customWidth="1"/>
    <col min="8968" max="8968" width="14.5703125" style="536" bestFit="1" customWidth="1"/>
    <col min="8969" max="8969" width="12.42578125" style="536" bestFit="1" customWidth="1"/>
    <col min="8970" max="8970" width="51.28515625" style="536" bestFit="1" customWidth="1"/>
    <col min="8971" max="8971" width="14.85546875" style="536" bestFit="1" customWidth="1"/>
    <col min="8972" max="8972" width="25" style="536" bestFit="1" customWidth="1"/>
    <col min="8973" max="8974" width="12.28515625" style="536" bestFit="1" customWidth="1"/>
    <col min="8975" max="8975" width="24.7109375" style="536" bestFit="1" customWidth="1"/>
    <col min="8976" max="8976" width="15" style="536" bestFit="1" customWidth="1"/>
    <col min="8977" max="9221" width="9.140625" style="536"/>
    <col min="9222" max="9222" width="6.42578125" style="536" bestFit="1" customWidth="1"/>
    <col min="9223" max="9223" width="32" style="536" bestFit="1" customWidth="1"/>
    <col min="9224" max="9224" width="14.5703125" style="536" bestFit="1" customWidth="1"/>
    <col min="9225" max="9225" width="12.42578125" style="536" bestFit="1" customWidth="1"/>
    <col min="9226" max="9226" width="51.28515625" style="536" bestFit="1" customWidth="1"/>
    <col min="9227" max="9227" width="14.85546875" style="536" bestFit="1" customWidth="1"/>
    <col min="9228" max="9228" width="25" style="536" bestFit="1" customWidth="1"/>
    <col min="9229" max="9230" width="12.28515625" style="536" bestFit="1" customWidth="1"/>
    <col min="9231" max="9231" width="24.7109375" style="536" bestFit="1" customWidth="1"/>
    <col min="9232" max="9232" width="15" style="536" bestFit="1" customWidth="1"/>
    <col min="9233" max="9477" width="9.140625" style="536"/>
    <col min="9478" max="9478" width="6.42578125" style="536" bestFit="1" customWidth="1"/>
    <col min="9479" max="9479" width="32" style="536" bestFit="1" customWidth="1"/>
    <col min="9480" max="9480" width="14.5703125" style="536" bestFit="1" customWidth="1"/>
    <col min="9481" max="9481" width="12.42578125" style="536" bestFit="1" customWidth="1"/>
    <col min="9482" max="9482" width="51.28515625" style="536" bestFit="1" customWidth="1"/>
    <col min="9483" max="9483" width="14.85546875" style="536" bestFit="1" customWidth="1"/>
    <col min="9484" max="9484" width="25" style="536" bestFit="1" customWidth="1"/>
    <col min="9485" max="9486" width="12.28515625" style="536" bestFit="1" customWidth="1"/>
    <col min="9487" max="9487" width="24.7109375" style="536" bestFit="1" customWidth="1"/>
    <col min="9488" max="9488" width="15" style="536" bestFit="1" customWidth="1"/>
    <col min="9489" max="9733" width="9.140625" style="536"/>
    <col min="9734" max="9734" width="6.42578125" style="536" bestFit="1" customWidth="1"/>
    <col min="9735" max="9735" width="32" style="536" bestFit="1" customWidth="1"/>
    <col min="9736" max="9736" width="14.5703125" style="536" bestFit="1" customWidth="1"/>
    <col min="9737" max="9737" width="12.42578125" style="536" bestFit="1" customWidth="1"/>
    <col min="9738" max="9738" width="51.28515625" style="536" bestFit="1" customWidth="1"/>
    <col min="9739" max="9739" width="14.85546875" style="536" bestFit="1" customWidth="1"/>
    <col min="9740" max="9740" width="25" style="536" bestFit="1" customWidth="1"/>
    <col min="9741" max="9742" width="12.28515625" style="536" bestFit="1" customWidth="1"/>
    <col min="9743" max="9743" width="24.7109375" style="536" bestFit="1" customWidth="1"/>
    <col min="9744" max="9744" width="15" style="536" bestFit="1" customWidth="1"/>
    <col min="9745" max="9989" width="9.140625" style="536"/>
    <col min="9990" max="9990" width="6.42578125" style="536" bestFit="1" customWidth="1"/>
    <col min="9991" max="9991" width="32" style="536" bestFit="1" customWidth="1"/>
    <col min="9992" max="9992" width="14.5703125" style="536" bestFit="1" customWidth="1"/>
    <col min="9993" max="9993" width="12.42578125" style="536" bestFit="1" customWidth="1"/>
    <col min="9994" max="9994" width="51.28515625" style="536" bestFit="1" customWidth="1"/>
    <col min="9995" max="9995" width="14.85546875" style="536" bestFit="1" customWidth="1"/>
    <col min="9996" max="9996" width="25" style="536" bestFit="1" customWidth="1"/>
    <col min="9997" max="9998" width="12.28515625" style="536" bestFit="1" customWidth="1"/>
    <col min="9999" max="9999" width="24.7109375" style="536" bestFit="1" customWidth="1"/>
    <col min="10000" max="10000" width="15" style="536" bestFit="1" customWidth="1"/>
    <col min="10001" max="10245" width="9.140625" style="536"/>
    <col min="10246" max="10246" width="6.42578125" style="536" bestFit="1" customWidth="1"/>
    <col min="10247" max="10247" width="32" style="536" bestFit="1" customWidth="1"/>
    <col min="10248" max="10248" width="14.5703125" style="536" bestFit="1" customWidth="1"/>
    <col min="10249" max="10249" width="12.42578125" style="536" bestFit="1" customWidth="1"/>
    <col min="10250" max="10250" width="51.28515625" style="536" bestFit="1" customWidth="1"/>
    <col min="10251" max="10251" width="14.85546875" style="536" bestFit="1" customWidth="1"/>
    <col min="10252" max="10252" width="25" style="536" bestFit="1" customWidth="1"/>
    <col min="10253" max="10254" width="12.28515625" style="536" bestFit="1" customWidth="1"/>
    <col min="10255" max="10255" width="24.7109375" style="536" bestFit="1" customWidth="1"/>
    <col min="10256" max="10256" width="15" style="536" bestFit="1" customWidth="1"/>
    <col min="10257" max="10501" width="9.140625" style="536"/>
    <col min="10502" max="10502" width="6.42578125" style="536" bestFit="1" customWidth="1"/>
    <col min="10503" max="10503" width="32" style="536" bestFit="1" customWidth="1"/>
    <col min="10504" max="10504" width="14.5703125" style="536" bestFit="1" customWidth="1"/>
    <col min="10505" max="10505" width="12.42578125" style="536" bestFit="1" customWidth="1"/>
    <col min="10506" max="10506" width="51.28515625" style="536" bestFit="1" customWidth="1"/>
    <col min="10507" max="10507" width="14.85546875" style="536" bestFit="1" customWidth="1"/>
    <col min="10508" max="10508" width="25" style="536" bestFit="1" customWidth="1"/>
    <col min="10509" max="10510" width="12.28515625" style="536" bestFit="1" customWidth="1"/>
    <col min="10511" max="10511" width="24.7109375" style="536" bestFit="1" customWidth="1"/>
    <col min="10512" max="10512" width="15" style="536" bestFit="1" customWidth="1"/>
    <col min="10513" max="10757" width="9.140625" style="536"/>
    <col min="10758" max="10758" width="6.42578125" style="536" bestFit="1" customWidth="1"/>
    <col min="10759" max="10759" width="32" style="536" bestFit="1" customWidth="1"/>
    <col min="10760" max="10760" width="14.5703125" style="536" bestFit="1" customWidth="1"/>
    <col min="10761" max="10761" width="12.42578125" style="536" bestFit="1" customWidth="1"/>
    <col min="10762" max="10762" width="51.28515625" style="536" bestFit="1" customWidth="1"/>
    <col min="10763" max="10763" width="14.85546875" style="536" bestFit="1" customWidth="1"/>
    <col min="10764" max="10764" width="25" style="536" bestFit="1" customWidth="1"/>
    <col min="10765" max="10766" width="12.28515625" style="536" bestFit="1" customWidth="1"/>
    <col min="10767" max="10767" width="24.7109375" style="536" bestFit="1" customWidth="1"/>
    <col min="10768" max="10768" width="15" style="536" bestFit="1" customWidth="1"/>
    <col min="10769" max="11013" width="9.140625" style="536"/>
    <col min="11014" max="11014" width="6.42578125" style="536" bestFit="1" customWidth="1"/>
    <col min="11015" max="11015" width="32" style="536" bestFit="1" customWidth="1"/>
    <col min="11016" max="11016" width="14.5703125" style="536" bestFit="1" customWidth="1"/>
    <col min="11017" max="11017" width="12.42578125" style="536" bestFit="1" customWidth="1"/>
    <col min="11018" max="11018" width="51.28515625" style="536" bestFit="1" customWidth="1"/>
    <col min="11019" max="11019" width="14.85546875" style="536" bestFit="1" customWidth="1"/>
    <col min="11020" max="11020" width="25" style="536" bestFit="1" customWidth="1"/>
    <col min="11021" max="11022" width="12.28515625" style="536" bestFit="1" customWidth="1"/>
    <col min="11023" max="11023" width="24.7109375" style="536" bestFit="1" customWidth="1"/>
    <col min="11024" max="11024" width="15" style="536" bestFit="1" customWidth="1"/>
    <col min="11025" max="11269" width="9.140625" style="536"/>
    <col min="11270" max="11270" width="6.42578125" style="536" bestFit="1" customWidth="1"/>
    <col min="11271" max="11271" width="32" style="536" bestFit="1" customWidth="1"/>
    <col min="11272" max="11272" width="14.5703125" style="536" bestFit="1" customWidth="1"/>
    <col min="11273" max="11273" width="12.42578125" style="536" bestFit="1" customWidth="1"/>
    <col min="11274" max="11274" width="51.28515625" style="536" bestFit="1" customWidth="1"/>
    <col min="11275" max="11275" width="14.85546875" style="536" bestFit="1" customWidth="1"/>
    <col min="11276" max="11276" width="25" style="536" bestFit="1" customWidth="1"/>
    <col min="11277" max="11278" width="12.28515625" style="536" bestFit="1" customWidth="1"/>
    <col min="11279" max="11279" width="24.7109375" style="536" bestFit="1" customWidth="1"/>
    <col min="11280" max="11280" width="15" style="536" bestFit="1" customWidth="1"/>
    <col min="11281" max="11525" width="9.140625" style="536"/>
    <col min="11526" max="11526" width="6.42578125" style="536" bestFit="1" customWidth="1"/>
    <col min="11527" max="11527" width="32" style="536" bestFit="1" customWidth="1"/>
    <col min="11528" max="11528" width="14.5703125" style="536" bestFit="1" customWidth="1"/>
    <col min="11529" max="11529" width="12.42578125" style="536" bestFit="1" customWidth="1"/>
    <col min="11530" max="11530" width="51.28515625" style="536" bestFit="1" customWidth="1"/>
    <col min="11531" max="11531" width="14.85546875" style="536" bestFit="1" customWidth="1"/>
    <col min="11532" max="11532" width="25" style="536" bestFit="1" customWidth="1"/>
    <col min="11533" max="11534" width="12.28515625" style="536" bestFit="1" customWidth="1"/>
    <col min="11535" max="11535" width="24.7109375" style="536" bestFit="1" customWidth="1"/>
    <col min="11536" max="11536" width="15" style="536" bestFit="1" customWidth="1"/>
    <col min="11537" max="11781" width="9.140625" style="536"/>
    <col min="11782" max="11782" width="6.42578125" style="536" bestFit="1" customWidth="1"/>
    <col min="11783" max="11783" width="32" style="536" bestFit="1" customWidth="1"/>
    <col min="11784" max="11784" width="14.5703125" style="536" bestFit="1" customWidth="1"/>
    <col min="11785" max="11785" width="12.42578125" style="536" bestFit="1" customWidth="1"/>
    <col min="11786" max="11786" width="51.28515625" style="536" bestFit="1" customWidth="1"/>
    <col min="11787" max="11787" width="14.85546875" style="536" bestFit="1" customWidth="1"/>
    <col min="11788" max="11788" width="25" style="536" bestFit="1" customWidth="1"/>
    <col min="11789" max="11790" width="12.28515625" style="536" bestFit="1" customWidth="1"/>
    <col min="11791" max="11791" width="24.7109375" style="536" bestFit="1" customWidth="1"/>
    <col min="11792" max="11792" width="15" style="536" bestFit="1" customWidth="1"/>
    <col min="11793" max="12037" width="9.140625" style="536"/>
    <col min="12038" max="12038" width="6.42578125" style="536" bestFit="1" customWidth="1"/>
    <col min="12039" max="12039" width="32" style="536" bestFit="1" customWidth="1"/>
    <col min="12040" max="12040" width="14.5703125" style="536" bestFit="1" customWidth="1"/>
    <col min="12041" max="12041" width="12.42578125" style="536" bestFit="1" customWidth="1"/>
    <col min="12042" max="12042" width="51.28515625" style="536" bestFit="1" customWidth="1"/>
    <col min="12043" max="12043" width="14.85546875" style="536" bestFit="1" customWidth="1"/>
    <col min="12044" max="12044" width="25" style="536" bestFit="1" customWidth="1"/>
    <col min="12045" max="12046" width="12.28515625" style="536" bestFit="1" customWidth="1"/>
    <col min="12047" max="12047" width="24.7109375" style="536" bestFit="1" customWidth="1"/>
    <col min="12048" max="12048" width="15" style="536" bestFit="1" customWidth="1"/>
    <col min="12049" max="12293" width="9.140625" style="536"/>
    <col min="12294" max="12294" width="6.42578125" style="536" bestFit="1" customWidth="1"/>
    <col min="12295" max="12295" width="32" style="536" bestFit="1" customWidth="1"/>
    <col min="12296" max="12296" width="14.5703125" style="536" bestFit="1" customWidth="1"/>
    <col min="12297" max="12297" width="12.42578125" style="536" bestFit="1" customWidth="1"/>
    <col min="12298" max="12298" width="51.28515625" style="536" bestFit="1" customWidth="1"/>
    <col min="12299" max="12299" width="14.85546875" style="536" bestFit="1" customWidth="1"/>
    <col min="12300" max="12300" width="25" style="536" bestFit="1" customWidth="1"/>
    <col min="12301" max="12302" width="12.28515625" style="536" bestFit="1" customWidth="1"/>
    <col min="12303" max="12303" width="24.7109375" style="536" bestFit="1" customWidth="1"/>
    <col min="12304" max="12304" width="15" style="536" bestFit="1" customWidth="1"/>
    <col min="12305" max="12549" width="9.140625" style="536"/>
    <col min="12550" max="12550" width="6.42578125" style="536" bestFit="1" customWidth="1"/>
    <col min="12551" max="12551" width="32" style="536" bestFit="1" customWidth="1"/>
    <col min="12552" max="12552" width="14.5703125" style="536" bestFit="1" customWidth="1"/>
    <col min="12553" max="12553" width="12.42578125" style="536" bestFit="1" customWidth="1"/>
    <col min="12554" max="12554" width="51.28515625" style="536" bestFit="1" customWidth="1"/>
    <col min="12555" max="12555" width="14.85546875" style="536" bestFit="1" customWidth="1"/>
    <col min="12556" max="12556" width="25" style="536" bestFit="1" customWidth="1"/>
    <col min="12557" max="12558" width="12.28515625" style="536" bestFit="1" customWidth="1"/>
    <col min="12559" max="12559" width="24.7109375" style="536" bestFit="1" customWidth="1"/>
    <col min="12560" max="12560" width="15" style="536" bestFit="1" customWidth="1"/>
    <col min="12561" max="12805" width="9.140625" style="536"/>
    <col min="12806" max="12806" width="6.42578125" style="536" bestFit="1" customWidth="1"/>
    <col min="12807" max="12807" width="32" style="536" bestFit="1" customWidth="1"/>
    <col min="12808" max="12808" width="14.5703125" style="536" bestFit="1" customWidth="1"/>
    <col min="12809" max="12809" width="12.42578125" style="536" bestFit="1" customWidth="1"/>
    <col min="12810" max="12810" width="51.28515625" style="536" bestFit="1" customWidth="1"/>
    <col min="12811" max="12811" width="14.85546875" style="536" bestFit="1" customWidth="1"/>
    <col min="12812" max="12812" width="25" style="536" bestFit="1" customWidth="1"/>
    <col min="12813" max="12814" width="12.28515625" style="536" bestFit="1" customWidth="1"/>
    <col min="12815" max="12815" width="24.7109375" style="536" bestFit="1" customWidth="1"/>
    <col min="12816" max="12816" width="15" style="536" bestFit="1" customWidth="1"/>
    <col min="12817" max="13061" width="9.140625" style="536"/>
    <col min="13062" max="13062" width="6.42578125" style="536" bestFit="1" customWidth="1"/>
    <col min="13063" max="13063" width="32" style="536" bestFit="1" customWidth="1"/>
    <col min="13064" max="13064" width="14.5703125" style="536" bestFit="1" customWidth="1"/>
    <col min="13065" max="13065" width="12.42578125" style="536" bestFit="1" customWidth="1"/>
    <col min="13066" max="13066" width="51.28515625" style="536" bestFit="1" customWidth="1"/>
    <col min="13067" max="13067" width="14.85546875" style="536" bestFit="1" customWidth="1"/>
    <col min="13068" max="13068" width="25" style="536" bestFit="1" customWidth="1"/>
    <col min="13069" max="13070" width="12.28515625" style="536" bestFit="1" customWidth="1"/>
    <col min="13071" max="13071" width="24.7109375" style="536" bestFit="1" customWidth="1"/>
    <col min="13072" max="13072" width="15" style="536" bestFit="1" customWidth="1"/>
    <col min="13073" max="13317" width="9.140625" style="536"/>
    <col min="13318" max="13318" width="6.42578125" style="536" bestFit="1" customWidth="1"/>
    <col min="13319" max="13319" width="32" style="536" bestFit="1" customWidth="1"/>
    <col min="13320" max="13320" width="14.5703125" style="536" bestFit="1" customWidth="1"/>
    <col min="13321" max="13321" width="12.42578125" style="536" bestFit="1" customWidth="1"/>
    <col min="13322" max="13322" width="51.28515625" style="536" bestFit="1" customWidth="1"/>
    <col min="13323" max="13323" width="14.85546875" style="536" bestFit="1" customWidth="1"/>
    <col min="13324" max="13324" width="25" style="536" bestFit="1" customWidth="1"/>
    <col min="13325" max="13326" width="12.28515625" style="536" bestFit="1" customWidth="1"/>
    <col min="13327" max="13327" width="24.7109375" style="536" bestFit="1" customWidth="1"/>
    <col min="13328" max="13328" width="15" style="536" bestFit="1" customWidth="1"/>
    <col min="13329" max="13573" width="9.140625" style="536"/>
    <col min="13574" max="13574" width="6.42578125" style="536" bestFit="1" customWidth="1"/>
    <col min="13575" max="13575" width="32" style="536" bestFit="1" customWidth="1"/>
    <col min="13576" max="13576" width="14.5703125" style="536" bestFit="1" customWidth="1"/>
    <col min="13577" max="13577" width="12.42578125" style="536" bestFit="1" customWidth="1"/>
    <col min="13578" max="13578" width="51.28515625" style="536" bestFit="1" customWidth="1"/>
    <col min="13579" max="13579" width="14.85546875" style="536" bestFit="1" customWidth="1"/>
    <col min="13580" max="13580" width="25" style="536" bestFit="1" customWidth="1"/>
    <col min="13581" max="13582" width="12.28515625" style="536" bestFit="1" customWidth="1"/>
    <col min="13583" max="13583" width="24.7109375" style="536" bestFit="1" customWidth="1"/>
    <col min="13584" max="13584" width="15" style="536" bestFit="1" customWidth="1"/>
    <col min="13585" max="13829" width="9.140625" style="536"/>
    <col min="13830" max="13830" width="6.42578125" style="536" bestFit="1" customWidth="1"/>
    <col min="13831" max="13831" width="32" style="536" bestFit="1" customWidth="1"/>
    <col min="13832" max="13832" width="14.5703125" style="536" bestFit="1" customWidth="1"/>
    <col min="13833" max="13833" width="12.42578125" style="536" bestFit="1" customWidth="1"/>
    <col min="13834" max="13834" width="51.28515625" style="536" bestFit="1" customWidth="1"/>
    <col min="13835" max="13835" width="14.85546875" style="536" bestFit="1" customWidth="1"/>
    <col min="13836" max="13836" width="25" style="536" bestFit="1" customWidth="1"/>
    <col min="13837" max="13838" width="12.28515625" style="536" bestFit="1" customWidth="1"/>
    <col min="13839" max="13839" width="24.7109375" style="536" bestFit="1" customWidth="1"/>
    <col min="13840" max="13840" width="15" style="536" bestFit="1" customWidth="1"/>
    <col min="13841" max="14085" width="9.140625" style="536"/>
    <col min="14086" max="14086" width="6.42578125" style="536" bestFit="1" customWidth="1"/>
    <col min="14087" max="14087" width="32" style="536" bestFit="1" customWidth="1"/>
    <col min="14088" max="14088" width="14.5703125" style="536" bestFit="1" customWidth="1"/>
    <col min="14089" max="14089" width="12.42578125" style="536" bestFit="1" customWidth="1"/>
    <col min="14090" max="14090" width="51.28515625" style="536" bestFit="1" customWidth="1"/>
    <col min="14091" max="14091" width="14.85546875" style="536" bestFit="1" customWidth="1"/>
    <col min="14092" max="14092" width="25" style="536" bestFit="1" customWidth="1"/>
    <col min="14093" max="14094" width="12.28515625" style="536" bestFit="1" customWidth="1"/>
    <col min="14095" max="14095" width="24.7109375" style="536" bestFit="1" customWidth="1"/>
    <col min="14096" max="14096" width="15" style="536" bestFit="1" customWidth="1"/>
    <col min="14097" max="14341" width="9.140625" style="536"/>
    <col min="14342" max="14342" width="6.42578125" style="536" bestFit="1" customWidth="1"/>
    <col min="14343" max="14343" width="32" style="536" bestFit="1" customWidth="1"/>
    <col min="14344" max="14344" width="14.5703125" style="536" bestFit="1" customWidth="1"/>
    <col min="14345" max="14345" width="12.42578125" style="536" bestFit="1" customWidth="1"/>
    <col min="14346" max="14346" width="51.28515625" style="536" bestFit="1" customWidth="1"/>
    <col min="14347" max="14347" width="14.85546875" style="536" bestFit="1" customWidth="1"/>
    <col min="14348" max="14348" width="25" style="536" bestFit="1" customWidth="1"/>
    <col min="14349" max="14350" width="12.28515625" style="536" bestFit="1" customWidth="1"/>
    <col min="14351" max="14351" width="24.7109375" style="536" bestFit="1" customWidth="1"/>
    <col min="14352" max="14352" width="15" style="536" bestFit="1" customWidth="1"/>
    <col min="14353" max="14597" width="9.140625" style="536"/>
    <col min="14598" max="14598" width="6.42578125" style="536" bestFit="1" customWidth="1"/>
    <col min="14599" max="14599" width="32" style="536" bestFit="1" customWidth="1"/>
    <col min="14600" max="14600" width="14.5703125" style="536" bestFit="1" customWidth="1"/>
    <col min="14601" max="14601" width="12.42578125" style="536" bestFit="1" customWidth="1"/>
    <col min="14602" max="14602" width="51.28515625" style="536" bestFit="1" customWidth="1"/>
    <col min="14603" max="14603" width="14.85546875" style="536" bestFit="1" customWidth="1"/>
    <col min="14604" max="14604" width="25" style="536" bestFit="1" customWidth="1"/>
    <col min="14605" max="14606" width="12.28515625" style="536" bestFit="1" customWidth="1"/>
    <col min="14607" max="14607" width="24.7109375" style="536" bestFit="1" customWidth="1"/>
    <col min="14608" max="14608" width="15" style="536" bestFit="1" customWidth="1"/>
    <col min="14609" max="14853" width="9.140625" style="536"/>
    <col min="14854" max="14854" width="6.42578125" style="536" bestFit="1" customWidth="1"/>
    <col min="14855" max="14855" width="32" style="536" bestFit="1" customWidth="1"/>
    <col min="14856" max="14856" width="14.5703125" style="536" bestFit="1" customWidth="1"/>
    <col min="14857" max="14857" width="12.42578125" style="536" bestFit="1" customWidth="1"/>
    <col min="14858" max="14858" width="51.28515625" style="536" bestFit="1" customWidth="1"/>
    <col min="14859" max="14859" width="14.85546875" style="536" bestFit="1" customWidth="1"/>
    <col min="14860" max="14860" width="25" style="536" bestFit="1" customWidth="1"/>
    <col min="14861" max="14862" width="12.28515625" style="536" bestFit="1" customWidth="1"/>
    <col min="14863" max="14863" width="24.7109375" style="536" bestFit="1" customWidth="1"/>
    <col min="14864" max="14864" width="15" style="536" bestFit="1" customWidth="1"/>
    <col min="14865" max="15109" width="9.140625" style="536"/>
    <col min="15110" max="15110" width="6.42578125" style="536" bestFit="1" customWidth="1"/>
    <col min="15111" max="15111" width="32" style="536" bestFit="1" customWidth="1"/>
    <col min="15112" max="15112" width="14.5703125" style="536" bestFit="1" customWidth="1"/>
    <col min="15113" max="15113" width="12.42578125" style="536" bestFit="1" customWidth="1"/>
    <col min="15114" max="15114" width="51.28515625" style="536" bestFit="1" customWidth="1"/>
    <col min="15115" max="15115" width="14.85546875" style="536" bestFit="1" customWidth="1"/>
    <col min="15116" max="15116" width="25" style="536" bestFit="1" customWidth="1"/>
    <col min="15117" max="15118" width="12.28515625" style="536" bestFit="1" customWidth="1"/>
    <col min="15119" max="15119" width="24.7109375" style="536" bestFit="1" customWidth="1"/>
    <col min="15120" max="15120" width="15" style="536" bestFit="1" customWidth="1"/>
    <col min="15121" max="15365" width="9.140625" style="536"/>
    <col min="15366" max="15366" width="6.42578125" style="536" bestFit="1" customWidth="1"/>
    <col min="15367" max="15367" width="32" style="536" bestFit="1" customWidth="1"/>
    <col min="15368" max="15368" width="14.5703125" style="536" bestFit="1" customWidth="1"/>
    <col min="15369" max="15369" width="12.42578125" style="536" bestFit="1" customWidth="1"/>
    <col min="15370" max="15370" width="51.28515625" style="536" bestFit="1" customWidth="1"/>
    <col min="15371" max="15371" width="14.85546875" style="536" bestFit="1" customWidth="1"/>
    <col min="15372" max="15372" width="25" style="536" bestFit="1" customWidth="1"/>
    <col min="15373" max="15374" width="12.28515625" style="536" bestFit="1" customWidth="1"/>
    <col min="15375" max="15375" width="24.7109375" style="536" bestFit="1" customWidth="1"/>
    <col min="15376" max="15376" width="15" style="536" bestFit="1" customWidth="1"/>
    <col min="15377" max="15621" width="9.140625" style="536"/>
    <col min="15622" max="15622" width="6.42578125" style="536" bestFit="1" customWidth="1"/>
    <col min="15623" max="15623" width="32" style="536" bestFit="1" customWidth="1"/>
    <col min="15624" max="15624" width="14.5703125" style="536" bestFit="1" customWidth="1"/>
    <col min="15625" max="15625" width="12.42578125" style="536" bestFit="1" customWidth="1"/>
    <col min="15626" max="15626" width="51.28515625" style="536" bestFit="1" customWidth="1"/>
    <col min="15627" max="15627" width="14.85546875" style="536" bestFit="1" customWidth="1"/>
    <col min="15628" max="15628" width="25" style="536" bestFit="1" customWidth="1"/>
    <col min="15629" max="15630" width="12.28515625" style="536" bestFit="1" customWidth="1"/>
    <col min="15631" max="15631" width="24.7109375" style="536" bestFit="1" customWidth="1"/>
    <col min="15632" max="15632" width="15" style="536" bestFit="1" customWidth="1"/>
    <col min="15633" max="15877" width="9.140625" style="536"/>
    <col min="15878" max="15878" width="6.42578125" style="536" bestFit="1" customWidth="1"/>
    <col min="15879" max="15879" width="32" style="536" bestFit="1" customWidth="1"/>
    <col min="15880" max="15880" width="14.5703125" style="536" bestFit="1" customWidth="1"/>
    <col min="15881" max="15881" width="12.42578125" style="536" bestFit="1" customWidth="1"/>
    <col min="15882" max="15882" width="51.28515625" style="536" bestFit="1" customWidth="1"/>
    <col min="15883" max="15883" width="14.85546875" style="536" bestFit="1" customWidth="1"/>
    <col min="15884" max="15884" width="25" style="536" bestFit="1" customWidth="1"/>
    <col min="15885" max="15886" width="12.28515625" style="536" bestFit="1" customWidth="1"/>
    <col min="15887" max="15887" width="24.7109375" style="536" bestFit="1" customWidth="1"/>
    <col min="15888" max="15888" width="15" style="536" bestFit="1" customWidth="1"/>
    <col min="15889" max="16133" width="9.140625" style="536"/>
    <col min="16134" max="16134" width="6.42578125" style="536" bestFit="1" customWidth="1"/>
    <col min="16135" max="16135" width="32" style="536" bestFit="1" customWidth="1"/>
    <col min="16136" max="16136" width="14.5703125" style="536" bestFit="1" customWidth="1"/>
    <col min="16137" max="16137" width="12.42578125" style="536" bestFit="1" customWidth="1"/>
    <col min="16138" max="16138" width="51.28515625" style="536" bestFit="1" customWidth="1"/>
    <col min="16139" max="16139" width="14.85546875" style="536" bestFit="1" customWidth="1"/>
    <col min="16140" max="16140" width="25" style="536" bestFit="1" customWidth="1"/>
    <col min="16141" max="16142" width="12.28515625" style="536" bestFit="1" customWidth="1"/>
    <col min="16143" max="16143" width="24.7109375" style="536" bestFit="1" customWidth="1"/>
    <col min="16144" max="16144" width="15" style="536" bestFit="1" customWidth="1"/>
    <col min="16145" max="16384" width="9.140625" style="536"/>
  </cols>
  <sheetData>
    <row r="1" spans="1:16" x14ac:dyDescent="0.55000000000000004">
      <c r="A1" s="1332" t="s">
        <v>82</v>
      </c>
      <c r="B1" s="1332"/>
      <c r="C1" s="1332"/>
      <c r="D1" s="1332"/>
      <c r="E1" s="1332"/>
      <c r="F1" s="1332"/>
      <c r="G1" s="1332"/>
      <c r="H1" s="1332"/>
      <c r="I1" s="1332"/>
      <c r="J1" s="1332"/>
      <c r="K1" s="1332"/>
      <c r="L1" s="1332"/>
    </row>
    <row r="2" spans="1:16" x14ac:dyDescent="0.55000000000000004">
      <c r="A2" s="1332" t="s">
        <v>665</v>
      </c>
      <c r="B2" s="1332"/>
      <c r="C2" s="1332"/>
      <c r="D2" s="1332"/>
      <c r="E2" s="1332"/>
      <c r="F2" s="1332"/>
      <c r="G2" s="1332"/>
      <c r="H2" s="1332"/>
      <c r="I2" s="1332"/>
      <c r="J2" s="1332"/>
      <c r="K2" s="1332"/>
      <c r="L2" s="1332"/>
    </row>
    <row r="3" spans="1:16" x14ac:dyDescent="0.55000000000000004">
      <c r="A3" s="1333" t="str">
        <f>+รายจ่ายจริง!A3:P3</f>
        <v>ตั้งแต่วันที่ 1  ตุลาคม 2564 ถึงวันที่ 31 ตุลาคม 2564</v>
      </c>
      <c r="B3" s="1333"/>
      <c r="C3" s="1333"/>
      <c r="D3" s="1333"/>
      <c r="E3" s="1333"/>
      <c r="F3" s="1333"/>
      <c r="G3" s="1333"/>
      <c r="H3" s="1333"/>
      <c r="I3" s="1333"/>
      <c r="J3" s="1333"/>
      <c r="K3" s="1333"/>
      <c r="L3" s="1333"/>
    </row>
    <row r="4" spans="1:16" s="538" customFormat="1" ht="23.25" x14ac:dyDescent="0.5">
      <c r="A4" s="634" t="s">
        <v>0</v>
      </c>
      <c r="B4" s="1334" t="s">
        <v>500</v>
      </c>
      <c r="C4" s="1334" t="s">
        <v>501</v>
      </c>
      <c r="D4" s="1334" t="s">
        <v>651</v>
      </c>
      <c r="E4" s="1335" t="s">
        <v>179</v>
      </c>
      <c r="F4" s="1334" t="s">
        <v>502</v>
      </c>
      <c r="G4" s="1336" t="s">
        <v>426</v>
      </c>
      <c r="H4" s="1337" t="s">
        <v>503</v>
      </c>
      <c r="I4" s="634" t="s">
        <v>17</v>
      </c>
      <c r="J4" s="1328" t="s">
        <v>661</v>
      </c>
      <c r="K4" s="634" t="s">
        <v>662</v>
      </c>
      <c r="L4" s="537" t="s">
        <v>757</v>
      </c>
      <c r="M4" s="1330" t="s">
        <v>652</v>
      </c>
      <c r="N4" s="1330" t="s">
        <v>653</v>
      </c>
      <c r="O4" s="1330" t="s">
        <v>654</v>
      </c>
      <c r="P4" s="538" t="s">
        <v>504</v>
      </c>
    </row>
    <row r="5" spans="1:16" s="538" customFormat="1" ht="23.25" x14ac:dyDescent="0.5">
      <c r="A5" s="635" t="s">
        <v>58</v>
      </c>
      <c r="B5" s="1334"/>
      <c r="C5" s="1334"/>
      <c r="D5" s="1334"/>
      <c r="E5" s="1335"/>
      <c r="F5" s="1334"/>
      <c r="G5" s="1336"/>
      <c r="H5" s="1338"/>
      <c r="I5" s="635" t="s">
        <v>660</v>
      </c>
      <c r="J5" s="1329"/>
      <c r="K5" s="635" t="s">
        <v>83</v>
      </c>
      <c r="L5" s="539" t="s">
        <v>745</v>
      </c>
      <c r="M5" s="1331"/>
      <c r="N5" s="1331"/>
      <c r="O5" s="1331"/>
    </row>
    <row r="6" spans="1:16" s="549" customFormat="1" ht="38.25" customHeight="1" x14ac:dyDescent="0.5">
      <c r="A6" s="540">
        <v>1</v>
      </c>
      <c r="B6" s="541" t="s">
        <v>112</v>
      </c>
      <c r="C6" s="540">
        <v>1600699998</v>
      </c>
      <c r="D6" s="540" t="s">
        <v>14</v>
      </c>
      <c r="E6" s="512" t="s">
        <v>640</v>
      </c>
      <c r="F6" s="540">
        <v>7014096956</v>
      </c>
      <c r="G6" s="542" t="s">
        <v>305</v>
      </c>
      <c r="H6" s="543">
        <v>43000</v>
      </c>
      <c r="I6" s="544">
        <v>43000</v>
      </c>
      <c r="J6" s="544">
        <f t="shared" ref="J6:J20" si="0">+H6-I6</f>
        <v>0</v>
      </c>
      <c r="K6" s="545">
        <f t="shared" ref="K6:K40" si="1">+I6*100/H6</f>
        <v>100</v>
      </c>
      <c r="L6" s="546" t="s">
        <v>363</v>
      </c>
      <c r="M6" s="547" t="s">
        <v>578</v>
      </c>
      <c r="N6" s="548" t="s">
        <v>579</v>
      </c>
      <c r="O6" s="548" t="s">
        <v>527</v>
      </c>
      <c r="P6" s="548" t="s">
        <v>580</v>
      </c>
    </row>
    <row r="7" spans="1:16" s="549" customFormat="1" ht="38.25" customHeight="1" x14ac:dyDescent="0.5">
      <c r="A7" s="540">
        <v>2</v>
      </c>
      <c r="B7" s="541" t="s">
        <v>112</v>
      </c>
      <c r="C7" s="540">
        <v>1600699998</v>
      </c>
      <c r="D7" s="540" t="s">
        <v>14</v>
      </c>
      <c r="E7" s="512" t="s">
        <v>638</v>
      </c>
      <c r="F7" s="540">
        <v>7014150012</v>
      </c>
      <c r="G7" s="542" t="s">
        <v>649</v>
      </c>
      <c r="H7" s="543">
        <f>123750*3</f>
        <v>371250</v>
      </c>
      <c r="I7" s="544">
        <v>371250</v>
      </c>
      <c r="J7" s="544">
        <f t="shared" si="0"/>
        <v>0</v>
      </c>
      <c r="K7" s="545">
        <f t="shared" si="1"/>
        <v>100</v>
      </c>
      <c r="L7" s="546" t="s">
        <v>363</v>
      </c>
      <c r="M7" s="547" t="s">
        <v>582</v>
      </c>
      <c r="N7" s="548" t="s">
        <v>583</v>
      </c>
      <c r="O7" s="548" t="s">
        <v>527</v>
      </c>
      <c r="P7" s="548" t="s">
        <v>584</v>
      </c>
    </row>
    <row r="8" spans="1:16" s="549" customFormat="1" ht="38.25" customHeight="1" x14ac:dyDescent="0.5">
      <c r="A8" s="540">
        <v>3</v>
      </c>
      <c r="B8" s="541" t="s">
        <v>112</v>
      </c>
      <c r="C8" s="540">
        <v>1600699998</v>
      </c>
      <c r="D8" s="540" t="s">
        <v>14</v>
      </c>
      <c r="E8" s="512" t="s">
        <v>640</v>
      </c>
      <c r="F8" s="540">
        <v>7014665430</v>
      </c>
      <c r="G8" s="542" t="s">
        <v>305</v>
      </c>
      <c r="H8" s="543">
        <v>41810</v>
      </c>
      <c r="I8" s="544">
        <v>41810</v>
      </c>
      <c r="J8" s="544">
        <f t="shared" si="0"/>
        <v>0</v>
      </c>
      <c r="K8" s="545">
        <f t="shared" si="1"/>
        <v>100</v>
      </c>
      <c r="L8" s="546" t="s">
        <v>363</v>
      </c>
      <c r="M8" s="547" t="s">
        <v>578</v>
      </c>
      <c r="N8" s="548" t="s">
        <v>589</v>
      </c>
      <c r="O8" s="548" t="s">
        <v>527</v>
      </c>
      <c r="P8" s="548" t="s">
        <v>580</v>
      </c>
    </row>
    <row r="9" spans="1:16" s="549" customFormat="1" ht="38.25" customHeight="1" x14ac:dyDescent="0.5">
      <c r="A9" s="540">
        <v>4</v>
      </c>
      <c r="B9" s="541" t="s">
        <v>112</v>
      </c>
      <c r="C9" s="540">
        <v>1600600004</v>
      </c>
      <c r="D9" s="540" t="s">
        <v>14</v>
      </c>
      <c r="E9" s="512" t="s">
        <v>640</v>
      </c>
      <c r="F9" s="540">
        <v>7014789388</v>
      </c>
      <c r="G9" s="542" t="s">
        <v>647</v>
      </c>
      <c r="H9" s="543">
        <v>280730</v>
      </c>
      <c r="I9" s="544">
        <v>280730</v>
      </c>
      <c r="J9" s="544">
        <f t="shared" si="0"/>
        <v>0</v>
      </c>
      <c r="K9" s="545">
        <f t="shared" si="1"/>
        <v>100</v>
      </c>
      <c r="L9" s="546" t="s">
        <v>363</v>
      </c>
      <c r="M9" s="547" t="s">
        <v>600</v>
      </c>
      <c r="N9" s="548" t="s">
        <v>513</v>
      </c>
      <c r="O9" s="548" t="s">
        <v>601</v>
      </c>
      <c r="P9" s="548" t="s">
        <v>602</v>
      </c>
    </row>
    <row r="10" spans="1:16" s="549" customFormat="1" ht="38.25" customHeight="1" x14ac:dyDescent="0.5">
      <c r="A10" s="540">
        <v>5</v>
      </c>
      <c r="B10" s="541" t="s">
        <v>112</v>
      </c>
      <c r="C10" s="540">
        <v>1600600005</v>
      </c>
      <c r="D10" s="540" t="s">
        <v>14</v>
      </c>
      <c r="E10" s="512" t="s">
        <v>640</v>
      </c>
      <c r="F10" s="540">
        <v>7014934640</v>
      </c>
      <c r="G10" s="542" t="s">
        <v>605</v>
      </c>
      <c r="H10" s="543">
        <v>7500</v>
      </c>
      <c r="I10" s="544">
        <v>7500</v>
      </c>
      <c r="J10" s="544">
        <f t="shared" si="0"/>
        <v>0</v>
      </c>
      <c r="K10" s="545">
        <f t="shared" si="1"/>
        <v>100</v>
      </c>
      <c r="L10" s="546" t="s">
        <v>363</v>
      </c>
      <c r="M10" s="547" t="s">
        <v>606</v>
      </c>
      <c r="N10" s="548" t="s">
        <v>548</v>
      </c>
      <c r="O10" s="548" t="s">
        <v>523</v>
      </c>
      <c r="P10" s="548" t="s">
        <v>581</v>
      </c>
    </row>
    <row r="11" spans="1:16" s="549" customFormat="1" ht="58.5" customHeight="1" x14ac:dyDescent="0.5">
      <c r="A11" s="540">
        <v>6</v>
      </c>
      <c r="B11" s="541" t="s">
        <v>112</v>
      </c>
      <c r="C11" s="540">
        <v>1600600006</v>
      </c>
      <c r="D11" s="540" t="s">
        <v>14</v>
      </c>
      <c r="E11" s="512" t="s">
        <v>640</v>
      </c>
      <c r="F11" s="540">
        <v>7015013787</v>
      </c>
      <c r="G11" s="550" t="s">
        <v>664</v>
      </c>
      <c r="H11" s="543">
        <v>799000</v>
      </c>
      <c r="I11" s="544">
        <f>+H11-719100</f>
        <v>79900</v>
      </c>
      <c r="J11" s="636">
        <f t="shared" si="0"/>
        <v>719100</v>
      </c>
      <c r="K11" s="545">
        <f t="shared" si="1"/>
        <v>10</v>
      </c>
      <c r="L11" s="546" t="s">
        <v>753</v>
      </c>
      <c r="M11" s="547" t="s">
        <v>603</v>
      </c>
      <c r="N11" s="548" t="s">
        <v>607</v>
      </c>
      <c r="O11" s="548" t="s">
        <v>608</v>
      </c>
      <c r="P11" s="548" t="s">
        <v>604</v>
      </c>
    </row>
    <row r="12" spans="1:16" s="549" customFormat="1" ht="249.75" customHeight="1" x14ac:dyDescent="0.5">
      <c r="A12" s="540">
        <v>7</v>
      </c>
      <c r="B12" s="541" t="s">
        <v>112</v>
      </c>
      <c r="C12" s="540">
        <v>1600699998</v>
      </c>
      <c r="D12" s="540" t="s">
        <v>14</v>
      </c>
      <c r="E12" s="512" t="s">
        <v>638</v>
      </c>
      <c r="F12" s="540">
        <v>7015636946</v>
      </c>
      <c r="G12" s="542" t="s">
        <v>624</v>
      </c>
      <c r="H12" s="543">
        <v>5505412.6500000004</v>
      </c>
      <c r="I12" s="544">
        <v>3341712.15</v>
      </c>
      <c r="J12" s="636">
        <f t="shared" si="0"/>
        <v>2163700.5000000005</v>
      </c>
      <c r="K12" s="545">
        <f t="shared" si="1"/>
        <v>60.698668064418385</v>
      </c>
      <c r="L12" s="551" t="s">
        <v>846</v>
      </c>
      <c r="M12" s="547" t="s">
        <v>625</v>
      </c>
      <c r="N12" s="548" t="s">
        <v>526</v>
      </c>
      <c r="O12" s="548" t="s">
        <v>610</v>
      </c>
      <c r="P12" s="548" t="s">
        <v>626</v>
      </c>
    </row>
    <row r="13" spans="1:16" s="549" customFormat="1" ht="26.25" customHeight="1" x14ac:dyDescent="0.5">
      <c r="A13" s="540">
        <v>8</v>
      </c>
      <c r="B13" s="541" t="s">
        <v>543</v>
      </c>
      <c r="C13" s="540">
        <v>1600600453</v>
      </c>
      <c r="D13" s="540" t="s">
        <v>14</v>
      </c>
      <c r="E13" s="512" t="s">
        <v>638</v>
      </c>
      <c r="F13" s="540">
        <v>7015155496</v>
      </c>
      <c r="G13" s="542" t="s">
        <v>650</v>
      </c>
      <c r="H13" s="543">
        <v>17983</v>
      </c>
      <c r="I13" s="544">
        <v>17983</v>
      </c>
      <c r="J13" s="544">
        <f t="shared" si="0"/>
        <v>0</v>
      </c>
      <c r="K13" s="545">
        <f t="shared" si="1"/>
        <v>100</v>
      </c>
      <c r="L13" s="546" t="s">
        <v>363</v>
      </c>
      <c r="M13" s="547" t="s">
        <v>544</v>
      </c>
      <c r="N13" s="548" t="s">
        <v>545</v>
      </c>
      <c r="O13" s="548" t="s">
        <v>546</v>
      </c>
      <c r="P13" s="548" t="s">
        <v>547</v>
      </c>
    </row>
    <row r="14" spans="1:16" s="549" customFormat="1" ht="26.25" customHeight="1" x14ac:dyDescent="0.5">
      <c r="A14" s="540">
        <v>9</v>
      </c>
      <c r="B14" s="541" t="s">
        <v>532</v>
      </c>
      <c r="C14" s="540">
        <v>1600600711</v>
      </c>
      <c r="D14" s="540" t="s">
        <v>14</v>
      </c>
      <c r="E14" s="512" t="s">
        <v>638</v>
      </c>
      <c r="F14" s="540">
        <v>7015264822</v>
      </c>
      <c r="G14" s="552" t="s">
        <v>655</v>
      </c>
      <c r="H14" s="543">
        <v>204000</v>
      </c>
      <c r="I14" s="544">
        <v>204000</v>
      </c>
      <c r="J14" s="544">
        <f t="shared" si="0"/>
        <v>0</v>
      </c>
      <c r="K14" s="545">
        <f t="shared" si="1"/>
        <v>100</v>
      </c>
      <c r="L14" s="546" t="s">
        <v>363</v>
      </c>
      <c r="M14" s="547" t="s">
        <v>533</v>
      </c>
      <c r="N14" s="548" t="s">
        <v>534</v>
      </c>
      <c r="O14" s="548" t="s">
        <v>527</v>
      </c>
      <c r="P14" s="548" t="s">
        <v>535</v>
      </c>
    </row>
    <row r="15" spans="1:16" s="549" customFormat="1" ht="26.25" customHeight="1" x14ac:dyDescent="0.5">
      <c r="A15" s="540">
        <v>10</v>
      </c>
      <c r="B15" s="541" t="s">
        <v>532</v>
      </c>
      <c r="C15" s="540">
        <v>1600600711</v>
      </c>
      <c r="D15" s="540" t="s">
        <v>14</v>
      </c>
      <c r="E15" s="512" t="s">
        <v>638</v>
      </c>
      <c r="F15" s="540">
        <v>7015272951</v>
      </c>
      <c r="G15" s="552" t="s">
        <v>656</v>
      </c>
      <c r="H15" s="543">
        <v>154404.6</v>
      </c>
      <c r="I15" s="544">
        <v>154404.6</v>
      </c>
      <c r="J15" s="544">
        <f t="shared" si="0"/>
        <v>0</v>
      </c>
      <c r="K15" s="545">
        <f t="shared" si="1"/>
        <v>100</v>
      </c>
      <c r="L15" s="546" t="s">
        <v>363</v>
      </c>
      <c r="M15" s="547" t="s">
        <v>536</v>
      </c>
      <c r="N15" s="548" t="s">
        <v>526</v>
      </c>
      <c r="O15" s="548" t="s">
        <v>527</v>
      </c>
      <c r="P15" s="548" t="s">
        <v>537</v>
      </c>
    </row>
    <row r="16" spans="1:16" s="549" customFormat="1" ht="26.25" customHeight="1" x14ac:dyDescent="0.5">
      <c r="A16" s="540">
        <v>11</v>
      </c>
      <c r="B16" s="541" t="s">
        <v>112</v>
      </c>
      <c r="C16" s="540">
        <v>1600600011</v>
      </c>
      <c r="D16" s="540" t="s">
        <v>14</v>
      </c>
      <c r="E16" s="512" t="s">
        <v>640</v>
      </c>
      <c r="F16" s="540">
        <v>7014733954</v>
      </c>
      <c r="G16" s="542" t="s">
        <v>595</v>
      </c>
      <c r="H16" s="543">
        <v>147660</v>
      </c>
      <c r="I16" s="544">
        <v>147660</v>
      </c>
      <c r="J16" s="544">
        <f t="shared" si="0"/>
        <v>0</v>
      </c>
      <c r="K16" s="545">
        <f>+I16*100/H16</f>
        <v>100</v>
      </c>
      <c r="L16" s="546" t="s">
        <v>363</v>
      </c>
      <c r="M16" s="547" t="s">
        <v>596</v>
      </c>
      <c r="N16" s="548" t="s">
        <v>597</v>
      </c>
      <c r="O16" s="548" t="s">
        <v>598</v>
      </c>
      <c r="P16" s="548" t="s">
        <v>599</v>
      </c>
    </row>
    <row r="17" spans="1:16" s="549" customFormat="1" ht="26.25" customHeight="1" x14ac:dyDescent="0.5">
      <c r="A17" s="540">
        <v>12</v>
      </c>
      <c r="B17" s="541" t="s">
        <v>112</v>
      </c>
      <c r="C17" s="540">
        <v>1600699998</v>
      </c>
      <c r="D17" s="540" t="s">
        <v>14</v>
      </c>
      <c r="E17" s="512" t="s">
        <v>640</v>
      </c>
      <c r="F17" s="540">
        <v>7015254174</v>
      </c>
      <c r="G17" s="542" t="s">
        <v>619</v>
      </c>
      <c r="H17" s="543">
        <v>5700000</v>
      </c>
      <c r="I17" s="544">
        <v>5700000</v>
      </c>
      <c r="J17" s="544">
        <f t="shared" si="0"/>
        <v>0</v>
      </c>
      <c r="K17" s="545">
        <f>+I17*100/H17</f>
        <v>100</v>
      </c>
      <c r="L17" s="546" t="s">
        <v>754</v>
      </c>
      <c r="M17" s="547" t="s">
        <v>578</v>
      </c>
      <c r="N17" s="548" t="s">
        <v>616</v>
      </c>
      <c r="O17" s="548" t="s">
        <v>620</v>
      </c>
      <c r="P17" s="548" t="s">
        <v>621</v>
      </c>
    </row>
    <row r="18" spans="1:16" s="549" customFormat="1" ht="78.75" x14ac:dyDescent="0.5">
      <c r="A18" s="540">
        <v>13</v>
      </c>
      <c r="B18" s="541" t="s">
        <v>559</v>
      </c>
      <c r="C18" s="540">
        <v>1600600220</v>
      </c>
      <c r="D18" s="540" t="s">
        <v>14</v>
      </c>
      <c r="E18" s="512" t="s">
        <v>638</v>
      </c>
      <c r="F18" s="540">
        <v>2000459990</v>
      </c>
      <c r="G18" s="542" t="s">
        <v>304</v>
      </c>
      <c r="H18" s="543">
        <v>55800</v>
      </c>
      <c r="I18" s="544">
        <v>0</v>
      </c>
      <c r="J18" s="636">
        <f t="shared" si="0"/>
        <v>55800</v>
      </c>
      <c r="K18" s="545">
        <f>+I18*100/H18</f>
        <v>0</v>
      </c>
      <c r="L18" s="553" t="s">
        <v>789</v>
      </c>
      <c r="M18" s="547" t="s">
        <v>560</v>
      </c>
      <c r="N18" s="548" t="s">
        <v>561</v>
      </c>
      <c r="O18" s="548" t="s">
        <v>527</v>
      </c>
      <c r="P18" s="548" t="s">
        <v>562</v>
      </c>
    </row>
    <row r="19" spans="1:16" s="549" customFormat="1" ht="23.25" x14ac:dyDescent="0.5">
      <c r="A19" s="540">
        <v>14</v>
      </c>
      <c r="B19" s="541" t="s">
        <v>112</v>
      </c>
      <c r="C19" s="540">
        <v>1600699998</v>
      </c>
      <c r="D19" s="540" t="s">
        <v>14</v>
      </c>
      <c r="E19" s="512" t="s">
        <v>638</v>
      </c>
      <c r="F19" s="540">
        <v>7014299345</v>
      </c>
      <c r="G19" s="542" t="s">
        <v>648</v>
      </c>
      <c r="H19" s="543">
        <v>141240</v>
      </c>
      <c r="I19" s="544">
        <v>141240</v>
      </c>
      <c r="J19" s="544">
        <f t="shared" si="0"/>
        <v>0</v>
      </c>
      <c r="K19" s="545">
        <f>+I19*100/H19</f>
        <v>100</v>
      </c>
      <c r="L19" s="546" t="s">
        <v>363</v>
      </c>
      <c r="M19" s="547" t="s">
        <v>585</v>
      </c>
      <c r="N19" s="548" t="s">
        <v>586</v>
      </c>
      <c r="O19" s="548" t="s">
        <v>587</v>
      </c>
      <c r="P19" s="548" t="s">
        <v>588</v>
      </c>
    </row>
    <row r="20" spans="1:16" s="549" customFormat="1" ht="23.25" x14ac:dyDescent="0.5">
      <c r="A20" s="540">
        <v>15</v>
      </c>
      <c r="B20" s="541" t="s">
        <v>538</v>
      </c>
      <c r="C20" s="540">
        <v>1600600013</v>
      </c>
      <c r="D20" s="540" t="s">
        <v>14</v>
      </c>
      <c r="E20" s="512" t="s">
        <v>638</v>
      </c>
      <c r="F20" s="540">
        <v>7014896495</v>
      </c>
      <c r="G20" s="542" t="s">
        <v>539</v>
      </c>
      <c r="H20" s="543">
        <v>2782</v>
      </c>
      <c r="I20" s="544">
        <v>2782</v>
      </c>
      <c r="J20" s="544">
        <f t="shared" si="0"/>
        <v>0</v>
      </c>
      <c r="K20" s="545">
        <f t="shared" si="1"/>
        <v>100</v>
      </c>
      <c r="L20" s="546" t="s">
        <v>363</v>
      </c>
      <c r="M20" s="547" t="s">
        <v>540</v>
      </c>
      <c r="N20" s="548" t="s">
        <v>541</v>
      </c>
      <c r="O20" s="548" t="s">
        <v>525</v>
      </c>
      <c r="P20" s="548" t="s">
        <v>542</v>
      </c>
    </row>
    <row r="21" spans="1:16" s="538" customFormat="1" ht="30" customHeight="1" x14ac:dyDescent="0.5">
      <c r="A21" s="1322" t="s">
        <v>658</v>
      </c>
      <c r="B21" s="1323"/>
      <c r="C21" s="1323"/>
      <c r="D21" s="1323"/>
      <c r="E21" s="1323"/>
      <c r="F21" s="1323"/>
      <c r="G21" s="1324"/>
      <c r="H21" s="554">
        <f>SUM(H6:H20)</f>
        <v>13472572.25</v>
      </c>
      <c r="I21" s="554">
        <f>SUM(I6:I20)</f>
        <v>10533971.75</v>
      </c>
      <c r="J21" s="554">
        <f>SUM(J6:J20)</f>
        <v>2938600.5000000005</v>
      </c>
      <c r="K21" s="545">
        <f t="shared" si="1"/>
        <v>78.188274328979759</v>
      </c>
      <c r="L21" s="546"/>
      <c r="M21" s="555"/>
      <c r="N21" s="556"/>
      <c r="O21" s="556"/>
      <c r="P21" s="556"/>
    </row>
    <row r="22" spans="1:16" s="549" customFormat="1" ht="27.75" customHeight="1" x14ac:dyDescent="0.5">
      <c r="A22" s="540">
        <v>16</v>
      </c>
      <c r="B22" s="541" t="s">
        <v>112</v>
      </c>
      <c r="C22" s="540">
        <v>1600699998</v>
      </c>
      <c r="D22" s="540" t="s">
        <v>15</v>
      </c>
      <c r="E22" s="512" t="s">
        <v>639</v>
      </c>
      <c r="F22" s="540">
        <v>7014716158</v>
      </c>
      <c r="G22" s="542" t="s">
        <v>590</v>
      </c>
      <c r="H22" s="543">
        <v>2274000</v>
      </c>
      <c r="I22" s="544">
        <v>2274000</v>
      </c>
      <c r="J22" s="544">
        <f t="shared" ref="J22:J39" si="2">+H22-I22</f>
        <v>0</v>
      </c>
      <c r="K22" s="545">
        <f t="shared" si="1"/>
        <v>100</v>
      </c>
      <c r="L22" s="546" t="s">
        <v>363</v>
      </c>
      <c r="M22" s="547" t="s">
        <v>591</v>
      </c>
      <c r="N22" s="548" t="s">
        <v>592</v>
      </c>
      <c r="O22" s="548" t="s">
        <v>593</v>
      </c>
      <c r="P22" s="548" t="s">
        <v>594</v>
      </c>
    </row>
    <row r="23" spans="1:16" s="549" customFormat="1" ht="27.75" customHeight="1" x14ac:dyDescent="0.5">
      <c r="A23" s="540">
        <v>17</v>
      </c>
      <c r="B23" s="541" t="s">
        <v>112</v>
      </c>
      <c r="C23" s="540">
        <v>1600600011</v>
      </c>
      <c r="D23" s="540" t="s">
        <v>15</v>
      </c>
      <c r="E23" s="512" t="s">
        <v>643</v>
      </c>
      <c r="F23" s="540">
        <v>7015248976</v>
      </c>
      <c r="G23" s="542" t="s">
        <v>644</v>
      </c>
      <c r="H23" s="543">
        <v>500000</v>
      </c>
      <c r="I23" s="544">
        <v>500000</v>
      </c>
      <c r="J23" s="544">
        <f t="shared" si="2"/>
        <v>0</v>
      </c>
      <c r="K23" s="545">
        <f t="shared" si="1"/>
        <v>100</v>
      </c>
      <c r="L23" s="546" t="s">
        <v>363</v>
      </c>
      <c r="M23" s="547" t="s">
        <v>615</v>
      </c>
      <c r="N23" s="548" t="s">
        <v>616</v>
      </c>
      <c r="O23" s="548" t="s">
        <v>617</v>
      </c>
      <c r="P23" s="548" t="s">
        <v>618</v>
      </c>
    </row>
    <row r="24" spans="1:16" s="549" customFormat="1" ht="23.25" x14ac:dyDescent="0.5">
      <c r="A24" s="540">
        <v>18</v>
      </c>
      <c r="B24" s="541" t="s">
        <v>112</v>
      </c>
      <c r="C24" s="540">
        <v>1600600006</v>
      </c>
      <c r="D24" s="540" t="s">
        <v>15</v>
      </c>
      <c r="E24" s="512" t="s">
        <v>641</v>
      </c>
      <c r="F24" s="540">
        <v>7015254679</v>
      </c>
      <c r="G24" s="542" t="s">
        <v>642</v>
      </c>
      <c r="H24" s="543">
        <v>497015</v>
      </c>
      <c r="I24" s="544">
        <f>497015-49701.5</f>
        <v>447313.5</v>
      </c>
      <c r="J24" s="636">
        <f t="shared" si="2"/>
        <v>49701.5</v>
      </c>
      <c r="K24" s="545">
        <f t="shared" si="1"/>
        <v>90</v>
      </c>
      <c r="L24" s="546" t="s">
        <v>755</v>
      </c>
      <c r="M24" s="547" t="s">
        <v>622</v>
      </c>
      <c r="N24" s="548" t="s">
        <v>526</v>
      </c>
      <c r="O24" s="548" t="s">
        <v>610</v>
      </c>
      <c r="P24" s="548" t="s">
        <v>623</v>
      </c>
    </row>
    <row r="25" spans="1:16" s="549" customFormat="1" ht="30" customHeight="1" x14ac:dyDescent="0.5">
      <c r="A25" s="540">
        <v>19</v>
      </c>
      <c r="B25" s="541" t="s">
        <v>112</v>
      </c>
      <c r="C25" s="540">
        <v>1600600001</v>
      </c>
      <c r="D25" s="540" t="s">
        <v>15</v>
      </c>
      <c r="E25" s="512" t="s">
        <v>442</v>
      </c>
      <c r="F25" s="540">
        <v>2000397264</v>
      </c>
      <c r="G25" s="542" t="s">
        <v>635</v>
      </c>
      <c r="H25" s="543">
        <v>11135650</v>
      </c>
      <c r="I25" s="544">
        <v>0</v>
      </c>
      <c r="J25" s="636">
        <f t="shared" si="2"/>
        <v>11135650</v>
      </c>
      <c r="K25" s="545">
        <f t="shared" si="1"/>
        <v>0</v>
      </c>
      <c r="L25" s="546" t="s">
        <v>752</v>
      </c>
      <c r="M25" s="547" t="s">
        <v>636</v>
      </c>
      <c r="N25" s="548" t="s">
        <v>526</v>
      </c>
      <c r="O25" s="548" t="s">
        <v>637</v>
      </c>
      <c r="P25" s="548"/>
    </row>
    <row r="26" spans="1:16" s="549" customFormat="1" ht="30" customHeight="1" x14ac:dyDescent="0.5">
      <c r="A26" s="540">
        <v>20</v>
      </c>
      <c r="B26" s="541" t="s">
        <v>112</v>
      </c>
      <c r="C26" s="540">
        <v>1600600001</v>
      </c>
      <c r="D26" s="540" t="s">
        <v>15</v>
      </c>
      <c r="E26" s="512" t="s">
        <v>440</v>
      </c>
      <c r="F26" s="540">
        <v>2000420428</v>
      </c>
      <c r="G26" s="542" t="s">
        <v>627</v>
      </c>
      <c r="H26" s="543">
        <v>13054741.23</v>
      </c>
      <c r="I26" s="544">
        <v>13054741.23</v>
      </c>
      <c r="J26" s="544">
        <f t="shared" si="2"/>
        <v>0</v>
      </c>
      <c r="K26" s="545">
        <f t="shared" si="1"/>
        <v>100</v>
      </c>
      <c r="L26" s="557" t="s">
        <v>751</v>
      </c>
      <c r="M26" s="547" t="s">
        <v>628</v>
      </c>
      <c r="N26" s="548" t="s">
        <v>629</v>
      </c>
      <c r="O26" s="548" t="s">
        <v>630</v>
      </c>
      <c r="P26" s="548"/>
    </row>
    <row r="27" spans="1:16" s="549" customFormat="1" ht="30" customHeight="1" x14ac:dyDescent="0.5">
      <c r="A27" s="540">
        <v>21</v>
      </c>
      <c r="B27" s="541" t="s">
        <v>112</v>
      </c>
      <c r="C27" s="540">
        <v>1600600001</v>
      </c>
      <c r="D27" s="540" t="s">
        <v>15</v>
      </c>
      <c r="E27" s="512" t="s">
        <v>437</v>
      </c>
      <c r="F27" s="540">
        <v>2000420910</v>
      </c>
      <c r="G27" s="542" t="s">
        <v>631</v>
      </c>
      <c r="H27" s="543">
        <v>5129331</v>
      </c>
      <c r="I27" s="544">
        <v>5129331</v>
      </c>
      <c r="J27" s="544">
        <f t="shared" si="2"/>
        <v>0</v>
      </c>
      <c r="K27" s="545">
        <f t="shared" si="1"/>
        <v>100</v>
      </c>
      <c r="L27" s="546" t="s">
        <v>363</v>
      </c>
      <c r="M27" s="547" t="s">
        <v>632</v>
      </c>
      <c r="N27" s="548" t="s">
        <v>633</v>
      </c>
      <c r="O27" s="548" t="s">
        <v>634</v>
      </c>
      <c r="P27" s="548"/>
    </row>
    <row r="28" spans="1:16" s="549" customFormat="1" ht="30" customHeight="1" x14ac:dyDescent="0.5">
      <c r="A28" s="540">
        <v>22</v>
      </c>
      <c r="B28" s="541" t="s">
        <v>112</v>
      </c>
      <c r="C28" s="540">
        <v>1600600001</v>
      </c>
      <c r="D28" s="540" t="s">
        <v>15</v>
      </c>
      <c r="E28" s="512" t="s">
        <v>441</v>
      </c>
      <c r="F28" s="540">
        <v>2000434631</v>
      </c>
      <c r="G28" s="542" t="s">
        <v>563</v>
      </c>
      <c r="H28" s="543">
        <v>5002622</v>
      </c>
      <c r="I28" s="544">
        <v>5002622</v>
      </c>
      <c r="J28" s="544">
        <f t="shared" si="2"/>
        <v>0</v>
      </c>
      <c r="K28" s="545">
        <f t="shared" si="1"/>
        <v>100</v>
      </c>
      <c r="L28" s="546" t="s">
        <v>750</v>
      </c>
      <c r="M28" s="547" t="s">
        <v>564</v>
      </c>
      <c r="N28" s="548" t="s">
        <v>565</v>
      </c>
      <c r="O28" s="548" t="s">
        <v>566</v>
      </c>
      <c r="P28" s="548" t="s">
        <v>567</v>
      </c>
    </row>
    <row r="29" spans="1:16" s="549" customFormat="1" ht="30" customHeight="1" x14ac:dyDescent="0.5">
      <c r="A29" s="540">
        <v>23</v>
      </c>
      <c r="B29" s="541" t="s">
        <v>112</v>
      </c>
      <c r="C29" s="540">
        <v>1600600001</v>
      </c>
      <c r="D29" s="540" t="s">
        <v>15</v>
      </c>
      <c r="E29" s="512" t="s">
        <v>438</v>
      </c>
      <c r="F29" s="540">
        <v>2000435147</v>
      </c>
      <c r="G29" s="542" t="s">
        <v>568</v>
      </c>
      <c r="H29" s="543">
        <v>4668200</v>
      </c>
      <c r="I29" s="544">
        <v>0</v>
      </c>
      <c r="J29" s="636">
        <f t="shared" si="2"/>
        <v>4668200</v>
      </c>
      <c r="K29" s="545">
        <f t="shared" si="1"/>
        <v>0</v>
      </c>
      <c r="L29" s="546" t="s">
        <v>749</v>
      </c>
      <c r="M29" s="547" t="s">
        <v>569</v>
      </c>
      <c r="N29" s="548" t="s">
        <v>566</v>
      </c>
      <c r="O29" s="548" t="s">
        <v>570</v>
      </c>
      <c r="P29" s="548" t="s">
        <v>515</v>
      </c>
    </row>
    <row r="30" spans="1:16" s="549" customFormat="1" ht="46.5" x14ac:dyDescent="0.5">
      <c r="A30" s="540">
        <v>24</v>
      </c>
      <c r="B30" s="541" t="s">
        <v>112</v>
      </c>
      <c r="C30" s="540">
        <v>1600600001</v>
      </c>
      <c r="D30" s="540" t="s">
        <v>15</v>
      </c>
      <c r="E30" s="512" t="s">
        <v>443</v>
      </c>
      <c r="F30" s="540">
        <v>2000461421</v>
      </c>
      <c r="G30" s="558" t="s">
        <v>844</v>
      </c>
      <c r="H30" s="543">
        <v>2805000</v>
      </c>
      <c r="I30" s="544">
        <v>0</v>
      </c>
      <c r="J30" s="636">
        <f t="shared" si="2"/>
        <v>2805000</v>
      </c>
      <c r="K30" s="545">
        <f t="shared" si="1"/>
        <v>0</v>
      </c>
      <c r="L30" s="546" t="s">
        <v>748</v>
      </c>
      <c r="M30" s="547" t="s">
        <v>572</v>
      </c>
      <c r="N30" s="548" t="s">
        <v>573</v>
      </c>
      <c r="O30" s="548" t="s">
        <v>574</v>
      </c>
      <c r="P30" s="548" t="s">
        <v>515</v>
      </c>
    </row>
    <row r="31" spans="1:16" s="549" customFormat="1" ht="69.75" x14ac:dyDescent="0.5">
      <c r="A31" s="540">
        <v>25</v>
      </c>
      <c r="B31" s="541" t="s">
        <v>112</v>
      </c>
      <c r="C31" s="540">
        <v>1600600001</v>
      </c>
      <c r="D31" s="540" t="s">
        <v>15</v>
      </c>
      <c r="E31" s="512" t="s">
        <v>439</v>
      </c>
      <c r="F31" s="540">
        <v>2000475789</v>
      </c>
      <c r="G31" s="558" t="s">
        <v>845</v>
      </c>
      <c r="H31" s="543">
        <v>9368000</v>
      </c>
      <c r="I31" s="544">
        <f>+H31-7191566.75</f>
        <v>2176433.25</v>
      </c>
      <c r="J31" s="636">
        <f t="shared" si="2"/>
        <v>7191566.75</v>
      </c>
      <c r="K31" s="545">
        <f t="shared" si="1"/>
        <v>23.232635034158839</v>
      </c>
      <c r="L31" s="546" t="s">
        <v>747</v>
      </c>
      <c r="M31" s="547" t="s">
        <v>576</v>
      </c>
      <c r="N31" s="548" t="s">
        <v>527</v>
      </c>
      <c r="O31" s="548" t="s">
        <v>577</v>
      </c>
      <c r="P31" s="548" t="s">
        <v>515</v>
      </c>
    </row>
    <row r="32" spans="1:16" s="549" customFormat="1" ht="23.25" x14ac:dyDescent="0.5">
      <c r="A32" s="540">
        <v>26</v>
      </c>
      <c r="B32" s="541" t="s">
        <v>505</v>
      </c>
      <c r="C32" s="540">
        <v>1600600046</v>
      </c>
      <c r="D32" s="540" t="s">
        <v>15</v>
      </c>
      <c r="E32" s="512" t="s">
        <v>433</v>
      </c>
      <c r="F32" s="540">
        <v>7014618240</v>
      </c>
      <c r="G32" s="542" t="s">
        <v>506</v>
      </c>
      <c r="H32" s="543">
        <v>2527500</v>
      </c>
      <c r="I32" s="544">
        <v>2527500</v>
      </c>
      <c r="J32" s="544">
        <f t="shared" si="2"/>
        <v>0</v>
      </c>
      <c r="K32" s="545">
        <f t="shared" si="1"/>
        <v>100</v>
      </c>
      <c r="L32" s="546" t="s">
        <v>363</v>
      </c>
      <c r="M32" s="547" t="s">
        <v>507</v>
      </c>
      <c r="N32" s="548" t="s">
        <v>508</v>
      </c>
      <c r="O32" s="548" t="s">
        <v>509</v>
      </c>
      <c r="P32" s="548" t="s">
        <v>510</v>
      </c>
    </row>
    <row r="33" spans="1:16" s="549" customFormat="1" ht="52.5" customHeight="1" x14ac:dyDescent="0.5">
      <c r="A33" s="540">
        <v>27</v>
      </c>
      <c r="B33" s="541" t="s">
        <v>511</v>
      </c>
      <c r="C33" s="540">
        <v>1600600052</v>
      </c>
      <c r="D33" s="540" t="s">
        <v>15</v>
      </c>
      <c r="E33" s="512" t="s">
        <v>434</v>
      </c>
      <c r="F33" s="540">
        <v>7014573620</v>
      </c>
      <c r="G33" s="542" t="s">
        <v>506</v>
      </c>
      <c r="H33" s="543">
        <v>3234000</v>
      </c>
      <c r="I33" s="544">
        <f>+H33-2490180</f>
        <v>743820</v>
      </c>
      <c r="J33" s="636">
        <f t="shared" si="2"/>
        <v>2490180</v>
      </c>
      <c r="K33" s="545">
        <f t="shared" si="1"/>
        <v>23</v>
      </c>
      <c r="L33" s="546" t="s">
        <v>811</v>
      </c>
      <c r="M33" s="547" t="s">
        <v>512</v>
      </c>
      <c r="N33" s="548" t="s">
        <v>513</v>
      </c>
      <c r="O33" s="548" t="s">
        <v>514</v>
      </c>
      <c r="P33" s="548" t="s">
        <v>515</v>
      </c>
    </row>
    <row r="34" spans="1:16" s="549" customFormat="1" ht="30" customHeight="1" x14ac:dyDescent="0.5">
      <c r="A34" s="540">
        <v>28</v>
      </c>
      <c r="B34" s="541" t="s">
        <v>516</v>
      </c>
      <c r="C34" s="540">
        <v>1600600058</v>
      </c>
      <c r="D34" s="540" t="s">
        <v>15</v>
      </c>
      <c r="E34" s="512" t="s">
        <v>435</v>
      </c>
      <c r="F34" s="540">
        <v>7014587703</v>
      </c>
      <c r="G34" s="542" t="s">
        <v>506</v>
      </c>
      <c r="H34" s="543">
        <v>2700000</v>
      </c>
      <c r="I34" s="544">
        <v>2700000</v>
      </c>
      <c r="J34" s="544">
        <f t="shared" si="2"/>
        <v>0</v>
      </c>
      <c r="K34" s="545">
        <f t="shared" si="1"/>
        <v>100</v>
      </c>
      <c r="L34" s="546" t="s">
        <v>363</v>
      </c>
      <c r="M34" s="547" t="s">
        <v>517</v>
      </c>
      <c r="N34" s="548" t="s">
        <v>518</v>
      </c>
      <c r="O34" s="548" t="s">
        <v>519</v>
      </c>
      <c r="P34" s="548" t="s">
        <v>520</v>
      </c>
    </row>
    <row r="35" spans="1:16" s="549" customFormat="1" ht="53.25" customHeight="1" x14ac:dyDescent="0.5">
      <c r="A35" s="540">
        <v>29</v>
      </c>
      <c r="B35" s="541" t="s">
        <v>521</v>
      </c>
      <c r="C35" s="540">
        <v>1600600064</v>
      </c>
      <c r="D35" s="540" t="s">
        <v>15</v>
      </c>
      <c r="E35" s="512" t="s">
        <v>436</v>
      </c>
      <c r="F35" s="540">
        <v>7014633408</v>
      </c>
      <c r="G35" s="542" t="s">
        <v>506</v>
      </c>
      <c r="H35" s="543">
        <v>3155139</v>
      </c>
      <c r="I35" s="544">
        <v>0</v>
      </c>
      <c r="J35" s="636">
        <f t="shared" si="2"/>
        <v>3155139</v>
      </c>
      <c r="K35" s="545">
        <f t="shared" si="1"/>
        <v>0</v>
      </c>
      <c r="L35" s="546" t="s">
        <v>812</v>
      </c>
      <c r="M35" s="547" t="s">
        <v>522</v>
      </c>
      <c r="N35" s="548" t="s">
        <v>508</v>
      </c>
      <c r="O35" s="548" t="s">
        <v>523</v>
      </c>
      <c r="P35" s="548" t="s">
        <v>524</v>
      </c>
    </row>
    <row r="36" spans="1:16" s="549" customFormat="1" ht="56.25" customHeight="1" x14ac:dyDescent="0.5">
      <c r="A36" s="540">
        <v>30</v>
      </c>
      <c r="B36" s="541" t="s">
        <v>487</v>
      </c>
      <c r="C36" s="540">
        <v>1600600094</v>
      </c>
      <c r="D36" s="540" t="s">
        <v>15</v>
      </c>
      <c r="E36" s="512" t="s">
        <v>475</v>
      </c>
      <c r="F36" s="540">
        <v>2000449395</v>
      </c>
      <c r="G36" s="550" t="s">
        <v>806</v>
      </c>
      <c r="H36" s="543">
        <v>3920000</v>
      </c>
      <c r="I36" s="544">
        <v>3920000</v>
      </c>
      <c r="J36" s="544">
        <f t="shared" si="2"/>
        <v>0</v>
      </c>
      <c r="K36" s="545">
        <f t="shared" si="1"/>
        <v>100</v>
      </c>
      <c r="L36" s="546" t="s">
        <v>363</v>
      </c>
      <c r="M36" s="547" t="s">
        <v>528</v>
      </c>
      <c r="N36" s="548" t="s">
        <v>529</v>
      </c>
      <c r="O36" s="548" t="s">
        <v>530</v>
      </c>
      <c r="P36" s="548"/>
    </row>
    <row r="37" spans="1:16" s="549" customFormat="1" ht="56.25" customHeight="1" x14ac:dyDescent="0.5">
      <c r="A37" s="540">
        <v>31</v>
      </c>
      <c r="B37" s="541" t="s">
        <v>487</v>
      </c>
      <c r="C37" s="540">
        <v>1600600094</v>
      </c>
      <c r="D37" s="540" t="s">
        <v>15</v>
      </c>
      <c r="E37" s="512" t="s">
        <v>444</v>
      </c>
      <c r="F37" s="540">
        <v>2000469732</v>
      </c>
      <c r="G37" s="550" t="s">
        <v>531</v>
      </c>
      <c r="H37" s="543">
        <v>2559120</v>
      </c>
      <c r="I37" s="544">
        <v>2559120</v>
      </c>
      <c r="J37" s="544">
        <f t="shared" si="2"/>
        <v>0</v>
      </c>
      <c r="K37" s="545">
        <f t="shared" si="1"/>
        <v>100</v>
      </c>
      <c r="L37" s="546" t="s">
        <v>746</v>
      </c>
      <c r="M37" s="547" t="s">
        <v>528</v>
      </c>
      <c r="N37" s="548" t="s">
        <v>529</v>
      </c>
      <c r="O37" s="548" t="s">
        <v>530</v>
      </c>
      <c r="P37" s="548"/>
    </row>
    <row r="38" spans="1:16" s="549" customFormat="1" ht="30" customHeight="1" x14ac:dyDescent="0.5">
      <c r="A38" s="540">
        <v>32</v>
      </c>
      <c r="B38" s="541" t="s">
        <v>486</v>
      </c>
      <c r="C38" s="540">
        <v>1600600420</v>
      </c>
      <c r="D38" s="540" t="s">
        <v>15</v>
      </c>
      <c r="E38" s="512" t="s">
        <v>479</v>
      </c>
      <c r="F38" s="540">
        <v>7014653159</v>
      </c>
      <c r="G38" s="542" t="s">
        <v>663</v>
      </c>
      <c r="H38" s="543">
        <v>3869000</v>
      </c>
      <c r="I38" s="544">
        <v>2050570</v>
      </c>
      <c r="J38" s="636">
        <f t="shared" si="2"/>
        <v>1818430</v>
      </c>
      <c r="K38" s="545">
        <f t="shared" si="1"/>
        <v>53</v>
      </c>
      <c r="L38" s="557" t="s">
        <v>801</v>
      </c>
      <c r="M38" s="547" t="s">
        <v>549</v>
      </c>
      <c r="N38" s="548" t="s">
        <v>550</v>
      </c>
      <c r="O38" s="548" t="s">
        <v>551</v>
      </c>
      <c r="P38" s="548" t="s">
        <v>552</v>
      </c>
    </row>
    <row r="39" spans="1:16" s="549" customFormat="1" ht="23.25" x14ac:dyDescent="0.5">
      <c r="A39" s="540">
        <v>33</v>
      </c>
      <c r="B39" s="541" t="s">
        <v>553</v>
      </c>
      <c r="C39" s="540">
        <v>1600600456</v>
      </c>
      <c r="D39" s="540" t="s">
        <v>15</v>
      </c>
      <c r="E39" s="512" t="s">
        <v>432</v>
      </c>
      <c r="F39" s="540">
        <v>7014571829</v>
      </c>
      <c r="G39" s="542" t="s">
        <v>554</v>
      </c>
      <c r="H39" s="543">
        <v>2642900</v>
      </c>
      <c r="I39" s="544">
        <v>2642900</v>
      </c>
      <c r="J39" s="544">
        <f t="shared" si="2"/>
        <v>0</v>
      </c>
      <c r="K39" s="545">
        <f t="shared" si="1"/>
        <v>100</v>
      </c>
      <c r="L39" s="546" t="s">
        <v>363</v>
      </c>
      <c r="M39" s="547" t="s">
        <v>555</v>
      </c>
      <c r="N39" s="548" t="s">
        <v>556</v>
      </c>
      <c r="O39" s="548" t="s">
        <v>557</v>
      </c>
      <c r="P39" s="548" t="s">
        <v>558</v>
      </c>
    </row>
    <row r="40" spans="1:16" s="538" customFormat="1" ht="27" customHeight="1" x14ac:dyDescent="0.5">
      <c r="A40" s="1322" t="s">
        <v>659</v>
      </c>
      <c r="B40" s="1323"/>
      <c r="C40" s="1323"/>
      <c r="D40" s="1323"/>
      <c r="E40" s="1323"/>
      <c r="F40" s="1323"/>
      <c r="G40" s="1324"/>
      <c r="H40" s="554">
        <f>SUM(H22:H39)</f>
        <v>79042218.230000004</v>
      </c>
      <c r="I40" s="554">
        <f>SUM(I22:I39)</f>
        <v>45728350.980000004</v>
      </c>
      <c r="J40" s="554">
        <f>SUM(J22:J39)</f>
        <v>33313867.25</v>
      </c>
      <c r="K40" s="545">
        <f t="shared" si="1"/>
        <v>57.853071439541253</v>
      </c>
      <c r="L40" s="546"/>
      <c r="M40" s="555"/>
      <c r="N40" s="556"/>
      <c r="O40" s="556"/>
      <c r="P40" s="556"/>
    </row>
    <row r="41" spans="1:16" s="549" customFormat="1" ht="78" customHeight="1" x14ac:dyDescent="0.5">
      <c r="A41" s="540">
        <v>34</v>
      </c>
      <c r="B41" s="541" t="s">
        <v>112</v>
      </c>
      <c r="C41" s="540">
        <v>1600600011</v>
      </c>
      <c r="D41" s="540" t="s">
        <v>16</v>
      </c>
      <c r="E41" s="512" t="s">
        <v>397</v>
      </c>
      <c r="F41" s="540">
        <v>7015076230</v>
      </c>
      <c r="G41" s="558" t="s">
        <v>646</v>
      </c>
      <c r="H41" s="543">
        <v>1620000</v>
      </c>
      <c r="I41" s="544">
        <v>1440000</v>
      </c>
      <c r="J41" s="636">
        <f>+H41-I41</f>
        <v>180000</v>
      </c>
      <c r="K41" s="545">
        <f>+I41*100/H41</f>
        <v>88.888888888888886</v>
      </c>
      <c r="L41" s="546" t="s">
        <v>756</v>
      </c>
      <c r="M41" s="547" t="s">
        <v>609</v>
      </c>
      <c r="N41" s="548" t="s">
        <v>607</v>
      </c>
      <c r="O41" s="548" t="s">
        <v>610</v>
      </c>
      <c r="P41" s="548" t="s">
        <v>604</v>
      </c>
    </row>
    <row r="42" spans="1:16" s="549" customFormat="1" ht="23.25" x14ac:dyDescent="0.5">
      <c r="A42" s="540">
        <v>35</v>
      </c>
      <c r="B42" s="541" t="s">
        <v>112</v>
      </c>
      <c r="C42" s="540">
        <v>1600600011</v>
      </c>
      <c r="D42" s="540" t="s">
        <v>16</v>
      </c>
      <c r="E42" s="512" t="s">
        <v>424</v>
      </c>
      <c r="F42" s="540">
        <v>7015167313</v>
      </c>
      <c r="G42" s="542" t="s">
        <v>645</v>
      </c>
      <c r="H42" s="543">
        <v>56300</v>
      </c>
      <c r="I42" s="544">
        <v>56300</v>
      </c>
      <c r="J42" s="544">
        <f>+H42-I42</f>
        <v>0</v>
      </c>
      <c r="K42" s="545">
        <f>+I42*100/H42</f>
        <v>100</v>
      </c>
      <c r="L42" s="546" t="s">
        <v>363</v>
      </c>
      <c r="M42" s="547" t="s">
        <v>611</v>
      </c>
      <c r="N42" s="548" t="s">
        <v>612</v>
      </c>
      <c r="O42" s="548" t="s">
        <v>613</v>
      </c>
      <c r="P42" s="548" t="s">
        <v>614</v>
      </c>
    </row>
    <row r="43" spans="1:16" s="538" customFormat="1" ht="28.5" customHeight="1" x14ac:dyDescent="0.5">
      <c r="A43" s="1322" t="s">
        <v>362</v>
      </c>
      <c r="B43" s="1323"/>
      <c r="C43" s="1323"/>
      <c r="D43" s="1323"/>
      <c r="E43" s="1323"/>
      <c r="F43" s="1323"/>
      <c r="G43" s="1324"/>
      <c r="H43" s="554">
        <f>SUM(H41:H42)</f>
        <v>1676300</v>
      </c>
      <c r="I43" s="559">
        <f>SUM(I41:I42)</f>
        <v>1496300</v>
      </c>
      <c r="J43" s="554">
        <f>SUM(J41:J42)</f>
        <v>180000</v>
      </c>
      <c r="K43" s="545">
        <f>+I43*100/H43</f>
        <v>89.262065262781121</v>
      </c>
      <c r="L43" s="546"/>
    </row>
    <row r="44" spans="1:16" s="561" customFormat="1" ht="28.5" customHeight="1" x14ac:dyDescent="0.55000000000000004">
      <c r="A44" s="1325" t="s">
        <v>488</v>
      </c>
      <c r="B44" s="1326"/>
      <c r="C44" s="1326"/>
      <c r="D44" s="1326"/>
      <c r="E44" s="1326"/>
      <c r="F44" s="1326"/>
      <c r="G44" s="1327"/>
      <c r="H44" s="525">
        <f>+H21+H40+H43</f>
        <v>94191090.480000004</v>
      </c>
      <c r="I44" s="525">
        <f>+I21+I40+I43</f>
        <v>57758622.730000004</v>
      </c>
      <c r="J44" s="637">
        <f>+J21+J40+J43</f>
        <v>36432467.75</v>
      </c>
      <c r="K44" s="560">
        <f>+I44*100/H44</f>
        <v>61.320685890417771</v>
      </c>
      <c r="L44" s="521"/>
    </row>
    <row r="47" spans="1:16" x14ac:dyDescent="0.55000000000000004">
      <c r="H47" s="565"/>
      <c r="I47" s="565"/>
      <c r="K47" s="567"/>
      <c r="L47" s="568"/>
    </row>
  </sheetData>
  <mergeCells count="18">
    <mergeCell ref="O4:O5"/>
    <mergeCell ref="A21:G21"/>
    <mergeCell ref="A40:G40"/>
    <mergeCell ref="A1:L1"/>
    <mergeCell ref="A2:L2"/>
    <mergeCell ref="A3:L3"/>
    <mergeCell ref="B4:B5"/>
    <mergeCell ref="C4:C5"/>
    <mergeCell ref="D4:D5"/>
    <mergeCell ref="E4:E5"/>
    <mergeCell ref="F4:F5"/>
    <mergeCell ref="G4:G5"/>
    <mergeCell ref="H4:H5"/>
    <mergeCell ref="A43:G43"/>
    <mergeCell ref="A44:G44"/>
    <mergeCell ref="J4:J5"/>
    <mergeCell ref="M4:M5"/>
    <mergeCell ref="N4:N5"/>
  </mergeCells>
  <pageMargins left="0.25" right="0" top="0.75" bottom="0.75" header="0.3" footer="0.3"/>
  <pageSetup paperSize="9" scale="70" orientation="landscape" r:id="rId1"/>
  <headerFooter>
    <oddFooter>หน้าที่ &amp;P จาก 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50"/>
  </sheetPr>
  <dimension ref="A1:R193"/>
  <sheetViews>
    <sheetView zoomScale="80" zoomScaleNormal="80" workbookViewId="0">
      <selection activeCell="F12" sqref="F12"/>
    </sheetView>
  </sheetViews>
  <sheetFormatPr defaultRowHeight="27.75" x14ac:dyDescent="0.65"/>
  <cols>
    <col min="1" max="1" width="8" style="744" bestFit="1" customWidth="1"/>
    <col min="2" max="2" width="27.28515625" style="716" bestFit="1" customWidth="1"/>
    <col min="3" max="3" width="13.42578125" style="744" bestFit="1" customWidth="1"/>
    <col min="4" max="4" width="14.42578125" style="744" customWidth="1"/>
    <col min="5" max="5" width="19.5703125" style="745" bestFit="1" customWidth="1"/>
    <col min="6" max="6" width="12.42578125" style="744" bestFit="1" customWidth="1"/>
    <col min="7" max="7" width="33.42578125" style="746" customWidth="1"/>
    <col min="8" max="8" width="18.85546875" style="716" customWidth="1"/>
    <col min="9" max="9" width="17.85546875" style="716" bestFit="1" customWidth="1"/>
    <col min="10" max="10" width="17.7109375" style="748" bestFit="1" customWidth="1"/>
    <col min="11" max="11" width="8.7109375" style="743" bestFit="1" customWidth="1"/>
    <col min="12" max="12" width="30.28515625" style="751" customWidth="1"/>
    <col min="13" max="13" width="25" style="716" hidden="1" customWidth="1"/>
    <col min="14" max="15" width="12.28515625" style="716" hidden="1" customWidth="1"/>
    <col min="16" max="16" width="24.7109375" style="716" hidden="1" customWidth="1"/>
    <col min="17" max="17" width="14.140625" style="716" hidden="1" customWidth="1"/>
    <col min="18" max="64" width="0" style="716" hidden="1" customWidth="1"/>
    <col min="65" max="261" width="9.140625" style="716"/>
    <col min="262" max="262" width="6.42578125" style="716" bestFit="1" customWidth="1"/>
    <col min="263" max="263" width="32" style="716" bestFit="1" customWidth="1"/>
    <col min="264" max="264" width="14.5703125" style="716" bestFit="1" customWidth="1"/>
    <col min="265" max="265" width="12.42578125" style="716" bestFit="1" customWidth="1"/>
    <col min="266" max="266" width="51.28515625" style="716" bestFit="1" customWidth="1"/>
    <col min="267" max="267" width="14.85546875" style="716" bestFit="1" customWidth="1"/>
    <col min="268" max="268" width="25" style="716" bestFit="1" customWidth="1"/>
    <col min="269" max="270" width="12.28515625" style="716" bestFit="1" customWidth="1"/>
    <col min="271" max="271" width="24.7109375" style="716" bestFit="1" customWidth="1"/>
    <col min="272" max="272" width="15" style="716" bestFit="1" customWidth="1"/>
    <col min="273" max="517" width="9.140625" style="716"/>
    <col min="518" max="518" width="6.42578125" style="716" bestFit="1" customWidth="1"/>
    <col min="519" max="519" width="32" style="716" bestFit="1" customWidth="1"/>
    <col min="520" max="520" width="14.5703125" style="716" bestFit="1" customWidth="1"/>
    <col min="521" max="521" width="12.42578125" style="716" bestFit="1" customWidth="1"/>
    <col min="522" max="522" width="51.28515625" style="716" bestFit="1" customWidth="1"/>
    <col min="523" max="523" width="14.85546875" style="716" bestFit="1" customWidth="1"/>
    <col min="524" max="524" width="25" style="716" bestFit="1" customWidth="1"/>
    <col min="525" max="526" width="12.28515625" style="716" bestFit="1" customWidth="1"/>
    <col min="527" max="527" width="24.7109375" style="716" bestFit="1" customWidth="1"/>
    <col min="528" max="528" width="15" style="716" bestFit="1" customWidth="1"/>
    <col min="529" max="773" width="9.140625" style="716"/>
    <col min="774" max="774" width="6.42578125" style="716" bestFit="1" customWidth="1"/>
    <col min="775" max="775" width="32" style="716" bestFit="1" customWidth="1"/>
    <col min="776" max="776" width="14.5703125" style="716" bestFit="1" customWidth="1"/>
    <col min="777" max="777" width="12.42578125" style="716" bestFit="1" customWidth="1"/>
    <col min="778" max="778" width="51.28515625" style="716" bestFit="1" customWidth="1"/>
    <col min="779" max="779" width="14.85546875" style="716" bestFit="1" customWidth="1"/>
    <col min="780" max="780" width="25" style="716" bestFit="1" customWidth="1"/>
    <col min="781" max="782" width="12.28515625" style="716" bestFit="1" customWidth="1"/>
    <col min="783" max="783" width="24.7109375" style="716" bestFit="1" customWidth="1"/>
    <col min="784" max="784" width="15" style="716" bestFit="1" customWidth="1"/>
    <col min="785" max="1029" width="9.140625" style="716"/>
    <col min="1030" max="1030" width="6.42578125" style="716" bestFit="1" customWidth="1"/>
    <col min="1031" max="1031" width="32" style="716" bestFit="1" customWidth="1"/>
    <col min="1032" max="1032" width="14.5703125" style="716" bestFit="1" customWidth="1"/>
    <col min="1033" max="1033" width="12.42578125" style="716" bestFit="1" customWidth="1"/>
    <col min="1034" max="1034" width="51.28515625" style="716" bestFit="1" customWidth="1"/>
    <col min="1035" max="1035" width="14.85546875" style="716" bestFit="1" customWidth="1"/>
    <col min="1036" max="1036" width="25" style="716" bestFit="1" customWidth="1"/>
    <col min="1037" max="1038" width="12.28515625" style="716" bestFit="1" customWidth="1"/>
    <col min="1039" max="1039" width="24.7109375" style="716" bestFit="1" customWidth="1"/>
    <col min="1040" max="1040" width="15" style="716" bestFit="1" customWidth="1"/>
    <col min="1041" max="1285" width="9.140625" style="716"/>
    <col min="1286" max="1286" width="6.42578125" style="716" bestFit="1" customWidth="1"/>
    <col min="1287" max="1287" width="32" style="716" bestFit="1" customWidth="1"/>
    <col min="1288" max="1288" width="14.5703125" style="716" bestFit="1" customWidth="1"/>
    <col min="1289" max="1289" width="12.42578125" style="716" bestFit="1" customWidth="1"/>
    <col min="1290" max="1290" width="51.28515625" style="716" bestFit="1" customWidth="1"/>
    <col min="1291" max="1291" width="14.85546875" style="716" bestFit="1" customWidth="1"/>
    <col min="1292" max="1292" width="25" style="716" bestFit="1" customWidth="1"/>
    <col min="1293" max="1294" width="12.28515625" style="716" bestFit="1" customWidth="1"/>
    <col min="1295" max="1295" width="24.7109375" style="716" bestFit="1" customWidth="1"/>
    <col min="1296" max="1296" width="15" style="716" bestFit="1" customWidth="1"/>
    <col min="1297" max="1541" width="9.140625" style="716"/>
    <col min="1542" max="1542" width="6.42578125" style="716" bestFit="1" customWidth="1"/>
    <col min="1543" max="1543" width="32" style="716" bestFit="1" customWidth="1"/>
    <col min="1544" max="1544" width="14.5703125" style="716" bestFit="1" customWidth="1"/>
    <col min="1545" max="1545" width="12.42578125" style="716" bestFit="1" customWidth="1"/>
    <col min="1546" max="1546" width="51.28515625" style="716" bestFit="1" customWidth="1"/>
    <col min="1547" max="1547" width="14.85546875" style="716" bestFit="1" customWidth="1"/>
    <col min="1548" max="1548" width="25" style="716" bestFit="1" customWidth="1"/>
    <col min="1549" max="1550" width="12.28515625" style="716" bestFit="1" customWidth="1"/>
    <col min="1551" max="1551" width="24.7109375" style="716" bestFit="1" customWidth="1"/>
    <col min="1552" max="1552" width="15" style="716" bestFit="1" customWidth="1"/>
    <col min="1553" max="1797" width="9.140625" style="716"/>
    <col min="1798" max="1798" width="6.42578125" style="716" bestFit="1" customWidth="1"/>
    <col min="1799" max="1799" width="32" style="716" bestFit="1" customWidth="1"/>
    <col min="1800" max="1800" width="14.5703125" style="716" bestFit="1" customWidth="1"/>
    <col min="1801" max="1801" width="12.42578125" style="716" bestFit="1" customWidth="1"/>
    <col min="1802" max="1802" width="51.28515625" style="716" bestFit="1" customWidth="1"/>
    <col min="1803" max="1803" width="14.85546875" style="716" bestFit="1" customWidth="1"/>
    <col min="1804" max="1804" width="25" style="716" bestFit="1" customWidth="1"/>
    <col min="1805" max="1806" width="12.28515625" style="716" bestFit="1" customWidth="1"/>
    <col min="1807" max="1807" width="24.7109375" style="716" bestFit="1" customWidth="1"/>
    <col min="1808" max="1808" width="15" style="716" bestFit="1" customWidth="1"/>
    <col min="1809" max="2053" width="9.140625" style="716"/>
    <col min="2054" max="2054" width="6.42578125" style="716" bestFit="1" customWidth="1"/>
    <col min="2055" max="2055" width="32" style="716" bestFit="1" customWidth="1"/>
    <col min="2056" max="2056" width="14.5703125" style="716" bestFit="1" customWidth="1"/>
    <col min="2057" max="2057" width="12.42578125" style="716" bestFit="1" customWidth="1"/>
    <col min="2058" max="2058" width="51.28515625" style="716" bestFit="1" customWidth="1"/>
    <col min="2059" max="2059" width="14.85546875" style="716" bestFit="1" customWidth="1"/>
    <col min="2060" max="2060" width="25" style="716" bestFit="1" customWidth="1"/>
    <col min="2061" max="2062" width="12.28515625" style="716" bestFit="1" customWidth="1"/>
    <col min="2063" max="2063" width="24.7109375" style="716" bestFit="1" customWidth="1"/>
    <col min="2064" max="2064" width="15" style="716" bestFit="1" customWidth="1"/>
    <col min="2065" max="2309" width="9.140625" style="716"/>
    <col min="2310" max="2310" width="6.42578125" style="716" bestFit="1" customWidth="1"/>
    <col min="2311" max="2311" width="32" style="716" bestFit="1" customWidth="1"/>
    <col min="2312" max="2312" width="14.5703125" style="716" bestFit="1" customWidth="1"/>
    <col min="2313" max="2313" width="12.42578125" style="716" bestFit="1" customWidth="1"/>
    <col min="2314" max="2314" width="51.28515625" style="716" bestFit="1" customWidth="1"/>
    <col min="2315" max="2315" width="14.85546875" style="716" bestFit="1" customWidth="1"/>
    <col min="2316" max="2316" width="25" style="716" bestFit="1" customWidth="1"/>
    <col min="2317" max="2318" width="12.28515625" style="716" bestFit="1" customWidth="1"/>
    <col min="2319" max="2319" width="24.7109375" style="716" bestFit="1" customWidth="1"/>
    <col min="2320" max="2320" width="15" style="716" bestFit="1" customWidth="1"/>
    <col min="2321" max="2565" width="9.140625" style="716"/>
    <col min="2566" max="2566" width="6.42578125" style="716" bestFit="1" customWidth="1"/>
    <col min="2567" max="2567" width="32" style="716" bestFit="1" customWidth="1"/>
    <col min="2568" max="2568" width="14.5703125" style="716" bestFit="1" customWidth="1"/>
    <col min="2569" max="2569" width="12.42578125" style="716" bestFit="1" customWidth="1"/>
    <col min="2570" max="2570" width="51.28515625" style="716" bestFit="1" customWidth="1"/>
    <col min="2571" max="2571" width="14.85546875" style="716" bestFit="1" customWidth="1"/>
    <col min="2572" max="2572" width="25" style="716" bestFit="1" customWidth="1"/>
    <col min="2573" max="2574" width="12.28515625" style="716" bestFit="1" customWidth="1"/>
    <col min="2575" max="2575" width="24.7109375" style="716" bestFit="1" customWidth="1"/>
    <col min="2576" max="2576" width="15" style="716" bestFit="1" customWidth="1"/>
    <col min="2577" max="2821" width="9.140625" style="716"/>
    <col min="2822" max="2822" width="6.42578125" style="716" bestFit="1" customWidth="1"/>
    <col min="2823" max="2823" width="32" style="716" bestFit="1" customWidth="1"/>
    <col min="2824" max="2824" width="14.5703125" style="716" bestFit="1" customWidth="1"/>
    <col min="2825" max="2825" width="12.42578125" style="716" bestFit="1" customWidth="1"/>
    <col min="2826" max="2826" width="51.28515625" style="716" bestFit="1" customWidth="1"/>
    <col min="2827" max="2827" width="14.85546875" style="716" bestFit="1" customWidth="1"/>
    <col min="2828" max="2828" width="25" style="716" bestFit="1" customWidth="1"/>
    <col min="2829" max="2830" width="12.28515625" style="716" bestFit="1" customWidth="1"/>
    <col min="2831" max="2831" width="24.7109375" style="716" bestFit="1" customWidth="1"/>
    <col min="2832" max="2832" width="15" style="716" bestFit="1" customWidth="1"/>
    <col min="2833" max="3077" width="9.140625" style="716"/>
    <col min="3078" max="3078" width="6.42578125" style="716" bestFit="1" customWidth="1"/>
    <col min="3079" max="3079" width="32" style="716" bestFit="1" customWidth="1"/>
    <col min="3080" max="3080" width="14.5703125" style="716" bestFit="1" customWidth="1"/>
    <col min="3081" max="3081" width="12.42578125" style="716" bestFit="1" customWidth="1"/>
    <col min="3082" max="3082" width="51.28515625" style="716" bestFit="1" customWidth="1"/>
    <col min="3083" max="3083" width="14.85546875" style="716" bestFit="1" customWidth="1"/>
    <col min="3084" max="3084" width="25" style="716" bestFit="1" customWidth="1"/>
    <col min="3085" max="3086" width="12.28515625" style="716" bestFit="1" customWidth="1"/>
    <col min="3087" max="3087" width="24.7109375" style="716" bestFit="1" customWidth="1"/>
    <col min="3088" max="3088" width="15" style="716" bestFit="1" customWidth="1"/>
    <col min="3089" max="3333" width="9.140625" style="716"/>
    <col min="3334" max="3334" width="6.42578125" style="716" bestFit="1" customWidth="1"/>
    <col min="3335" max="3335" width="32" style="716" bestFit="1" customWidth="1"/>
    <col min="3336" max="3336" width="14.5703125" style="716" bestFit="1" customWidth="1"/>
    <col min="3337" max="3337" width="12.42578125" style="716" bestFit="1" customWidth="1"/>
    <col min="3338" max="3338" width="51.28515625" style="716" bestFit="1" customWidth="1"/>
    <col min="3339" max="3339" width="14.85546875" style="716" bestFit="1" customWidth="1"/>
    <col min="3340" max="3340" width="25" style="716" bestFit="1" customWidth="1"/>
    <col min="3341" max="3342" width="12.28515625" style="716" bestFit="1" customWidth="1"/>
    <col min="3343" max="3343" width="24.7109375" style="716" bestFit="1" customWidth="1"/>
    <col min="3344" max="3344" width="15" style="716" bestFit="1" customWidth="1"/>
    <col min="3345" max="3589" width="9.140625" style="716"/>
    <col min="3590" max="3590" width="6.42578125" style="716" bestFit="1" customWidth="1"/>
    <col min="3591" max="3591" width="32" style="716" bestFit="1" customWidth="1"/>
    <col min="3592" max="3592" width="14.5703125" style="716" bestFit="1" customWidth="1"/>
    <col min="3593" max="3593" width="12.42578125" style="716" bestFit="1" customWidth="1"/>
    <col min="3594" max="3594" width="51.28515625" style="716" bestFit="1" customWidth="1"/>
    <col min="3595" max="3595" width="14.85546875" style="716" bestFit="1" customWidth="1"/>
    <col min="3596" max="3596" width="25" style="716" bestFit="1" customWidth="1"/>
    <col min="3597" max="3598" width="12.28515625" style="716" bestFit="1" customWidth="1"/>
    <col min="3599" max="3599" width="24.7109375" style="716" bestFit="1" customWidth="1"/>
    <col min="3600" max="3600" width="15" style="716" bestFit="1" customWidth="1"/>
    <col min="3601" max="3845" width="9.140625" style="716"/>
    <col min="3846" max="3846" width="6.42578125" style="716" bestFit="1" customWidth="1"/>
    <col min="3847" max="3847" width="32" style="716" bestFit="1" customWidth="1"/>
    <col min="3848" max="3848" width="14.5703125" style="716" bestFit="1" customWidth="1"/>
    <col min="3849" max="3849" width="12.42578125" style="716" bestFit="1" customWidth="1"/>
    <col min="3850" max="3850" width="51.28515625" style="716" bestFit="1" customWidth="1"/>
    <col min="3851" max="3851" width="14.85546875" style="716" bestFit="1" customWidth="1"/>
    <col min="3852" max="3852" width="25" style="716" bestFit="1" customWidth="1"/>
    <col min="3853" max="3854" width="12.28515625" style="716" bestFit="1" customWidth="1"/>
    <col min="3855" max="3855" width="24.7109375" style="716" bestFit="1" customWidth="1"/>
    <col min="3856" max="3856" width="15" style="716" bestFit="1" customWidth="1"/>
    <col min="3857" max="4101" width="9.140625" style="716"/>
    <col min="4102" max="4102" width="6.42578125" style="716" bestFit="1" customWidth="1"/>
    <col min="4103" max="4103" width="32" style="716" bestFit="1" customWidth="1"/>
    <col min="4104" max="4104" width="14.5703125" style="716" bestFit="1" customWidth="1"/>
    <col min="4105" max="4105" width="12.42578125" style="716" bestFit="1" customWidth="1"/>
    <col min="4106" max="4106" width="51.28515625" style="716" bestFit="1" customWidth="1"/>
    <col min="4107" max="4107" width="14.85546875" style="716" bestFit="1" customWidth="1"/>
    <col min="4108" max="4108" width="25" style="716" bestFit="1" customWidth="1"/>
    <col min="4109" max="4110" width="12.28515625" style="716" bestFit="1" customWidth="1"/>
    <col min="4111" max="4111" width="24.7109375" style="716" bestFit="1" customWidth="1"/>
    <col min="4112" max="4112" width="15" style="716" bestFit="1" customWidth="1"/>
    <col min="4113" max="4357" width="9.140625" style="716"/>
    <col min="4358" max="4358" width="6.42578125" style="716" bestFit="1" customWidth="1"/>
    <col min="4359" max="4359" width="32" style="716" bestFit="1" customWidth="1"/>
    <col min="4360" max="4360" width="14.5703125" style="716" bestFit="1" customWidth="1"/>
    <col min="4361" max="4361" width="12.42578125" style="716" bestFit="1" customWidth="1"/>
    <col min="4362" max="4362" width="51.28515625" style="716" bestFit="1" customWidth="1"/>
    <col min="4363" max="4363" width="14.85546875" style="716" bestFit="1" customWidth="1"/>
    <col min="4364" max="4364" width="25" style="716" bestFit="1" customWidth="1"/>
    <col min="4365" max="4366" width="12.28515625" style="716" bestFit="1" customWidth="1"/>
    <col min="4367" max="4367" width="24.7109375" style="716" bestFit="1" customWidth="1"/>
    <col min="4368" max="4368" width="15" style="716" bestFit="1" customWidth="1"/>
    <col min="4369" max="4613" width="9.140625" style="716"/>
    <col min="4614" max="4614" width="6.42578125" style="716" bestFit="1" customWidth="1"/>
    <col min="4615" max="4615" width="32" style="716" bestFit="1" customWidth="1"/>
    <col min="4616" max="4616" width="14.5703125" style="716" bestFit="1" customWidth="1"/>
    <col min="4617" max="4617" width="12.42578125" style="716" bestFit="1" customWidth="1"/>
    <col min="4618" max="4618" width="51.28515625" style="716" bestFit="1" customWidth="1"/>
    <col min="4619" max="4619" width="14.85546875" style="716" bestFit="1" customWidth="1"/>
    <col min="4620" max="4620" width="25" style="716" bestFit="1" customWidth="1"/>
    <col min="4621" max="4622" width="12.28515625" style="716" bestFit="1" customWidth="1"/>
    <col min="4623" max="4623" width="24.7109375" style="716" bestFit="1" customWidth="1"/>
    <col min="4624" max="4624" width="15" style="716" bestFit="1" customWidth="1"/>
    <col min="4625" max="4869" width="9.140625" style="716"/>
    <col min="4870" max="4870" width="6.42578125" style="716" bestFit="1" customWidth="1"/>
    <col min="4871" max="4871" width="32" style="716" bestFit="1" customWidth="1"/>
    <col min="4872" max="4872" width="14.5703125" style="716" bestFit="1" customWidth="1"/>
    <col min="4873" max="4873" width="12.42578125" style="716" bestFit="1" customWidth="1"/>
    <col min="4874" max="4874" width="51.28515625" style="716" bestFit="1" customWidth="1"/>
    <col min="4875" max="4875" width="14.85546875" style="716" bestFit="1" customWidth="1"/>
    <col min="4876" max="4876" width="25" style="716" bestFit="1" customWidth="1"/>
    <col min="4877" max="4878" width="12.28515625" style="716" bestFit="1" customWidth="1"/>
    <col min="4879" max="4879" width="24.7109375" style="716" bestFit="1" customWidth="1"/>
    <col min="4880" max="4880" width="15" style="716" bestFit="1" customWidth="1"/>
    <col min="4881" max="5125" width="9.140625" style="716"/>
    <col min="5126" max="5126" width="6.42578125" style="716" bestFit="1" customWidth="1"/>
    <col min="5127" max="5127" width="32" style="716" bestFit="1" customWidth="1"/>
    <col min="5128" max="5128" width="14.5703125" style="716" bestFit="1" customWidth="1"/>
    <col min="5129" max="5129" width="12.42578125" style="716" bestFit="1" customWidth="1"/>
    <col min="5130" max="5130" width="51.28515625" style="716" bestFit="1" customWidth="1"/>
    <col min="5131" max="5131" width="14.85546875" style="716" bestFit="1" customWidth="1"/>
    <col min="5132" max="5132" width="25" style="716" bestFit="1" customWidth="1"/>
    <col min="5133" max="5134" width="12.28515625" style="716" bestFit="1" customWidth="1"/>
    <col min="5135" max="5135" width="24.7109375" style="716" bestFit="1" customWidth="1"/>
    <col min="5136" max="5136" width="15" style="716" bestFit="1" customWidth="1"/>
    <col min="5137" max="5381" width="9.140625" style="716"/>
    <col min="5382" max="5382" width="6.42578125" style="716" bestFit="1" customWidth="1"/>
    <col min="5383" max="5383" width="32" style="716" bestFit="1" customWidth="1"/>
    <col min="5384" max="5384" width="14.5703125" style="716" bestFit="1" customWidth="1"/>
    <col min="5385" max="5385" width="12.42578125" style="716" bestFit="1" customWidth="1"/>
    <col min="5386" max="5386" width="51.28515625" style="716" bestFit="1" customWidth="1"/>
    <col min="5387" max="5387" width="14.85546875" style="716" bestFit="1" customWidth="1"/>
    <col min="5388" max="5388" width="25" style="716" bestFit="1" customWidth="1"/>
    <col min="5389" max="5390" width="12.28515625" style="716" bestFit="1" customWidth="1"/>
    <col min="5391" max="5391" width="24.7109375" style="716" bestFit="1" customWidth="1"/>
    <col min="5392" max="5392" width="15" style="716" bestFit="1" customWidth="1"/>
    <col min="5393" max="5637" width="9.140625" style="716"/>
    <col min="5638" max="5638" width="6.42578125" style="716" bestFit="1" customWidth="1"/>
    <col min="5639" max="5639" width="32" style="716" bestFit="1" customWidth="1"/>
    <col min="5640" max="5640" width="14.5703125" style="716" bestFit="1" customWidth="1"/>
    <col min="5641" max="5641" width="12.42578125" style="716" bestFit="1" customWidth="1"/>
    <col min="5642" max="5642" width="51.28515625" style="716" bestFit="1" customWidth="1"/>
    <col min="5643" max="5643" width="14.85546875" style="716" bestFit="1" customWidth="1"/>
    <col min="5644" max="5644" width="25" style="716" bestFit="1" customWidth="1"/>
    <col min="5645" max="5646" width="12.28515625" style="716" bestFit="1" customWidth="1"/>
    <col min="5647" max="5647" width="24.7109375" style="716" bestFit="1" customWidth="1"/>
    <col min="5648" max="5648" width="15" style="716" bestFit="1" customWidth="1"/>
    <col min="5649" max="5893" width="9.140625" style="716"/>
    <col min="5894" max="5894" width="6.42578125" style="716" bestFit="1" customWidth="1"/>
    <col min="5895" max="5895" width="32" style="716" bestFit="1" customWidth="1"/>
    <col min="5896" max="5896" width="14.5703125" style="716" bestFit="1" customWidth="1"/>
    <col min="5897" max="5897" width="12.42578125" style="716" bestFit="1" customWidth="1"/>
    <col min="5898" max="5898" width="51.28515625" style="716" bestFit="1" customWidth="1"/>
    <col min="5899" max="5899" width="14.85546875" style="716" bestFit="1" customWidth="1"/>
    <col min="5900" max="5900" width="25" style="716" bestFit="1" customWidth="1"/>
    <col min="5901" max="5902" width="12.28515625" style="716" bestFit="1" customWidth="1"/>
    <col min="5903" max="5903" width="24.7109375" style="716" bestFit="1" customWidth="1"/>
    <col min="5904" max="5904" width="15" style="716" bestFit="1" customWidth="1"/>
    <col min="5905" max="6149" width="9.140625" style="716"/>
    <col min="6150" max="6150" width="6.42578125" style="716" bestFit="1" customWidth="1"/>
    <col min="6151" max="6151" width="32" style="716" bestFit="1" customWidth="1"/>
    <col min="6152" max="6152" width="14.5703125" style="716" bestFit="1" customWidth="1"/>
    <col min="6153" max="6153" width="12.42578125" style="716" bestFit="1" customWidth="1"/>
    <col min="6154" max="6154" width="51.28515625" style="716" bestFit="1" customWidth="1"/>
    <col min="6155" max="6155" width="14.85546875" style="716" bestFit="1" customWidth="1"/>
    <col min="6156" max="6156" width="25" style="716" bestFit="1" customWidth="1"/>
    <col min="6157" max="6158" width="12.28515625" style="716" bestFit="1" customWidth="1"/>
    <col min="6159" max="6159" width="24.7109375" style="716" bestFit="1" customWidth="1"/>
    <col min="6160" max="6160" width="15" style="716" bestFit="1" customWidth="1"/>
    <col min="6161" max="6405" width="9.140625" style="716"/>
    <col min="6406" max="6406" width="6.42578125" style="716" bestFit="1" customWidth="1"/>
    <col min="6407" max="6407" width="32" style="716" bestFit="1" customWidth="1"/>
    <col min="6408" max="6408" width="14.5703125" style="716" bestFit="1" customWidth="1"/>
    <col min="6409" max="6409" width="12.42578125" style="716" bestFit="1" customWidth="1"/>
    <col min="6410" max="6410" width="51.28515625" style="716" bestFit="1" customWidth="1"/>
    <col min="6411" max="6411" width="14.85546875" style="716" bestFit="1" customWidth="1"/>
    <col min="6412" max="6412" width="25" style="716" bestFit="1" customWidth="1"/>
    <col min="6413" max="6414" width="12.28515625" style="716" bestFit="1" customWidth="1"/>
    <col min="6415" max="6415" width="24.7109375" style="716" bestFit="1" customWidth="1"/>
    <col min="6416" max="6416" width="15" style="716" bestFit="1" customWidth="1"/>
    <col min="6417" max="6661" width="9.140625" style="716"/>
    <col min="6662" max="6662" width="6.42578125" style="716" bestFit="1" customWidth="1"/>
    <col min="6663" max="6663" width="32" style="716" bestFit="1" customWidth="1"/>
    <col min="6664" max="6664" width="14.5703125" style="716" bestFit="1" customWidth="1"/>
    <col min="6665" max="6665" width="12.42578125" style="716" bestFit="1" customWidth="1"/>
    <col min="6666" max="6666" width="51.28515625" style="716" bestFit="1" customWidth="1"/>
    <col min="6667" max="6667" width="14.85546875" style="716" bestFit="1" customWidth="1"/>
    <col min="6668" max="6668" width="25" style="716" bestFit="1" customWidth="1"/>
    <col min="6669" max="6670" width="12.28515625" style="716" bestFit="1" customWidth="1"/>
    <col min="6671" max="6671" width="24.7109375" style="716" bestFit="1" customWidth="1"/>
    <col min="6672" max="6672" width="15" style="716" bestFit="1" customWidth="1"/>
    <col min="6673" max="6917" width="9.140625" style="716"/>
    <col min="6918" max="6918" width="6.42578125" style="716" bestFit="1" customWidth="1"/>
    <col min="6919" max="6919" width="32" style="716" bestFit="1" customWidth="1"/>
    <col min="6920" max="6920" width="14.5703125" style="716" bestFit="1" customWidth="1"/>
    <col min="6921" max="6921" width="12.42578125" style="716" bestFit="1" customWidth="1"/>
    <col min="6922" max="6922" width="51.28515625" style="716" bestFit="1" customWidth="1"/>
    <col min="6923" max="6923" width="14.85546875" style="716" bestFit="1" customWidth="1"/>
    <col min="6924" max="6924" width="25" style="716" bestFit="1" customWidth="1"/>
    <col min="6925" max="6926" width="12.28515625" style="716" bestFit="1" customWidth="1"/>
    <col min="6927" max="6927" width="24.7109375" style="716" bestFit="1" customWidth="1"/>
    <col min="6928" max="6928" width="15" style="716" bestFit="1" customWidth="1"/>
    <col min="6929" max="7173" width="9.140625" style="716"/>
    <col min="7174" max="7174" width="6.42578125" style="716" bestFit="1" customWidth="1"/>
    <col min="7175" max="7175" width="32" style="716" bestFit="1" customWidth="1"/>
    <col min="7176" max="7176" width="14.5703125" style="716" bestFit="1" customWidth="1"/>
    <col min="7177" max="7177" width="12.42578125" style="716" bestFit="1" customWidth="1"/>
    <col min="7178" max="7178" width="51.28515625" style="716" bestFit="1" customWidth="1"/>
    <col min="7179" max="7179" width="14.85546875" style="716" bestFit="1" customWidth="1"/>
    <col min="7180" max="7180" width="25" style="716" bestFit="1" customWidth="1"/>
    <col min="7181" max="7182" width="12.28515625" style="716" bestFit="1" customWidth="1"/>
    <col min="7183" max="7183" width="24.7109375" style="716" bestFit="1" customWidth="1"/>
    <col min="7184" max="7184" width="15" style="716" bestFit="1" customWidth="1"/>
    <col min="7185" max="7429" width="9.140625" style="716"/>
    <col min="7430" max="7430" width="6.42578125" style="716" bestFit="1" customWidth="1"/>
    <col min="7431" max="7431" width="32" style="716" bestFit="1" customWidth="1"/>
    <col min="7432" max="7432" width="14.5703125" style="716" bestFit="1" customWidth="1"/>
    <col min="7433" max="7433" width="12.42578125" style="716" bestFit="1" customWidth="1"/>
    <col min="7434" max="7434" width="51.28515625" style="716" bestFit="1" customWidth="1"/>
    <col min="7435" max="7435" width="14.85546875" style="716" bestFit="1" customWidth="1"/>
    <col min="7436" max="7436" width="25" style="716" bestFit="1" customWidth="1"/>
    <col min="7437" max="7438" width="12.28515625" style="716" bestFit="1" customWidth="1"/>
    <col min="7439" max="7439" width="24.7109375" style="716" bestFit="1" customWidth="1"/>
    <col min="7440" max="7440" width="15" style="716" bestFit="1" customWidth="1"/>
    <col min="7441" max="7685" width="9.140625" style="716"/>
    <col min="7686" max="7686" width="6.42578125" style="716" bestFit="1" customWidth="1"/>
    <col min="7687" max="7687" width="32" style="716" bestFit="1" customWidth="1"/>
    <col min="7688" max="7688" width="14.5703125" style="716" bestFit="1" customWidth="1"/>
    <col min="7689" max="7689" width="12.42578125" style="716" bestFit="1" customWidth="1"/>
    <col min="7690" max="7690" width="51.28515625" style="716" bestFit="1" customWidth="1"/>
    <col min="7691" max="7691" width="14.85546875" style="716" bestFit="1" customWidth="1"/>
    <col min="7692" max="7692" width="25" style="716" bestFit="1" customWidth="1"/>
    <col min="7693" max="7694" width="12.28515625" style="716" bestFit="1" customWidth="1"/>
    <col min="7695" max="7695" width="24.7109375" style="716" bestFit="1" customWidth="1"/>
    <col min="7696" max="7696" width="15" style="716" bestFit="1" customWidth="1"/>
    <col min="7697" max="7941" width="9.140625" style="716"/>
    <col min="7942" max="7942" width="6.42578125" style="716" bestFit="1" customWidth="1"/>
    <col min="7943" max="7943" width="32" style="716" bestFit="1" customWidth="1"/>
    <col min="7944" max="7944" width="14.5703125" style="716" bestFit="1" customWidth="1"/>
    <col min="7945" max="7945" width="12.42578125" style="716" bestFit="1" customWidth="1"/>
    <col min="7946" max="7946" width="51.28515625" style="716" bestFit="1" customWidth="1"/>
    <col min="7947" max="7947" width="14.85546875" style="716" bestFit="1" customWidth="1"/>
    <col min="7948" max="7948" width="25" style="716" bestFit="1" customWidth="1"/>
    <col min="7949" max="7950" width="12.28515625" style="716" bestFit="1" customWidth="1"/>
    <col min="7951" max="7951" width="24.7109375" style="716" bestFit="1" customWidth="1"/>
    <col min="7952" max="7952" width="15" style="716" bestFit="1" customWidth="1"/>
    <col min="7953" max="8197" width="9.140625" style="716"/>
    <col min="8198" max="8198" width="6.42578125" style="716" bestFit="1" customWidth="1"/>
    <col min="8199" max="8199" width="32" style="716" bestFit="1" customWidth="1"/>
    <col min="8200" max="8200" width="14.5703125" style="716" bestFit="1" customWidth="1"/>
    <col min="8201" max="8201" width="12.42578125" style="716" bestFit="1" customWidth="1"/>
    <col min="8202" max="8202" width="51.28515625" style="716" bestFit="1" customWidth="1"/>
    <col min="8203" max="8203" width="14.85546875" style="716" bestFit="1" customWidth="1"/>
    <col min="8204" max="8204" width="25" style="716" bestFit="1" customWidth="1"/>
    <col min="8205" max="8206" width="12.28515625" style="716" bestFit="1" customWidth="1"/>
    <col min="8207" max="8207" width="24.7109375" style="716" bestFit="1" customWidth="1"/>
    <col min="8208" max="8208" width="15" style="716" bestFit="1" customWidth="1"/>
    <col min="8209" max="8453" width="9.140625" style="716"/>
    <col min="8454" max="8454" width="6.42578125" style="716" bestFit="1" customWidth="1"/>
    <col min="8455" max="8455" width="32" style="716" bestFit="1" customWidth="1"/>
    <col min="8456" max="8456" width="14.5703125" style="716" bestFit="1" customWidth="1"/>
    <col min="8457" max="8457" width="12.42578125" style="716" bestFit="1" customWidth="1"/>
    <col min="8458" max="8458" width="51.28515625" style="716" bestFit="1" customWidth="1"/>
    <col min="8459" max="8459" width="14.85546875" style="716" bestFit="1" customWidth="1"/>
    <col min="8460" max="8460" width="25" style="716" bestFit="1" customWidth="1"/>
    <col min="8461" max="8462" width="12.28515625" style="716" bestFit="1" customWidth="1"/>
    <col min="8463" max="8463" width="24.7109375" style="716" bestFit="1" customWidth="1"/>
    <col min="8464" max="8464" width="15" style="716" bestFit="1" customWidth="1"/>
    <col min="8465" max="8709" width="9.140625" style="716"/>
    <col min="8710" max="8710" width="6.42578125" style="716" bestFit="1" customWidth="1"/>
    <col min="8711" max="8711" width="32" style="716" bestFit="1" customWidth="1"/>
    <col min="8712" max="8712" width="14.5703125" style="716" bestFit="1" customWidth="1"/>
    <col min="8713" max="8713" width="12.42578125" style="716" bestFit="1" customWidth="1"/>
    <col min="8714" max="8714" width="51.28515625" style="716" bestFit="1" customWidth="1"/>
    <col min="8715" max="8715" width="14.85546875" style="716" bestFit="1" customWidth="1"/>
    <col min="8716" max="8716" width="25" style="716" bestFit="1" customWidth="1"/>
    <col min="8717" max="8718" width="12.28515625" style="716" bestFit="1" customWidth="1"/>
    <col min="8719" max="8719" width="24.7109375" style="716" bestFit="1" customWidth="1"/>
    <col min="8720" max="8720" width="15" style="716" bestFit="1" customWidth="1"/>
    <col min="8721" max="8965" width="9.140625" style="716"/>
    <col min="8966" max="8966" width="6.42578125" style="716" bestFit="1" customWidth="1"/>
    <col min="8967" max="8967" width="32" style="716" bestFit="1" customWidth="1"/>
    <col min="8968" max="8968" width="14.5703125" style="716" bestFit="1" customWidth="1"/>
    <col min="8969" max="8969" width="12.42578125" style="716" bestFit="1" customWidth="1"/>
    <col min="8970" max="8970" width="51.28515625" style="716" bestFit="1" customWidth="1"/>
    <col min="8971" max="8971" width="14.85546875" style="716" bestFit="1" customWidth="1"/>
    <col min="8972" max="8972" width="25" style="716" bestFit="1" customWidth="1"/>
    <col min="8973" max="8974" width="12.28515625" style="716" bestFit="1" customWidth="1"/>
    <col min="8975" max="8975" width="24.7109375" style="716" bestFit="1" customWidth="1"/>
    <col min="8976" max="8976" width="15" style="716" bestFit="1" customWidth="1"/>
    <col min="8977" max="9221" width="9.140625" style="716"/>
    <col min="9222" max="9222" width="6.42578125" style="716" bestFit="1" customWidth="1"/>
    <col min="9223" max="9223" width="32" style="716" bestFit="1" customWidth="1"/>
    <col min="9224" max="9224" width="14.5703125" style="716" bestFit="1" customWidth="1"/>
    <col min="9225" max="9225" width="12.42578125" style="716" bestFit="1" customWidth="1"/>
    <col min="9226" max="9226" width="51.28515625" style="716" bestFit="1" customWidth="1"/>
    <col min="9227" max="9227" width="14.85546875" style="716" bestFit="1" customWidth="1"/>
    <col min="9228" max="9228" width="25" style="716" bestFit="1" customWidth="1"/>
    <col min="9229" max="9230" width="12.28515625" style="716" bestFit="1" customWidth="1"/>
    <col min="9231" max="9231" width="24.7109375" style="716" bestFit="1" customWidth="1"/>
    <col min="9232" max="9232" width="15" style="716" bestFit="1" customWidth="1"/>
    <col min="9233" max="9477" width="9.140625" style="716"/>
    <col min="9478" max="9478" width="6.42578125" style="716" bestFit="1" customWidth="1"/>
    <col min="9479" max="9479" width="32" style="716" bestFit="1" customWidth="1"/>
    <col min="9480" max="9480" width="14.5703125" style="716" bestFit="1" customWidth="1"/>
    <col min="9481" max="9481" width="12.42578125" style="716" bestFit="1" customWidth="1"/>
    <col min="9482" max="9482" width="51.28515625" style="716" bestFit="1" customWidth="1"/>
    <col min="9483" max="9483" width="14.85546875" style="716" bestFit="1" customWidth="1"/>
    <col min="9484" max="9484" width="25" style="716" bestFit="1" customWidth="1"/>
    <col min="9485" max="9486" width="12.28515625" style="716" bestFit="1" customWidth="1"/>
    <col min="9487" max="9487" width="24.7109375" style="716" bestFit="1" customWidth="1"/>
    <col min="9488" max="9488" width="15" style="716" bestFit="1" customWidth="1"/>
    <col min="9489" max="9733" width="9.140625" style="716"/>
    <col min="9734" max="9734" width="6.42578125" style="716" bestFit="1" customWidth="1"/>
    <col min="9735" max="9735" width="32" style="716" bestFit="1" customWidth="1"/>
    <col min="9736" max="9736" width="14.5703125" style="716" bestFit="1" customWidth="1"/>
    <col min="9737" max="9737" width="12.42578125" style="716" bestFit="1" customWidth="1"/>
    <col min="9738" max="9738" width="51.28515625" style="716" bestFit="1" customWidth="1"/>
    <col min="9739" max="9739" width="14.85546875" style="716" bestFit="1" customWidth="1"/>
    <col min="9740" max="9740" width="25" style="716" bestFit="1" customWidth="1"/>
    <col min="9741" max="9742" width="12.28515625" style="716" bestFit="1" customWidth="1"/>
    <col min="9743" max="9743" width="24.7109375" style="716" bestFit="1" customWidth="1"/>
    <col min="9744" max="9744" width="15" style="716" bestFit="1" customWidth="1"/>
    <col min="9745" max="9989" width="9.140625" style="716"/>
    <col min="9990" max="9990" width="6.42578125" style="716" bestFit="1" customWidth="1"/>
    <col min="9991" max="9991" width="32" style="716" bestFit="1" customWidth="1"/>
    <col min="9992" max="9992" width="14.5703125" style="716" bestFit="1" customWidth="1"/>
    <col min="9993" max="9993" width="12.42578125" style="716" bestFit="1" customWidth="1"/>
    <col min="9994" max="9994" width="51.28515625" style="716" bestFit="1" customWidth="1"/>
    <col min="9995" max="9995" width="14.85546875" style="716" bestFit="1" customWidth="1"/>
    <col min="9996" max="9996" width="25" style="716" bestFit="1" customWidth="1"/>
    <col min="9997" max="9998" width="12.28515625" style="716" bestFit="1" customWidth="1"/>
    <col min="9999" max="9999" width="24.7109375" style="716" bestFit="1" customWidth="1"/>
    <col min="10000" max="10000" width="15" style="716" bestFit="1" customWidth="1"/>
    <col min="10001" max="10245" width="9.140625" style="716"/>
    <col min="10246" max="10246" width="6.42578125" style="716" bestFit="1" customWidth="1"/>
    <col min="10247" max="10247" width="32" style="716" bestFit="1" customWidth="1"/>
    <col min="10248" max="10248" width="14.5703125" style="716" bestFit="1" customWidth="1"/>
    <col min="10249" max="10249" width="12.42578125" style="716" bestFit="1" customWidth="1"/>
    <col min="10250" max="10250" width="51.28515625" style="716" bestFit="1" customWidth="1"/>
    <col min="10251" max="10251" width="14.85546875" style="716" bestFit="1" customWidth="1"/>
    <col min="10252" max="10252" width="25" style="716" bestFit="1" customWidth="1"/>
    <col min="10253" max="10254" width="12.28515625" style="716" bestFit="1" customWidth="1"/>
    <col min="10255" max="10255" width="24.7109375" style="716" bestFit="1" customWidth="1"/>
    <col min="10256" max="10256" width="15" style="716" bestFit="1" customWidth="1"/>
    <col min="10257" max="10501" width="9.140625" style="716"/>
    <col min="10502" max="10502" width="6.42578125" style="716" bestFit="1" customWidth="1"/>
    <col min="10503" max="10503" width="32" style="716" bestFit="1" customWidth="1"/>
    <col min="10504" max="10504" width="14.5703125" style="716" bestFit="1" customWidth="1"/>
    <col min="10505" max="10505" width="12.42578125" style="716" bestFit="1" customWidth="1"/>
    <col min="10506" max="10506" width="51.28515625" style="716" bestFit="1" customWidth="1"/>
    <col min="10507" max="10507" width="14.85546875" style="716" bestFit="1" customWidth="1"/>
    <col min="10508" max="10508" width="25" style="716" bestFit="1" customWidth="1"/>
    <col min="10509" max="10510" width="12.28515625" style="716" bestFit="1" customWidth="1"/>
    <col min="10511" max="10511" width="24.7109375" style="716" bestFit="1" customWidth="1"/>
    <col min="10512" max="10512" width="15" style="716" bestFit="1" customWidth="1"/>
    <col min="10513" max="10757" width="9.140625" style="716"/>
    <col min="10758" max="10758" width="6.42578125" style="716" bestFit="1" customWidth="1"/>
    <col min="10759" max="10759" width="32" style="716" bestFit="1" customWidth="1"/>
    <col min="10760" max="10760" width="14.5703125" style="716" bestFit="1" customWidth="1"/>
    <col min="10761" max="10761" width="12.42578125" style="716" bestFit="1" customWidth="1"/>
    <col min="10762" max="10762" width="51.28515625" style="716" bestFit="1" customWidth="1"/>
    <col min="10763" max="10763" width="14.85546875" style="716" bestFit="1" customWidth="1"/>
    <col min="10764" max="10764" width="25" style="716" bestFit="1" customWidth="1"/>
    <col min="10765" max="10766" width="12.28515625" style="716" bestFit="1" customWidth="1"/>
    <col min="10767" max="10767" width="24.7109375" style="716" bestFit="1" customWidth="1"/>
    <col min="10768" max="10768" width="15" style="716" bestFit="1" customWidth="1"/>
    <col min="10769" max="11013" width="9.140625" style="716"/>
    <col min="11014" max="11014" width="6.42578125" style="716" bestFit="1" customWidth="1"/>
    <col min="11015" max="11015" width="32" style="716" bestFit="1" customWidth="1"/>
    <col min="11016" max="11016" width="14.5703125" style="716" bestFit="1" customWidth="1"/>
    <col min="11017" max="11017" width="12.42578125" style="716" bestFit="1" customWidth="1"/>
    <col min="11018" max="11018" width="51.28515625" style="716" bestFit="1" customWidth="1"/>
    <col min="11019" max="11019" width="14.85546875" style="716" bestFit="1" customWidth="1"/>
    <col min="11020" max="11020" width="25" style="716" bestFit="1" customWidth="1"/>
    <col min="11021" max="11022" width="12.28515625" style="716" bestFit="1" customWidth="1"/>
    <col min="11023" max="11023" width="24.7109375" style="716" bestFit="1" customWidth="1"/>
    <col min="11024" max="11024" width="15" style="716" bestFit="1" customWidth="1"/>
    <col min="11025" max="11269" width="9.140625" style="716"/>
    <col min="11270" max="11270" width="6.42578125" style="716" bestFit="1" customWidth="1"/>
    <col min="11271" max="11271" width="32" style="716" bestFit="1" customWidth="1"/>
    <col min="11272" max="11272" width="14.5703125" style="716" bestFit="1" customWidth="1"/>
    <col min="11273" max="11273" width="12.42578125" style="716" bestFit="1" customWidth="1"/>
    <col min="11274" max="11274" width="51.28515625" style="716" bestFit="1" customWidth="1"/>
    <col min="11275" max="11275" width="14.85546875" style="716" bestFit="1" customWidth="1"/>
    <col min="11276" max="11276" width="25" style="716" bestFit="1" customWidth="1"/>
    <col min="11277" max="11278" width="12.28515625" style="716" bestFit="1" customWidth="1"/>
    <col min="11279" max="11279" width="24.7109375" style="716" bestFit="1" customWidth="1"/>
    <col min="11280" max="11280" width="15" style="716" bestFit="1" customWidth="1"/>
    <col min="11281" max="11525" width="9.140625" style="716"/>
    <col min="11526" max="11526" width="6.42578125" style="716" bestFit="1" customWidth="1"/>
    <col min="11527" max="11527" width="32" style="716" bestFit="1" customWidth="1"/>
    <col min="11528" max="11528" width="14.5703125" style="716" bestFit="1" customWidth="1"/>
    <col min="11529" max="11529" width="12.42578125" style="716" bestFit="1" customWidth="1"/>
    <col min="11530" max="11530" width="51.28515625" style="716" bestFit="1" customWidth="1"/>
    <col min="11531" max="11531" width="14.85546875" style="716" bestFit="1" customWidth="1"/>
    <col min="11532" max="11532" width="25" style="716" bestFit="1" customWidth="1"/>
    <col min="11533" max="11534" width="12.28515625" style="716" bestFit="1" customWidth="1"/>
    <col min="11535" max="11535" width="24.7109375" style="716" bestFit="1" customWidth="1"/>
    <col min="11536" max="11536" width="15" style="716" bestFit="1" customWidth="1"/>
    <col min="11537" max="11781" width="9.140625" style="716"/>
    <col min="11782" max="11782" width="6.42578125" style="716" bestFit="1" customWidth="1"/>
    <col min="11783" max="11783" width="32" style="716" bestFit="1" customWidth="1"/>
    <col min="11784" max="11784" width="14.5703125" style="716" bestFit="1" customWidth="1"/>
    <col min="11785" max="11785" width="12.42578125" style="716" bestFit="1" customWidth="1"/>
    <col min="11786" max="11786" width="51.28515625" style="716" bestFit="1" customWidth="1"/>
    <col min="11787" max="11787" width="14.85546875" style="716" bestFit="1" customWidth="1"/>
    <col min="11788" max="11788" width="25" style="716" bestFit="1" customWidth="1"/>
    <col min="11789" max="11790" width="12.28515625" style="716" bestFit="1" customWidth="1"/>
    <col min="11791" max="11791" width="24.7109375" style="716" bestFit="1" customWidth="1"/>
    <col min="11792" max="11792" width="15" style="716" bestFit="1" customWidth="1"/>
    <col min="11793" max="12037" width="9.140625" style="716"/>
    <col min="12038" max="12038" width="6.42578125" style="716" bestFit="1" customWidth="1"/>
    <col min="12039" max="12039" width="32" style="716" bestFit="1" customWidth="1"/>
    <col min="12040" max="12040" width="14.5703125" style="716" bestFit="1" customWidth="1"/>
    <col min="12041" max="12041" width="12.42578125" style="716" bestFit="1" customWidth="1"/>
    <col min="12042" max="12042" width="51.28515625" style="716" bestFit="1" customWidth="1"/>
    <col min="12043" max="12043" width="14.85546875" style="716" bestFit="1" customWidth="1"/>
    <col min="12044" max="12044" width="25" style="716" bestFit="1" customWidth="1"/>
    <col min="12045" max="12046" width="12.28515625" style="716" bestFit="1" customWidth="1"/>
    <col min="12047" max="12047" width="24.7109375" style="716" bestFit="1" customWidth="1"/>
    <col min="12048" max="12048" width="15" style="716" bestFit="1" customWidth="1"/>
    <col min="12049" max="12293" width="9.140625" style="716"/>
    <col min="12294" max="12294" width="6.42578125" style="716" bestFit="1" customWidth="1"/>
    <col min="12295" max="12295" width="32" style="716" bestFit="1" customWidth="1"/>
    <col min="12296" max="12296" width="14.5703125" style="716" bestFit="1" customWidth="1"/>
    <col min="12297" max="12297" width="12.42578125" style="716" bestFit="1" customWidth="1"/>
    <col min="12298" max="12298" width="51.28515625" style="716" bestFit="1" customWidth="1"/>
    <col min="12299" max="12299" width="14.85546875" style="716" bestFit="1" customWidth="1"/>
    <col min="12300" max="12300" width="25" style="716" bestFit="1" customWidth="1"/>
    <col min="12301" max="12302" width="12.28515625" style="716" bestFit="1" customWidth="1"/>
    <col min="12303" max="12303" width="24.7109375" style="716" bestFit="1" customWidth="1"/>
    <col min="12304" max="12304" width="15" style="716" bestFit="1" customWidth="1"/>
    <col min="12305" max="12549" width="9.140625" style="716"/>
    <col min="12550" max="12550" width="6.42578125" style="716" bestFit="1" customWidth="1"/>
    <col min="12551" max="12551" width="32" style="716" bestFit="1" customWidth="1"/>
    <col min="12552" max="12552" width="14.5703125" style="716" bestFit="1" customWidth="1"/>
    <col min="12553" max="12553" width="12.42578125" style="716" bestFit="1" customWidth="1"/>
    <col min="12554" max="12554" width="51.28515625" style="716" bestFit="1" customWidth="1"/>
    <col min="12555" max="12555" width="14.85546875" style="716" bestFit="1" customWidth="1"/>
    <col min="12556" max="12556" width="25" style="716" bestFit="1" customWidth="1"/>
    <col min="12557" max="12558" width="12.28515625" style="716" bestFit="1" customWidth="1"/>
    <col min="12559" max="12559" width="24.7109375" style="716" bestFit="1" customWidth="1"/>
    <col min="12560" max="12560" width="15" style="716" bestFit="1" customWidth="1"/>
    <col min="12561" max="12805" width="9.140625" style="716"/>
    <col min="12806" max="12806" width="6.42578125" style="716" bestFit="1" customWidth="1"/>
    <col min="12807" max="12807" width="32" style="716" bestFit="1" customWidth="1"/>
    <col min="12808" max="12808" width="14.5703125" style="716" bestFit="1" customWidth="1"/>
    <col min="12809" max="12809" width="12.42578125" style="716" bestFit="1" customWidth="1"/>
    <col min="12810" max="12810" width="51.28515625" style="716" bestFit="1" customWidth="1"/>
    <col min="12811" max="12811" width="14.85546875" style="716" bestFit="1" customWidth="1"/>
    <col min="12812" max="12812" width="25" style="716" bestFit="1" customWidth="1"/>
    <col min="12813" max="12814" width="12.28515625" style="716" bestFit="1" customWidth="1"/>
    <col min="12815" max="12815" width="24.7109375" style="716" bestFit="1" customWidth="1"/>
    <col min="12816" max="12816" width="15" style="716" bestFit="1" customWidth="1"/>
    <col min="12817" max="13061" width="9.140625" style="716"/>
    <col min="13062" max="13062" width="6.42578125" style="716" bestFit="1" customWidth="1"/>
    <col min="13063" max="13063" width="32" style="716" bestFit="1" customWidth="1"/>
    <col min="13064" max="13064" width="14.5703125" style="716" bestFit="1" customWidth="1"/>
    <col min="13065" max="13065" width="12.42578125" style="716" bestFit="1" customWidth="1"/>
    <col min="13066" max="13066" width="51.28515625" style="716" bestFit="1" customWidth="1"/>
    <col min="13067" max="13067" width="14.85546875" style="716" bestFit="1" customWidth="1"/>
    <col min="13068" max="13068" width="25" style="716" bestFit="1" customWidth="1"/>
    <col min="13069" max="13070" width="12.28515625" style="716" bestFit="1" customWidth="1"/>
    <col min="13071" max="13071" width="24.7109375" style="716" bestFit="1" customWidth="1"/>
    <col min="13072" max="13072" width="15" style="716" bestFit="1" customWidth="1"/>
    <col min="13073" max="13317" width="9.140625" style="716"/>
    <col min="13318" max="13318" width="6.42578125" style="716" bestFit="1" customWidth="1"/>
    <col min="13319" max="13319" width="32" style="716" bestFit="1" customWidth="1"/>
    <col min="13320" max="13320" width="14.5703125" style="716" bestFit="1" customWidth="1"/>
    <col min="13321" max="13321" width="12.42578125" style="716" bestFit="1" customWidth="1"/>
    <col min="13322" max="13322" width="51.28515625" style="716" bestFit="1" customWidth="1"/>
    <col min="13323" max="13323" width="14.85546875" style="716" bestFit="1" customWidth="1"/>
    <col min="13324" max="13324" width="25" style="716" bestFit="1" customWidth="1"/>
    <col min="13325" max="13326" width="12.28515625" style="716" bestFit="1" customWidth="1"/>
    <col min="13327" max="13327" width="24.7109375" style="716" bestFit="1" customWidth="1"/>
    <col min="13328" max="13328" width="15" style="716" bestFit="1" customWidth="1"/>
    <col min="13329" max="13573" width="9.140625" style="716"/>
    <col min="13574" max="13574" width="6.42578125" style="716" bestFit="1" customWidth="1"/>
    <col min="13575" max="13575" width="32" style="716" bestFit="1" customWidth="1"/>
    <col min="13576" max="13576" width="14.5703125" style="716" bestFit="1" customWidth="1"/>
    <col min="13577" max="13577" width="12.42578125" style="716" bestFit="1" customWidth="1"/>
    <col min="13578" max="13578" width="51.28515625" style="716" bestFit="1" customWidth="1"/>
    <col min="13579" max="13579" width="14.85546875" style="716" bestFit="1" customWidth="1"/>
    <col min="13580" max="13580" width="25" style="716" bestFit="1" customWidth="1"/>
    <col min="13581" max="13582" width="12.28515625" style="716" bestFit="1" customWidth="1"/>
    <col min="13583" max="13583" width="24.7109375" style="716" bestFit="1" customWidth="1"/>
    <col min="13584" max="13584" width="15" style="716" bestFit="1" customWidth="1"/>
    <col min="13585" max="13829" width="9.140625" style="716"/>
    <col min="13830" max="13830" width="6.42578125" style="716" bestFit="1" customWidth="1"/>
    <col min="13831" max="13831" width="32" style="716" bestFit="1" customWidth="1"/>
    <col min="13832" max="13832" width="14.5703125" style="716" bestFit="1" customWidth="1"/>
    <col min="13833" max="13833" width="12.42578125" style="716" bestFit="1" customWidth="1"/>
    <col min="13834" max="13834" width="51.28515625" style="716" bestFit="1" customWidth="1"/>
    <col min="13835" max="13835" width="14.85546875" style="716" bestFit="1" customWidth="1"/>
    <col min="13836" max="13836" width="25" style="716" bestFit="1" customWidth="1"/>
    <col min="13837" max="13838" width="12.28515625" style="716" bestFit="1" customWidth="1"/>
    <col min="13839" max="13839" width="24.7109375" style="716" bestFit="1" customWidth="1"/>
    <col min="13840" max="13840" width="15" style="716" bestFit="1" customWidth="1"/>
    <col min="13841" max="14085" width="9.140625" style="716"/>
    <col min="14086" max="14086" width="6.42578125" style="716" bestFit="1" customWidth="1"/>
    <col min="14087" max="14087" width="32" style="716" bestFit="1" customWidth="1"/>
    <col min="14088" max="14088" width="14.5703125" style="716" bestFit="1" customWidth="1"/>
    <col min="14089" max="14089" width="12.42578125" style="716" bestFit="1" customWidth="1"/>
    <col min="14090" max="14090" width="51.28515625" style="716" bestFit="1" customWidth="1"/>
    <col min="14091" max="14091" width="14.85546875" style="716" bestFit="1" customWidth="1"/>
    <col min="14092" max="14092" width="25" style="716" bestFit="1" customWidth="1"/>
    <col min="14093" max="14094" width="12.28515625" style="716" bestFit="1" customWidth="1"/>
    <col min="14095" max="14095" width="24.7109375" style="716" bestFit="1" customWidth="1"/>
    <col min="14096" max="14096" width="15" style="716" bestFit="1" customWidth="1"/>
    <col min="14097" max="14341" width="9.140625" style="716"/>
    <col min="14342" max="14342" width="6.42578125" style="716" bestFit="1" customWidth="1"/>
    <col min="14343" max="14343" width="32" style="716" bestFit="1" customWidth="1"/>
    <col min="14344" max="14344" width="14.5703125" style="716" bestFit="1" customWidth="1"/>
    <col min="14345" max="14345" width="12.42578125" style="716" bestFit="1" customWidth="1"/>
    <col min="14346" max="14346" width="51.28515625" style="716" bestFit="1" customWidth="1"/>
    <col min="14347" max="14347" width="14.85546875" style="716" bestFit="1" customWidth="1"/>
    <col min="14348" max="14348" width="25" style="716" bestFit="1" customWidth="1"/>
    <col min="14349" max="14350" width="12.28515625" style="716" bestFit="1" customWidth="1"/>
    <col min="14351" max="14351" width="24.7109375" style="716" bestFit="1" customWidth="1"/>
    <col min="14352" max="14352" width="15" style="716" bestFit="1" customWidth="1"/>
    <col min="14353" max="14597" width="9.140625" style="716"/>
    <col min="14598" max="14598" width="6.42578125" style="716" bestFit="1" customWidth="1"/>
    <col min="14599" max="14599" width="32" style="716" bestFit="1" customWidth="1"/>
    <col min="14600" max="14600" width="14.5703125" style="716" bestFit="1" customWidth="1"/>
    <col min="14601" max="14601" width="12.42578125" style="716" bestFit="1" customWidth="1"/>
    <col min="14602" max="14602" width="51.28515625" style="716" bestFit="1" customWidth="1"/>
    <col min="14603" max="14603" width="14.85546875" style="716" bestFit="1" customWidth="1"/>
    <col min="14604" max="14604" width="25" style="716" bestFit="1" customWidth="1"/>
    <col min="14605" max="14606" width="12.28515625" style="716" bestFit="1" customWidth="1"/>
    <col min="14607" max="14607" width="24.7109375" style="716" bestFit="1" customWidth="1"/>
    <col min="14608" max="14608" width="15" style="716" bestFit="1" customWidth="1"/>
    <col min="14609" max="14853" width="9.140625" style="716"/>
    <col min="14854" max="14854" width="6.42578125" style="716" bestFit="1" customWidth="1"/>
    <col min="14855" max="14855" width="32" style="716" bestFit="1" customWidth="1"/>
    <col min="14856" max="14856" width="14.5703125" style="716" bestFit="1" customWidth="1"/>
    <col min="14857" max="14857" width="12.42578125" style="716" bestFit="1" customWidth="1"/>
    <col min="14858" max="14858" width="51.28515625" style="716" bestFit="1" customWidth="1"/>
    <col min="14859" max="14859" width="14.85546875" style="716" bestFit="1" customWidth="1"/>
    <col min="14860" max="14860" width="25" style="716" bestFit="1" customWidth="1"/>
    <col min="14861" max="14862" width="12.28515625" style="716" bestFit="1" customWidth="1"/>
    <col min="14863" max="14863" width="24.7109375" style="716" bestFit="1" customWidth="1"/>
    <col min="14864" max="14864" width="15" style="716" bestFit="1" customWidth="1"/>
    <col min="14865" max="15109" width="9.140625" style="716"/>
    <col min="15110" max="15110" width="6.42578125" style="716" bestFit="1" customWidth="1"/>
    <col min="15111" max="15111" width="32" style="716" bestFit="1" customWidth="1"/>
    <col min="15112" max="15112" width="14.5703125" style="716" bestFit="1" customWidth="1"/>
    <col min="15113" max="15113" width="12.42578125" style="716" bestFit="1" customWidth="1"/>
    <col min="15114" max="15114" width="51.28515625" style="716" bestFit="1" customWidth="1"/>
    <col min="15115" max="15115" width="14.85546875" style="716" bestFit="1" customWidth="1"/>
    <col min="15116" max="15116" width="25" style="716" bestFit="1" customWidth="1"/>
    <col min="15117" max="15118" width="12.28515625" style="716" bestFit="1" customWidth="1"/>
    <col min="15119" max="15119" width="24.7109375" style="716" bestFit="1" customWidth="1"/>
    <col min="15120" max="15120" width="15" style="716" bestFit="1" customWidth="1"/>
    <col min="15121" max="15365" width="9.140625" style="716"/>
    <col min="15366" max="15366" width="6.42578125" style="716" bestFit="1" customWidth="1"/>
    <col min="15367" max="15367" width="32" style="716" bestFit="1" customWidth="1"/>
    <col min="15368" max="15368" width="14.5703125" style="716" bestFit="1" customWidth="1"/>
    <col min="15369" max="15369" width="12.42578125" style="716" bestFit="1" customWidth="1"/>
    <col min="15370" max="15370" width="51.28515625" style="716" bestFit="1" customWidth="1"/>
    <col min="15371" max="15371" width="14.85546875" style="716" bestFit="1" customWidth="1"/>
    <col min="15372" max="15372" width="25" style="716" bestFit="1" customWidth="1"/>
    <col min="15373" max="15374" width="12.28515625" style="716" bestFit="1" customWidth="1"/>
    <col min="15375" max="15375" width="24.7109375" style="716" bestFit="1" customWidth="1"/>
    <col min="15376" max="15376" width="15" style="716" bestFit="1" customWidth="1"/>
    <col min="15377" max="15621" width="9.140625" style="716"/>
    <col min="15622" max="15622" width="6.42578125" style="716" bestFit="1" customWidth="1"/>
    <col min="15623" max="15623" width="32" style="716" bestFit="1" customWidth="1"/>
    <col min="15624" max="15624" width="14.5703125" style="716" bestFit="1" customWidth="1"/>
    <col min="15625" max="15625" width="12.42578125" style="716" bestFit="1" customWidth="1"/>
    <col min="15626" max="15626" width="51.28515625" style="716" bestFit="1" customWidth="1"/>
    <col min="15627" max="15627" width="14.85546875" style="716" bestFit="1" customWidth="1"/>
    <col min="15628" max="15628" width="25" style="716" bestFit="1" customWidth="1"/>
    <col min="15629" max="15630" width="12.28515625" style="716" bestFit="1" customWidth="1"/>
    <col min="15631" max="15631" width="24.7109375" style="716" bestFit="1" customWidth="1"/>
    <col min="15632" max="15632" width="15" style="716" bestFit="1" customWidth="1"/>
    <col min="15633" max="15877" width="9.140625" style="716"/>
    <col min="15878" max="15878" width="6.42578125" style="716" bestFit="1" customWidth="1"/>
    <col min="15879" max="15879" width="32" style="716" bestFit="1" customWidth="1"/>
    <col min="15880" max="15880" width="14.5703125" style="716" bestFit="1" customWidth="1"/>
    <col min="15881" max="15881" width="12.42578125" style="716" bestFit="1" customWidth="1"/>
    <col min="15882" max="15882" width="51.28515625" style="716" bestFit="1" customWidth="1"/>
    <col min="15883" max="15883" width="14.85546875" style="716" bestFit="1" customWidth="1"/>
    <col min="15884" max="15884" width="25" style="716" bestFit="1" customWidth="1"/>
    <col min="15885" max="15886" width="12.28515625" style="716" bestFit="1" customWidth="1"/>
    <col min="15887" max="15887" width="24.7109375" style="716" bestFit="1" customWidth="1"/>
    <col min="15888" max="15888" width="15" style="716" bestFit="1" customWidth="1"/>
    <col min="15889" max="16133" width="9.140625" style="716"/>
    <col min="16134" max="16134" width="6.42578125" style="716" bestFit="1" customWidth="1"/>
    <col min="16135" max="16135" width="32" style="716" bestFit="1" customWidth="1"/>
    <col min="16136" max="16136" width="14.5703125" style="716" bestFit="1" customWidth="1"/>
    <col min="16137" max="16137" width="12.42578125" style="716" bestFit="1" customWidth="1"/>
    <col min="16138" max="16138" width="51.28515625" style="716" bestFit="1" customWidth="1"/>
    <col min="16139" max="16139" width="14.85546875" style="716" bestFit="1" customWidth="1"/>
    <col min="16140" max="16140" width="25" style="716" bestFit="1" customWidth="1"/>
    <col min="16141" max="16142" width="12.28515625" style="716" bestFit="1" customWidth="1"/>
    <col min="16143" max="16143" width="24.7109375" style="716" bestFit="1" customWidth="1"/>
    <col min="16144" max="16144" width="15" style="716" bestFit="1" customWidth="1"/>
    <col min="16145" max="16384" width="9.140625" style="716"/>
  </cols>
  <sheetData>
    <row r="1" spans="1:17" x14ac:dyDescent="0.65">
      <c r="A1" s="1122" t="s">
        <v>82</v>
      </c>
      <c r="B1" s="1122"/>
      <c r="C1" s="1122"/>
      <c r="D1" s="1122"/>
      <c r="E1" s="1122"/>
      <c r="F1" s="1122"/>
      <c r="G1" s="1122"/>
      <c r="H1" s="1122"/>
      <c r="I1" s="1122"/>
      <c r="J1" s="1122"/>
      <c r="K1" s="1122"/>
      <c r="L1" s="1122"/>
    </row>
    <row r="2" spans="1:17" x14ac:dyDescent="0.65">
      <c r="A2" s="1122" t="s">
        <v>665</v>
      </c>
      <c r="B2" s="1122"/>
      <c r="C2" s="1122"/>
      <c r="D2" s="1122"/>
      <c r="E2" s="1122"/>
      <c r="F2" s="1122"/>
      <c r="G2" s="1122"/>
      <c r="H2" s="1122"/>
      <c r="I2" s="1122"/>
      <c r="J2" s="1122"/>
      <c r="K2" s="1122"/>
      <c r="L2" s="1122"/>
    </row>
    <row r="3" spans="1:17" x14ac:dyDescent="0.65">
      <c r="A3" s="1123" t="str">
        <f>+รายจ่ายจริง!A3:P3</f>
        <v>ตั้งแต่วันที่ 1  ตุลาคม 2564 ถึงวันที่ 31 ตุลาคม 2564</v>
      </c>
      <c r="B3" s="1123"/>
      <c r="C3" s="1123"/>
      <c r="D3" s="1123"/>
      <c r="E3" s="1123"/>
      <c r="F3" s="1123"/>
      <c r="G3" s="1123"/>
      <c r="H3" s="1123"/>
      <c r="I3" s="1123"/>
      <c r="J3" s="1123"/>
      <c r="K3" s="1123"/>
      <c r="L3" s="1123"/>
    </row>
    <row r="4" spans="1:17" s="719" customFormat="1" ht="24" x14ac:dyDescent="0.55000000000000004">
      <c r="A4" s="843" t="s">
        <v>0</v>
      </c>
      <c r="B4" s="1129" t="s">
        <v>500</v>
      </c>
      <c r="C4" s="1129" t="s">
        <v>501</v>
      </c>
      <c r="D4" s="1129" t="s">
        <v>651</v>
      </c>
      <c r="E4" s="1130" t="s">
        <v>179</v>
      </c>
      <c r="F4" s="1129" t="s">
        <v>502</v>
      </c>
      <c r="G4" s="1131" t="s">
        <v>426</v>
      </c>
      <c r="H4" s="1115" t="s">
        <v>503</v>
      </c>
      <c r="I4" s="843" t="s">
        <v>17</v>
      </c>
      <c r="J4" s="1117" t="s">
        <v>661</v>
      </c>
      <c r="K4" s="843" t="s">
        <v>662</v>
      </c>
      <c r="L4" s="718" t="s">
        <v>757</v>
      </c>
      <c r="M4" s="1127" t="s">
        <v>652</v>
      </c>
      <c r="N4" s="1127" t="s">
        <v>653</v>
      </c>
      <c r="O4" s="1127" t="s">
        <v>654</v>
      </c>
      <c r="P4" s="719" t="s">
        <v>504</v>
      </c>
    </row>
    <row r="5" spans="1:17" s="719" customFormat="1" ht="24" x14ac:dyDescent="0.55000000000000004">
      <c r="A5" s="844" t="s">
        <v>58</v>
      </c>
      <c r="B5" s="1129"/>
      <c r="C5" s="1129"/>
      <c r="D5" s="1129"/>
      <c r="E5" s="1130"/>
      <c r="F5" s="1129"/>
      <c r="G5" s="1131"/>
      <c r="H5" s="1116"/>
      <c r="I5" s="844" t="s">
        <v>660</v>
      </c>
      <c r="J5" s="1118"/>
      <c r="K5" s="844" t="s">
        <v>83</v>
      </c>
      <c r="L5" s="721" t="s">
        <v>745</v>
      </c>
      <c r="M5" s="1128"/>
      <c r="N5" s="1128"/>
      <c r="O5" s="1128"/>
    </row>
    <row r="6" spans="1:17" s="730" customFormat="1" ht="38.25" customHeight="1" x14ac:dyDescent="0.55000000000000004">
      <c r="A6" s="722">
        <v>1</v>
      </c>
      <c r="B6" s="723" t="s">
        <v>112</v>
      </c>
      <c r="C6" s="722">
        <v>1600699998</v>
      </c>
      <c r="D6" s="722" t="s">
        <v>14</v>
      </c>
      <c r="E6" s="724" t="s">
        <v>640</v>
      </c>
      <c r="F6" s="722">
        <v>7014096956</v>
      </c>
      <c r="G6" s="725" t="s">
        <v>305</v>
      </c>
      <c r="H6" s="668">
        <v>43000</v>
      </c>
      <c r="I6" s="726">
        <v>43000</v>
      </c>
      <c r="J6" s="727">
        <f t="shared" ref="J6:J20" si="0">+H6-I6</f>
        <v>0</v>
      </c>
      <c r="K6" s="727">
        <f t="shared" ref="K6:K40" si="1">+I6*100/H6</f>
        <v>100</v>
      </c>
      <c r="L6" s="669" t="s">
        <v>363</v>
      </c>
      <c r="M6" s="728" t="s">
        <v>578</v>
      </c>
      <c r="N6" s="729" t="s">
        <v>579</v>
      </c>
      <c r="O6" s="729" t="s">
        <v>527</v>
      </c>
      <c r="P6" s="729" t="s">
        <v>580</v>
      </c>
    </row>
    <row r="7" spans="1:17" s="730" customFormat="1" ht="38.25" customHeight="1" x14ac:dyDescent="0.55000000000000004">
      <c r="A7" s="722">
        <v>2</v>
      </c>
      <c r="B7" s="723" t="s">
        <v>112</v>
      </c>
      <c r="C7" s="722">
        <v>1600699998</v>
      </c>
      <c r="D7" s="722" t="s">
        <v>14</v>
      </c>
      <c r="E7" s="724" t="s">
        <v>638</v>
      </c>
      <c r="F7" s="722">
        <v>7014150012</v>
      </c>
      <c r="G7" s="725" t="s">
        <v>649</v>
      </c>
      <c r="H7" s="668">
        <f>123750*3</f>
        <v>371250</v>
      </c>
      <c r="I7" s="726">
        <v>371250</v>
      </c>
      <c r="J7" s="727">
        <f t="shared" si="0"/>
        <v>0</v>
      </c>
      <c r="K7" s="727">
        <f t="shared" si="1"/>
        <v>100</v>
      </c>
      <c r="L7" s="669" t="s">
        <v>363</v>
      </c>
      <c r="M7" s="728" t="s">
        <v>582</v>
      </c>
      <c r="N7" s="729" t="s">
        <v>583</v>
      </c>
      <c r="O7" s="729" t="s">
        <v>527</v>
      </c>
      <c r="P7" s="729" t="s">
        <v>584</v>
      </c>
    </row>
    <row r="8" spans="1:17" s="730" customFormat="1" ht="38.25" customHeight="1" x14ac:dyDescent="0.55000000000000004">
      <c r="A8" s="722">
        <v>3</v>
      </c>
      <c r="B8" s="723" t="s">
        <v>112</v>
      </c>
      <c r="C8" s="722">
        <v>1600699998</v>
      </c>
      <c r="D8" s="722" t="s">
        <v>14</v>
      </c>
      <c r="E8" s="724" t="s">
        <v>640</v>
      </c>
      <c r="F8" s="722">
        <v>7014665430</v>
      </c>
      <c r="G8" s="725" t="s">
        <v>305</v>
      </c>
      <c r="H8" s="668">
        <v>41810</v>
      </c>
      <c r="I8" s="726">
        <v>41810</v>
      </c>
      <c r="J8" s="727">
        <f t="shared" si="0"/>
        <v>0</v>
      </c>
      <c r="K8" s="727">
        <f t="shared" si="1"/>
        <v>100</v>
      </c>
      <c r="L8" s="669" t="s">
        <v>363</v>
      </c>
      <c r="M8" s="728" t="s">
        <v>578</v>
      </c>
      <c r="N8" s="729" t="s">
        <v>589</v>
      </c>
      <c r="O8" s="729" t="s">
        <v>527</v>
      </c>
      <c r="P8" s="729" t="s">
        <v>580</v>
      </c>
    </row>
    <row r="9" spans="1:17" s="730" customFormat="1" ht="38.25" customHeight="1" x14ac:dyDescent="0.55000000000000004">
      <c r="A9" s="722">
        <v>4</v>
      </c>
      <c r="B9" s="723" t="s">
        <v>112</v>
      </c>
      <c r="C9" s="722">
        <v>1600600004</v>
      </c>
      <c r="D9" s="722" t="s">
        <v>14</v>
      </c>
      <c r="E9" s="724" t="s">
        <v>640</v>
      </c>
      <c r="F9" s="722">
        <v>7014789388</v>
      </c>
      <c r="G9" s="725" t="s">
        <v>647</v>
      </c>
      <c r="H9" s="668">
        <v>280730</v>
      </c>
      <c r="I9" s="726">
        <v>280730</v>
      </c>
      <c r="J9" s="727">
        <f t="shared" si="0"/>
        <v>0</v>
      </c>
      <c r="K9" s="727">
        <f t="shared" si="1"/>
        <v>100</v>
      </c>
      <c r="L9" s="669" t="s">
        <v>363</v>
      </c>
      <c r="M9" s="728" t="s">
        <v>600</v>
      </c>
      <c r="N9" s="729" t="s">
        <v>513</v>
      </c>
      <c r="O9" s="729" t="s">
        <v>601</v>
      </c>
      <c r="P9" s="729" t="s">
        <v>602</v>
      </c>
    </row>
    <row r="10" spans="1:17" s="730" customFormat="1" ht="38.25" customHeight="1" x14ac:dyDescent="0.55000000000000004">
      <c r="A10" s="722">
        <v>5</v>
      </c>
      <c r="B10" s="723" t="s">
        <v>112</v>
      </c>
      <c r="C10" s="722">
        <v>1600600005</v>
      </c>
      <c r="D10" s="722" t="s">
        <v>14</v>
      </c>
      <c r="E10" s="724" t="s">
        <v>640</v>
      </c>
      <c r="F10" s="722">
        <v>7014934640</v>
      </c>
      <c r="G10" s="725" t="s">
        <v>863</v>
      </c>
      <c r="H10" s="668">
        <v>7500</v>
      </c>
      <c r="I10" s="726">
        <v>7500</v>
      </c>
      <c r="J10" s="727">
        <f t="shared" si="0"/>
        <v>0</v>
      </c>
      <c r="K10" s="727">
        <f t="shared" si="1"/>
        <v>100</v>
      </c>
      <c r="L10" s="669" t="s">
        <v>363</v>
      </c>
      <c r="M10" s="728" t="s">
        <v>606</v>
      </c>
      <c r="N10" s="729" t="s">
        <v>548</v>
      </c>
      <c r="O10" s="729" t="s">
        <v>523</v>
      </c>
      <c r="P10" s="729" t="s">
        <v>581</v>
      </c>
    </row>
    <row r="11" spans="1:17" s="730" customFormat="1" ht="58.5" customHeight="1" x14ac:dyDescent="0.55000000000000004">
      <c r="A11" s="722">
        <v>6</v>
      </c>
      <c r="B11" s="723" t="s">
        <v>112</v>
      </c>
      <c r="C11" s="722">
        <v>1600600006</v>
      </c>
      <c r="D11" s="722" t="s">
        <v>14</v>
      </c>
      <c r="E11" s="724" t="s">
        <v>640</v>
      </c>
      <c r="F11" s="722">
        <v>7015013787</v>
      </c>
      <c r="G11" s="673" t="s">
        <v>664</v>
      </c>
      <c r="H11" s="668">
        <v>799000</v>
      </c>
      <c r="I11" s="726">
        <f>799000-559300</f>
        <v>239700</v>
      </c>
      <c r="J11" s="727">
        <f t="shared" si="0"/>
        <v>559300</v>
      </c>
      <c r="K11" s="727">
        <f t="shared" si="1"/>
        <v>30</v>
      </c>
      <c r="L11" s="669" t="s">
        <v>753</v>
      </c>
      <c r="M11" s="728" t="s">
        <v>603</v>
      </c>
      <c r="N11" s="729" t="s">
        <v>607</v>
      </c>
      <c r="O11" s="729" t="s">
        <v>608</v>
      </c>
      <c r="P11" s="729" t="s">
        <v>604</v>
      </c>
    </row>
    <row r="12" spans="1:17" s="730" customFormat="1" ht="222" customHeight="1" x14ac:dyDescent="0.55000000000000004">
      <c r="A12" s="722">
        <v>7</v>
      </c>
      <c r="B12" s="723" t="s">
        <v>112</v>
      </c>
      <c r="C12" s="722">
        <v>1600699998</v>
      </c>
      <c r="D12" s="722" t="s">
        <v>14</v>
      </c>
      <c r="E12" s="724" t="s">
        <v>638</v>
      </c>
      <c r="F12" s="841" t="s">
        <v>868</v>
      </c>
      <c r="G12" s="673" t="s">
        <v>624</v>
      </c>
      <c r="H12" s="668">
        <f>5772752.96-267340.31</f>
        <v>5505412.6500000004</v>
      </c>
      <c r="I12" s="667">
        <v>4784179.1500000004</v>
      </c>
      <c r="J12" s="672">
        <f t="shared" si="0"/>
        <v>721233.5</v>
      </c>
      <c r="K12" s="727">
        <f t="shared" si="1"/>
        <v>86.899556021472804</v>
      </c>
      <c r="L12" s="731" t="s">
        <v>866</v>
      </c>
      <c r="M12" s="728" t="s">
        <v>625</v>
      </c>
      <c r="N12" s="729" t="s">
        <v>526</v>
      </c>
      <c r="O12" s="729" t="s">
        <v>610</v>
      </c>
      <c r="P12" s="729" t="s">
        <v>626</v>
      </c>
      <c r="Q12" s="732"/>
    </row>
    <row r="13" spans="1:17" s="730" customFormat="1" ht="26.25" customHeight="1" x14ac:dyDescent="0.55000000000000004">
      <c r="A13" s="722">
        <v>8</v>
      </c>
      <c r="B13" s="723" t="s">
        <v>543</v>
      </c>
      <c r="C13" s="722">
        <v>1600600453</v>
      </c>
      <c r="D13" s="722" t="s">
        <v>14</v>
      </c>
      <c r="E13" s="724" t="s">
        <v>638</v>
      </c>
      <c r="F13" s="722">
        <v>7015155496</v>
      </c>
      <c r="G13" s="725" t="s">
        <v>650</v>
      </c>
      <c r="H13" s="668">
        <v>17983</v>
      </c>
      <c r="I13" s="726">
        <v>17983</v>
      </c>
      <c r="J13" s="727">
        <f t="shared" si="0"/>
        <v>0</v>
      </c>
      <c r="K13" s="727">
        <f t="shared" si="1"/>
        <v>100</v>
      </c>
      <c r="L13" s="669" t="s">
        <v>363</v>
      </c>
      <c r="M13" s="728" t="s">
        <v>544</v>
      </c>
      <c r="N13" s="729" t="s">
        <v>545</v>
      </c>
      <c r="O13" s="729" t="s">
        <v>546</v>
      </c>
      <c r="P13" s="729" t="s">
        <v>547</v>
      </c>
    </row>
    <row r="14" spans="1:17" s="730" customFormat="1" ht="26.25" customHeight="1" x14ac:dyDescent="0.55000000000000004">
      <c r="A14" s="722">
        <v>9</v>
      </c>
      <c r="B14" s="723" t="s">
        <v>532</v>
      </c>
      <c r="C14" s="722">
        <v>1600600711</v>
      </c>
      <c r="D14" s="722" t="s">
        <v>14</v>
      </c>
      <c r="E14" s="724" t="s">
        <v>638</v>
      </c>
      <c r="F14" s="722">
        <v>7015264822</v>
      </c>
      <c r="G14" s="733" t="s">
        <v>655</v>
      </c>
      <c r="H14" s="668">
        <v>204000</v>
      </c>
      <c r="I14" s="726">
        <v>204000</v>
      </c>
      <c r="J14" s="727">
        <f t="shared" si="0"/>
        <v>0</v>
      </c>
      <c r="K14" s="727">
        <f t="shared" si="1"/>
        <v>100</v>
      </c>
      <c r="L14" s="669" t="s">
        <v>363</v>
      </c>
      <c r="M14" s="728" t="s">
        <v>533</v>
      </c>
      <c r="N14" s="729" t="s">
        <v>534</v>
      </c>
      <c r="O14" s="729" t="s">
        <v>527</v>
      </c>
      <c r="P14" s="729" t="s">
        <v>535</v>
      </c>
    </row>
    <row r="15" spans="1:17" s="730" customFormat="1" ht="26.25" customHeight="1" x14ac:dyDescent="0.55000000000000004">
      <c r="A15" s="722">
        <v>10</v>
      </c>
      <c r="B15" s="723" t="s">
        <v>532</v>
      </c>
      <c r="C15" s="722">
        <v>1600600711</v>
      </c>
      <c r="D15" s="722" t="s">
        <v>14</v>
      </c>
      <c r="E15" s="724" t="s">
        <v>638</v>
      </c>
      <c r="F15" s="722">
        <v>7015272951</v>
      </c>
      <c r="G15" s="733" t="s">
        <v>656</v>
      </c>
      <c r="H15" s="668">
        <v>154404.6</v>
      </c>
      <c r="I15" s="726">
        <v>154404.6</v>
      </c>
      <c r="J15" s="727">
        <f t="shared" si="0"/>
        <v>0</v>
      </c>
      <c r="K15" s="727">
        <f t="shared" si="1"/>
        <v>100</v>
      </c>
      <c r="L15" s="669" t="s">
        <v>363</v>
      </c>
      <c r="M15" s="728" t="s">
        <v>536</v>
      </c>
      <c r="N15" s="729" t="s">
        <v>526</v>
      </c>
      <c r="O15" s="729" t="s">
        <v>527</v>
      </c>
      <c r="P15" s="729" t="s">
        <v>537</v>
      </c>
    </row>
    <row r="16" spans="1:17" s="730" customFormat="1" ht="26.25" customHeight="1" x14ac:dyDescent="0.55000000000000004">
      <c r="A16" s="722">
        <v>11</v>
      </c>
      <c r="B16" s="723" t="s">
        <v>112</v>
      </c>
      <c r="C16" s="722">
        <v>1600600011</v>
      </c>
      <c r="D16" s="722" t="s">
        <v>14</v>
      </c>
      <c r="E16" s="724" t="s">
        <v>640</v>
      </c>
      <c r="F16" s="722">
        <v>7014733954</v>
      </c>
      <c r="G16" s="725" t="s">
        <v>595</v>
      </c>
      <c r="H16" s="668">
        <v>147660</v>
      </c>
      <c r="I16" s="726">
        <v>147660</v>
      </c>
      <c r="J16" s="727">
        <f t="shared" si="0"/>
        <v>0</v>
      </c>
      <c r="K16" s="727">
        <f>+I16*100/H16</f>
        <v>100</v>
      </c>
      <c r="L16" s="669" t="s">
        <v>363</v>
      </c>
      <c r="M16" s="728" t="s">
        <v>596</v>
      </c>
      <c r="N16" s="729" t="s">
        <v>597</v>
      </c>
      <c r="O16" s="729" t="s">
        <v>598</v>
      </c>
      <c r="P16" s="729" t="s">
        <v>599</v>
      </c>
    </row>
    <row r="17" spans="1:16" s="730" customFormat="1" ht="26.25" customHeight="1" x14ac:dyDescent="0.55000000000000004">
      <c r="A17" s="722">
        <v>12</v>
      </c>
      <c r="B17" s="723" t="s">
        <v>112</v>
      </c>
      <c r="C17" s="722">
        <v>1600699998</v>
      </c>
      <c r="D17" s="722" t="s">
        <v>14</v>
      </c>
      <c r="E17" s="724" t="s">
        <v>640</v>
      </c>
      <c r="F17" s="722">
        <v>7015254174</v>
      </c>
      <c r="G17" s="725" t="s">
        <v>619</v>
      </c>
      <c r="H17" s="668">
        <v>5700000</v>
      </c>
      <c r="I17" s="726">
        <v>5700000</v>
      </c>
      <c r="J17" s="727">
        <f t="shared" si="0"/>
        <v>0</v>
      </c>
      <c r="K17" s="727">
        <f>+I17*100/H17</f>
        <v>100</v>
      </c>
      <c r="L17" s="669" t="s">
        <v>363</v>
      </c>
      <c r="M17" s="728" t="s">
        <v>578</v>
      </c>
      <c r="N17" s="729" t="s">
        <v>616</v>
      </c>
      <c r="O17" s="729" t="s">
        <v>620</v>
      </c>
      <c r="P17" s="729" t="s">
        <v>621</v>
      </c>
    </row>
    <row r="18" spans="1:16" s="730" customFormat="1" ht="83.25" x14ac:dyDescent="0.55000000000000004">
      <c r="A18" s="722">
        <v>13</v>
      </c>
      <c r="B18" s="723" t="s">
        <v>559</v>
      </c>
      <c r="C18" s="722">
        <v>1600600220</v>
      </c>
      <c r="D18" s="722" t="s">
        <v>14</v>
      </c>
      <c r="E18" s="724" t="s">
        <v>638</v>
      </c>
      <c r="F18" s="722">
        <v>2000459990</v>
      </c>
      <c r="G18" s="725" t="s">
        <v>304</v>
      </c>
      <c r="H18" s="668">
        <v>55800</v>
      </c>
      <c r="I18" s="726">
        <v>0</v>
      </c>
      <c r="J18" s="727">
        <f t="shared" si="0"/>
        <v>55800</v>
      </c>
      <c r="K18" s="727">
        <f>+I18*100/H18</f>
        <v>0</v>
      </c>
      <c r="L18" s="849" t="s">
        <v>867</v>
      </c>
      <c r="M18" s="728" t="s">
        <v>560</v>
      </c>
      <c r="N18" s="729" t="s">
        <v>561</v>
      </c>
      <c r="O18" s="729" t="s">
        <v>527</v>
      </c>
      <c r="P18" s="729" t="s">
        <v>562</v>
      </c>
    </row>
    <row r="19" spans="1:16" s="730" customFormat="1" ht="33.75" customHeight="1" x14ac:dyDescent="0.55000000000000004">
      <c r="A19" s="722">
        <v>14</v>
      </c>
      <c r="B19" s="723" t="s">
        <v>112</v>
      </c>
      <c r="C19" s="722">
        <v>1600699998</v>
      </c>
      <c r="D19" s="722" t="s">
        <v>14</v>
      </c>
      <c r="E19" s="724" t="s">
        <v>638</v>
      </c>
      <c r="F19" s="722">
        <v>7014299345</v>
      </c>
      <c r="G19" s="725" t="s">
        <v>648</v>
      </c>
      <c r="H19" s="668">
        <v>141240</v>
      </c>
      <c r="I19" s="726">
        <v>141240</v>
      </c>
      <c r="J19" s="727">
        <f t="shared" si="0"/>
        <v>0</v>
      </c>
      <c r="K19" s="727">
        <f>+I19*100/H19</f>
        <v>100</v>
      </c>
      <c r="L19" s="669" t="s">
        <v>363</v>
      </c>
      <c r="M19" s="728" t="s">
        <v>585</v>
      </c>
      <c r="N19" s="729" t="s">
        <v>586</v>
      </c>
      <c r="O19" s="729" t="s">
        <v>587</v>
      </c>
      <c r="P19" s="729" t="s">
        <v>588</v>
      </c>
    </row>
    <row r="20" spans="1:16" s="730" customFormat="1" ht="33.75" customHeight="1" x14ac:dyDescent="0.55000000000000004">
      <c r="A20" s="722">
        <v>15</v>
      </c>
      <c r="B20" s="723" t="s">
        <v>538</v>
      </c>
      <c r="C20" s="722">
        <v>1600600013</v>
      </c>
      <c r="D20" s="722" t="s">
        <v>14</v>
      </c>
      <c r="E20" s="724" t="s">
        <v>638</v>
      </c>
      <c r="F20" s="722">
        <v>7014896495</v>
      </c>
      <c r="G20" s="725" t="s">
        <v>539</v>
      </c>
      <c r="H20" s="668">
        <v>2782</v>
      </c>
      <c r="I20" s="726">
        <v>2782</v>
      </c>
      <c r="J20" s="727">
        <f t="shared" si="0"/>
        <v>0</v>
      </c>
      <c r="K20" s="727">
        <f t="shared" si="1"/>
        <v>100</v>
      </c>
      <c r="L20" s="669" t="s">
        <v>363</v>
      </c>
      <c r="M20" s="728" t="s">
        <v>540</v>
      </c>
      <c r="N20" s="729" t="s">
        <v>541</v>
      </c>
      <c r="O20" s="729" t="s">
        <v>525</v>
      </c>
      <c r="P20" s="729" t="s">
        <v>542</v>
      </c>
    </row>
    <row r="21" spans="1:16" s="86" customFormat="1" ht="33.75" customHeight="1" x14ac:dyDescent="0.5">
      <c r="A21" s="1119" t="s">
        <v>658</v>
      </c>
      <c r="B21" s="1120"/>
      <c r="C21" s="1120"/>
      <c r="D21" s="1120"/>
      <c r="E21" s="1120"/>
      <c r="F21" s="1120"/>
      <c r="G21" s="1121"/>
      <c r="H21" s="734">
        <f>SUM(H6:H20)</f>
        <v>13472572.25</v>
      </c>
      <c r="I21" s="734">
        <f>SUM(I6:I20)</f>
        <v>12136238.75</v>
      </c>
      <c r="J21" s="840">
        <f>SUM(J6:J20)</f>
        <v>1336333.5</v>
      </c>
      <c r="K21" s="735">
        <f t="shared" si="1"/>
        <v>90.081081212980692</v>
      </c>
      <c r="L21" s="736"/>
      <c r="M21" s="737"/>
      <c r="N21" s="842"/>
      <c r="O21" s="842"/>
      <c r="P21" s="842"/>
    </row>
    <row r="22" spans="1:16" s="730" customFormat="1" ht="33.75" customHeight="1" x14ac:dyDescent="0.55000000000000004">
      <c r="A22" s="722">
        <v>16</v>
      </c>
      <c r="B22" s="723" t="s">
        <v>112</v>
      </c>
      <c r="C22" s="722">
        <v>1600699998</v>
      </c>
      <c r="D22" s="722" t="s">
        <v>15</v>
      </c>
      <c r="E22" s="724" t="s">
        <v>639</v>
      </c>
      <c r="F22" s="722">
        <v>7014716158</v>
      </c>
      <c r="G22" s="725" t="s">
        <v>590</v>
      </c>
      <c r="H22" s="668">
        <v>2274000</v>
      </c>
      <c r="I22" s="726">
        <v>2274000</v>
      </c>
      <c r="J22" s="727">
        <f t="shared" ref="J22:J39" si="2">+H22-I22</f>
        <v>0</v>
      </c>
      <c r="K22" s="727">
        <f t="shared" si="1"/>
        <v>100</v>
      </c>
      <c r="L22" s="669" t="s">
        <v>363</v>
      </c>
      <c r="M22" s="728" t="s">
        <v>591</v>
      </c>
      <c r="N22" s="729" t="s">
        <v>592</v>
      </c>
      <c r="O22" s="729" t="s">
        <v>593</v>
      </c>
      <c r="P22" s="729" t="s">
        <v>594</v>
      </c>
    </row>
    <row r="23" spans="1:16" s="730" customFormat="1" ht="33.75" customHeight="1" x14ac:dyDescent="0.55000000000000004">
      <c r="A23" s="722">
        <v>17</v>
      </c>
      <c r="B23" s="723" t="s">
        <v>112</v>
      </c>
      <c r="C23" s="722">
        <v>1600600011</v>
      </c>
      <c r="D23" s="722" t="s">
        <v>15</v>
      </c>
      <c r="E23" s="724" t="s">
        <v>643</v>
      </c>
      <c r="F23" s="722">
        <v>7015248976</v>
      </c>
      <c r="G23" s="725" t="s">
        <v>644</v>
      </c>
      <c r="H23" s="668">
        <v>500000</v>
      </c>
      <c r="I23" s="726">
        <v>500000</v>
      </c>
      <c r="J23" s="727">
        <f t="shared" si="2"/>
        <v>0</v>
      </c>
      <c r="K23" s="727">
        <f t="shared" si="1"/>
        <v>100</v>
      </c>
      <c r="L23" s="669" t="s">
        <v>363</v>
      </c>
      <c r="M23" s="728" t="s">
        <v>615</v>
      </c>
      <c r="N23" s="729" t="s">
        <v>616</v>
      </c>
      <c r="O23" s="729" t="s">
        <v>617</v>
      </c>
      <c r="P23" s="729" t="s">
        <v>618</v>
      </c>
    </row>
    <row r="24" spans="1:16" s="730" customFormat="1" ht="33.75" customHeight="1" x14ac:dyDescent="0.55000000000000004">
      <c r="A24" s="722">
        <v>18</v>
      </c>
      <c r="B24" s="723" t="s">
        <v>112</v>
      </c>
      <c r="C24" s="722">
        <v>1600600006</v>
      </c>
      <c r="D24" s="722" t="s">
        <v>15</v>
      </c>
      <c r="E24" s="724" t="s">
        <v>641</v>
      </c>
      <c r="F24" s="722">
        <v>7015254679</v>
      </c>
      <c r="G24" s="725" t="s">
        <v>642</v>
      </c>
      <c r="H24" s="668">
        <v>497015</v>
      </c>
      <c r="I24" s="726">
        <v>497015</v>
      </c>
      <c r="J24" s="727">
        <f t="shared" si="2"/>
        <v>0</v>
      </c>
      <c r="K24" s="727">
        <f t="shared" si="1"/>
        <v>100</v>
      </c>
      <c r="L24" s="669" t="s">
        <v>363</v>
      </c>
      <c r="M24" s="728" t="s">
        <v>622</v>
      </c>
      <c r="N24" s="729" t="s">
        <v>526</v>
      </c>
      <c r="O24" s="729" t="s">
        <v>610</v>
      </c>
      <c r="P24" s="729" t="s">
        <v>623</v>
      </c>
    </row>
    <row r="25" spans="1:16" s="730" customFormat="1" ht="33.75" customHeight="1" x14ac:dyDescent="0.55000000000000004">
      <c r="A25" s="722">
        <v>19</v>
      </c>
      <c r="B25" s="723" t="s">
        <v>112</v>
      </c>
      <c r="C25" s="722">
        <v>1600600001</v>
      </c>
      <c r="D25" s="722" t="s">
        <v>15</v>
      </c>
      <c r="E25" s="724" t="s">
        <v>442</v>
      </c>
      <c r="F25" s="722">
        <v>2000397264</v>
      </c>
      <c r="G25" s="725" t="s">
        <v>635</v>
      </c>
      <c r="H25" s="668">
        <v>11135650</v>
      </c>
      <c r="I25" s="726">
        <v>0</v>
      </c>
      <c r="J25" s="727">
        <f t="shared" si="2"/>
        <v>11135650</v>
      </c>
      <c r="K25" s="727">
        <f t="shared" si="1"/>
        <v>0</v>
      </c>
      <c r="L25" s="669" t="s">
        <v>752</v>
      </c>
      <c r="M25" s="728" t="s">
        <v>636</v>
      </c>
      <c r="N25" s="729" t="s">
        <v>526</v>
      </c>
      <c r="O25" s="729" t="s">
        <v>637</v>
      </c>
      <c r="P25" s="729"/>
    </row>
    <row r="26" spans="1:16" s="730" customFormat="1" ht="39" customHeight="1" x14ac:dyDescent="0.55000000000000004">
      <c r="A26" s="722">
        <v>20</v>
      </c>
      <c r="B26" s="723" t="s">
        <v>112</v>
      </c>
      <c r="C26" s="722">
        <v>1600600001</v>
      </c>
      <c r="D26" s="722" t="s">
        <v>15</v>
      </c>
      <c r="E26" s="724" t="s">
        <v>440</v>
      </c>
      <c r="F26" s="722">
        <v>2000420428</v>
      </c>
      <c r="G26" s="725" t="s">
        <v>627</v>
      </c>
      <c r="H26" s="668">
        <v>13054741.23</v>
      </c>
      <c r="I26" s="726">
        <v>13054741.23</v>
      </c>
      <c r="J26" s="727">
        <f t="shared" si="2"/>
        <v>0</v>
      </c>
      <c r="K26" s="727">
        <f t="shared" si="1"/>
        <v>100</v>
      </c>
      <c r="L26" s="669" t="s">
        <v>363</v>
      </c>
      <c r="M26" s="728" t="s">
        <v>628</v>
      </c>
      <c r="N26" s="729" t="s">
        <v>629</v>
      </c>
      <c r="O26" s="729" t="s">
        <v>630</v>
      </c>
      <c r="P26" s="729"/>
    </row>
    <row r="27" spans="1:16" s="730" customFormat="1" ht="39" customHeight="1" x14ac:dyDescent="0.55000000000000004">
      <c r="A27" s="722">
        <v>21</v>
      </c>
      <c r="B27" s="723" t="s">
        <v>112</v>
      </c>
      <c r="C27" s="722">
        <v>1600600001</v>
      </c>
      <c r="D27" s="722" t="s">
        <v>15</v>
      </c>
      <c r="E27" s="724" t="s">
        <v>437</v>
      </c>
      <c r="F27" s="722">
        <v>2000420910</v>
      </c>
      <c r="G27" s="725" t="s">
        <v>631</v>
      </c>
      <c r="H27" s="668">
        <v>5129331</v>
      </c>
      <c r="I27" s="726">
        <v>5129331</v>
      </c>
      <c r="J27" s="727">
        <f t="shared" si="2"/>
        <v>0</v>
      </c>
      <c r="K27" s="727">
        <f t="shared" si="1"/>
        <v>100</v>
      </c>
      <c r="L27" s="669" t="s">
        <v>363</v>
      </c>
      <c r="M27" s="728" t="s">
        <v>632</v>
      </c>
      <c r="N27" s="729" t="s">
        <v>633</v>
      </c>
      <c r="O27" s="729" t="s">
        <v>634</v>
      </c>
      <c r="P27" s="729"/>
    </row>
    <row r="28" spans="1:16" s="730" customFormat="1" ht="39" customHeight="1" x14ac:dyDescent="0.55000000000000004">
      <c r="A28" s="722">
        <v>22</v>
      </c>
      <c r="B28" s="723" t="s">
        <v>112</v>
      </c>
      <c r="C28" s="722">
        <v>1600600001</v>
      </c>
      <c r="D28" s="722" t="s">
        <v>15</v>
      </c>
      <c r="E28" s="724" t="s">
        <v>441</v>
      </c>
      <c r="F28" s="722">
        <v>2000434631</v>
      </c>
      <c r="G28" s="725" t="s">
        <v>563</v>
      </c>
      <c r="H28" s="668">
        <v>5002622</v>
      </c>
      <c r="I28" s="726">
        <v>5002622</v>
      </c>
      <c r="J28" s="727">
        <f t="shared" si="2"/>
        <v>0</v>
      </c>
      <c r="K28" s="727">
        <f t="shared" si="1"/>
        <v>100</v>
      </c>
      <c r="L28" s="669" t="s">
        <v>363</v>
      </c>
      <c r="M28" s="728" t="s">
        <v>564</v>
      </c>
      <c r="N28" s="729" t="s">
        <v>565</v>
      </c>
      <c r="O28" s="729" t="s">
        <v>566</v>
      </c>
      <c r="P28" s="729" t="s">
        <v>567</v>
      </c>
    </row>
    <row r="29" spans="1:16" s="730" customFormat="1" ht="39" customHeight="1" x14ac:dyDescent="0.55000000000000004">
      <c r="A29" s="722">
        <v>23</v>
      </c>
      <c r="B29" s="723" t="s">
        <v>112</v>
      </c>
      <c r="C29" s="722">
        <v>1600600001</v>
      </c>
      <c r="D29" s="722" t="s">
        <v>15</v>
      </c>
      <c r="E29" s="724" t="s">
        <v>438</v>
      </c>
      <c r="F29" s="722">
        <v>2000435147</v>
      </c>
      <c r="G29" s="725" t="s">
        <v>568</v>
      </c>
      <c r="H29" s="668">
        <v>4668200</v>
      </c>
      <c r="I29" s="726">
        <v>0</v>
      </c>
      <c r="J29" s="727">
        <f t="shared" si="2"/>
        <v>4668200</v>
      </c>
      <c r="K29" s="727">
        <f t="shared" si="1"/>
        <v>0</v>
      </c>
      <c r="L29" s="669" t="s">
        <v>864</v>
      </c>
      <c r="M29" s="728" t="s">
        <v>569</v>
      </c>
      <c r="N29" s="729" t="s">
        <v>566</v>
      </c>
      <c r="O29" s="729" t="s">
        <v>570</v>
      </c>
      <c r="P29" s="729" t="s">
        <v>515</v>
      </c>
    </row>
    <row r="30" spans="1:16" s="730" customFormat="1" ht="48" x14ac:dyDescent="0.55000000000000004">
      <c r="A30" s="722">
        <v>24</v>
      </c>
      <c r="B30" s="723" t="s">
        <v>112</v>
      </c>
      <c r="C30" s="722">
        <v>1600600001</v>
      </c>
      <c r="D30" s="722" t="s">
        <v>15</v>
      </c>
      <c r="E30" s="724" t="s">
        <v>443</v>
      </c>
      <c r="F30" s="722">
        <v>2000461421</v>
      </c>
      <c r="G30" s="738" t="s">
        <v>844</v>
      </c>
      <c r="H30" s="668">
        <v>2805000</v>
      </c>
      <c r="I30" s="726">
        <f>2805000-181000</f>
        <v>2624000</v>
      </c>
      <c r="J30" s="727">
        <f t="shared" si="2"/>
        <v>181000</v>
      </c>
      <c r="K30" s="727">
        <f t="shared" si="1"/>
        <v>93.547237076648841</v>
      </c>
      <c r="L30" s="669" t="s">
        <v>865</v>
      </c>
      <c r="M30" s="728" t="s">
        <v>572</v>
      </c>
      <c r="N30" s="729" t="s">
        <v>573</v>
      </c>
      <c r="O30" s="729" t="s">
        <v>574</v>
      </c>
      <c r="P30" s="729" t="s">
        <v>515</v>
      </c>
    </row>
    <row r="31" spans="1:16" s="730" customFormat="1" ht="78" customHeight="1" x14ac:dyDescent="0.55000000000000004">
      <c r="A31" s="722">
        <v>25</v>
      </c>
      <c r="B31" s="723" t="s">
        <v>112</v>
      </c>
      <c r="C31" s="722">
        <v>1600600001</v>
      </c>
      <c r="D31" s="722" t="s">
        <v>15</v>
      </c>
      <c r="E31" s="724" t="s">
        <v>439</v>
      </c>
      <c r="F31" s="722">
        <v>2000475789</v>
      </c>
      <c r="G31" s="738" t="s">
        <v>845</v>
      </c>
      <c r="H31" s="668">
        <v>9368000</v>
      </c>
      <c r="I31" s="726">
        <f>9368000-5479439.28</f>
        <v>3888560.7199999997</v>
      </c>
      <c r="J31" s="727">
        <f t="shared" si="2"/>
        <v>5479439.2800000003</v>
      </c>
      <c r="K31" s="727">
        <f t="shared" si="1"/>
        <v>41.508974380871052</v>
      </c>
      <c r="L31" s="669" t="s">
        <v>747</v>
      </c>
      <c r="M31" s="728" t="s">
        <v>576</v>
      </c>
      <c r="N31" s="729" t="s">
        <v>527</v>
      </c>
      <c r="O31" s="729" t="s">
        <v>577</v>
      </c>
      <c r="P31" s="729" t="s">
        <v>515</v>
      </c>
    </row>
    <row r="32" spans="1:16" s="730" customFormat="1" ht="30" customHeight="1" x14ac:dyDescent="0.55000000000000004">
      <c r="A32" s="722">
        <v>26</v>
      </c>
      <c r="B32" s="723" t="s">
        <v>505</v>
      </c>
      <c r="C32" s="722">
        <v>1600600046</v>
      </c>
      <c r="D32" s="722" t="s">
        <v>15</v>
      </c>
      <c r="E32" s="724" t="s">
        <v>433</v>
      </c>
      <c r="F32" s="722">
        <v>7014618240</v>
      </c>
      <c r="G32" s="725" t="s">
        <v>506</v>
      </c>
      <c r="H32" s="668">
        <v>2527500</v>
      </c>
      <c r="I32" s="726">
        <v>2527500</v>
      </c>
      <c r="J32" s="727">
        <f t="shared" si="2"/>
        <v>0</v>
      </c>
      <c r="K32" s="727">
        <f t="shared" si="1"/>
        <v>100</v>
      </c>
      <c r="L32" s="669" t="s">
        <v>363</v>
      </c>
      <c r="M32" s="728" t="s">
        <v>507</v>
      </c>
      <c r="N32" s="729" t="s">
        <v>508</v>
      </c>
      <c r="O32" s="729" t="s">
        <v>509</v>
      </c>
      <c r="P32" s="729" t="s">
        <v>510</v>
      </c>
    </row>
    <row r="33" spans="1:18" s="730" customFormat="1" ht="24" x14ac:dyDescent="0.55000000000000004">
      <c r="A33" s="722">
        <v>27</v>
      </c>
      <c r="B33" s="723" t="s">
        <v>511</v>
      </c>
      <c r="C33" s="722">
        <v>1600600052</v>
      </c>
      <c r="D33" s="722" t="s">
        <v>15</v>
      </c>
      <c r="E33" s="724" t="s">
        <v>434</v>
      </c>
      <c r="F33" s="722">
        <v>7014573620</v>
      </c>
      <c r="G33" s="725" t="s">
        <v>506</v>
      </c>
      <c r="H33" s="668">
        <v>3234000</v>
      </c>
      <c r="I33" s="726">
        <v>3234000</v>
      </c>
      <c r="J33" s="727">
        <f t="shared" si="2"/>
        <v>0</v>
      </c>
      <c r="K33" s="727">
        <f t="shared" si="1"/>
        <v>100</v>
      </c>
      <c r="L33" s="669" t="s">
        <v>851</v>
      </c>
      <c r="M33" s="728" t="s">
        <v>512</v>
      </c>
      <c r="N33" s="729" t="s">
        <v>513</v>
      </c>
      <c r="O33" s="729" t="s">
        <v>514</v>
      </c>
      <c r="P33" s="729" t="s">
        <v>515</v>
      </c>
    </row>
    <row r="34" spans="1:18" s="730" customFormat="1" ht="30" customHeight="1" x14ac:dyDescent="0.55000000000000004">
      <c r="A34" s="722">
        <v>28</v>
      </c>
      <c r="B34" s="723" t="s">
        <v>516</v>
      </c>
      <c r="C34" s="722">
        <v>1600600058</v>
      </c>
      <c r="D34" s="722" t="s">
        <v>15</v>
      </c>
      <c r="E34" s="724" t="s">
        <v>435</v>
      </c>
      <c r="F34" s="722">
        <v>7014587703</v>
      </c>
      <c r="G34" s="725" t="s">
        <v>506</v>
      </c>
      <c r="H34" s="668">
        <v>2700000</v>
      </c>
      <c r="I34" s="726">
        <v>2700000</v>
      </c>
      <c r="J34" s="727">
        <f t="shared" si="2"/>
        <v>0</v>
      </c>
      <c r="K34" s="727">
        <f t="shared" si="1"/>
        <v>100</v>
      </c>
      <c r="L34" s="669" t="s">
        <v>363</v>
      </c>
      <c r="M34" s="728" t="s">
        <v>517</v>
      </c>
      <c r="N34" s="729" t="s">
        <v>518</v>
      </c>
      <c r="O34" s="729" t="s">
        <v>519</v>
      </c>
      <c r="P34" s="729" t="s">
        <v>520</v>
      </c>
    </row>
    <row r="35" spans="1:18" s="730" customFormat="1" ht="83.25" x14ac:dyDescent="0.55000000000000004">
      <c r="A35" s="722">
        <v>29</v>
      </c>
      <c r="B35" s="723" t="s">
        <v>521</v>
      </c>
      <c r="C35" s="722">
        <v>1600600064</v>
      </c>
      <c r="D35" s="722" t="s">
        <v>15</v>
      </c>
      <c r="E35" s="724" t="s">
        <v>436</v>
      </c>
      <c r="F35" s="722">
        <v>7014633408</v>
      </c>
      <c r="G35" s="725" t="s">
        <v>506</v>
      </c>
      <c r="H35" s="668">
        <v>3155139</v>
      </c>
      <c r="I35" s="726">
        <v>0</v>
      </c>
      <c r="J35" s="727">
        <f t="shared" si="2"/>
        <v>3155139</v>
      </c>
      <c r="K35" s="727">
        <f t="shared" si="1"/>
        <v>0</v>
      </c>
      <c r="L35" s="742" t="s">
        <v>876</v>
      </c>
      <c r="M35" s="728" t="s">
        <v>522</v>
      </c>
      <c r="N35" s="729" t="s">
        <v>508</v>
      </c>
      <c r="O35" s="729" t="s">
        <v>523</v>
      </c>
      <c r="P35" s="729" t="s">
        <v>524</v>
      </c>
    </row>
    <row r="36" spans="1:18" s="730" customFormat="1" ht="56.25" customHeight="1" x14ac:dyDescent="0.55000000000000004">
      <c r="A36" s="722">
        <v>30</v>
      </c>
      <c r="B36" s="723" t="s">
        <v>487</v>
      </c>
      <c r="C36" s="722">
        <v>1600600094</v>
      </c>
      <c r="D36" s="722" t="s">
        <v>15</v>
      </c>
      <c r="E36" s="724" t="s">
        <v>475</v>
      </c>
      <c r="F36" s="722">
        <v>2000449395</v>
      </c>
      <c r="G36" s="673" t="s">
        <v>806</v>
      </c>
      <c r="H36" s="668">
        <v>3920000</v>
      </c>
      <c r="I36" s="726">
        <v>3920000</v>
      </c>
      <c r="J36" s="727">
        <f t="shared" si="2"/>
        <v>0</v>
      </c>
      <c r="K36" s="727">
        <f t="shared" si="1"/>
        <v>100</v>
      </c>
      <c r="L36" s="669" t="s">
        <v>363</v>
      </c>
      <c r="M36" s="728" t="s">
        <v>528</v>
      </c>
      <c r="N36" s="729" t="s">
        <v>529</v>
      </c>
      <c r="O36" s="729" t="s">
        <v>530</v>
      </c>
      <c r="P36" s="729"/>
    </row>
    <row r="37" spans="1:18" s="730" customFormat="1" ht="56.25" customHeight="1" x14ac:dyDescent="0.55000000000000004">
      <c r="A37" s="722">
        <v>31</v>
      </c>
      <c r="B37" s="723" t="s">
        <v>487</v>
      </c>
      <c r="C37" s="722">
        <v>1600600094</v>
      </c>
      <c r="D37" s="722" t="s">
        <v>15</v>
      </c>
      <c r="E37" s="724" t="s">
        <v>444</v>
      </c>
      <c r="F37" s="722">
        <v>2000469732</v>
      </c>
      <c r="G37" s="673" t="s">
        <v>531</v>
      </c>
      <c r="H37" s="668">
        <v>2559120</v>
      </c>
      <c r="I37" s="726">
        <v>2559120</v>
      </c>
      <c r="J37" s="727">
        <f t="shared" si="2"/>
        <v>0</v>
      </c>
      <c r="K37" s="727">
        <f t="shared" si="1"/>
        <v>100</v>
      </c>
      <c r="L37" s="669" t="s">
        <v>363</v>
      </c>
      <c r="M37" s="728" t="s">
        <v>528</v>
      </c>
      <c r="N37" s="729" t="s">
        <v>529</v>
      </c>
      <c r="O37" s="729" t="s">
        <v>530</v>
      </c>
      <c r="P37" s="729"/>
    </row>
    <row r="38" spans="1:18" s="730" customFormat="1" ht="24" x14ac:dyDescent="0.55000000000000004">
      <c r="A38" s="722">
        <v>32</v>
      </c>
      <c r="B38" s="723" t="s">
        <v>486</v>
      </c>
      <c r="C38" s="722">
        <v>1600600420</v>
      </c>
      <c r="D38" s="722" t="s">
        <v>15</v>
      </c>
      <c r="E38" s="724" t="s">
        <v>479</v>
      </c>
      <c r="F38" s="722">
        <v>7014653159</v>
      </c>
      <c r="G38" s="725" t="s">
        <v>663</v>
      </c>
      <c r="H38" s="668">
        <v>3869000</v>
      </c>
      <c r="I38" s="726">
        <v>3869000</v>
      </c>
      <c r="J38" s="727">
        <f t="shared" si="2"/>
        <v>0</v>
      </c>
      <c r="K38" s="727">
        <f t="shared" si="1"/>
        <v>100</v>
      </c>
      <c r="L38" s="669" t="s">
        <v>363</v>
      </c>
      <c r="M38" s="728" t="s">
        <v>549</v>
      </c>
      <c r="N38" s="729" t="s">
        <v>550</v>
      </c>
      <c r="O38" s="729" t="s">
        <v>551</v>
      </c>
      <c r="P38" s="729" t="s">
        <v>552</v>
      </c>
    </row>
    <row r="39" spans="1:18" s="730" customFormat="1" ht="29.25" customHeight="1" x14ac:dyDescent="0.55000000000000004">
      <c r="A39" s="722">
        <v>33</v>
      </c>
      <c r="B39" s="723" t="s">
        <v>553</v>
      </c>
      <c r="C39" s="722">
        <v>1600600456</v>
      </c>
      <c r="D39" s="722" t="s">
        <v>15</v>
      </c>
      <c r="E39" s="724" t="s">
        <v>432</v>
      </c>
      <c r="F39" s="722">
        <v>7014571829</v>
      </c>
      <c r="G39" s="725" t="s">
        <v>554</v>
      </c>
      <c r="H39" s="668">
        <v>2642900</v>
      </c>
      <c r="I39" s="726">
        <v>2642900</v>
      </c>
      <c r="J39" s="727">
        <f t="shared" si="2"/>
        <v>0</v>
      </c>
      <c r="K39" s="727">
        <f t="shared" si="1"/>
        <v>100</v>
      </c>
      <c r="L39" s="669" t="s">
        <v>363</v>
      </c>
      <c r="M39" s="728" t="s">
        <v>555</v>
      </c>
      <c r="N39" s="729" t="s">
        <v>556</v>
      </c>
      <c r="O39" s="729" t="s">
        <v>557</v>
      </c>
      <c r="P39" s="729" t="s">
        <v>558</v>
      </c>
    </row>
    <row r="40" spans="1:18" s="88" customFormat="1" ht="37.5" customHeight="1" x14ac:dyDescent="0.5">
      <c r="A40" s="1119" t="s">
        <v>659</v>
      </c>
      <c r="B40" s="1120"/>
      <c r="C40" s="1120"/>
      <c r="D40" s="1120"/>
      <c r="E40" s="1120"/>
      <c r="F40" s="1120"/>
      <c r="G40" s="1121"/>
      <c r="H40" s="739">
        <f>SUM(H22:H39)</f>
        <v>79042218.230000004</v>
      </c>
      <c r="I40" s="739">
        <f>SUM(I22:I39)</f>
        <v>54422789.950000003</v>
      </c>
      <c r="J40" s="739">
        <f>SUM(J22:J39)</f>
        <v>24619428.280000001</v>
      </c>
      <c r="K40" s="740">
        <f t="shared" si="1"/>
        <v>68.852812039812108</v>
      </c>
      <c r="L40" s="674"/>
      <c r="M40" s="121"/>
      <c r="N40" s="107"/>
      <c r="O40" s="107"/>
      <c r="P40" s="107"/>
    </row>
    <row r="41" spans="1:18" s="730" customFormat="1" ht="78" customHeight="1" x14ac:dyDescent="0.55000000000000004">
      <c r="A41" s="722">
        <v>34</v>
      </c>
      <c r="B41" s="723" t="s">
        <v>112</v>
      </c>
      <c r="C41" s="722">
        <v>1600600011</v>
      </c>
      <c r="D41" s="722" t="s">
        <v>16</v>
      </c>
      <c r="E41" s="724" t="s">
        <v>397</v>
      </c>
      <c r="F41" s="722">
        <v>7015076230</v>
      </c>
      <c r="G41" s="738" t="s">
        <v>646</v>
      </c>
      <c r="H41" s="668">
        <v>1620000</v>
      </c>
      <c r="I41" s="726">
        <v>1620000</v>
      </c>
      <c r="J41" s="727">
        <f>+H41-I41</f>
        <v>0</v>
      </c>
      <c r="K41" s="727">
        <f>+I41*100/H41</f>
        <v>100</v>
      </c>
      <c r="L41" s="669" t="s">
        <v>363</v>
      </c>
      <c r="M41" s="728" t="s">
        <v>609</v>
      </c>
      <c r="N41" s="729" t="s">
        <v>607</v>
      </c>
      <c r="O41" s="729" t="s">
        <v>610</v>
      </c>
      <c r="P41" s="729" t="s">
        <v>604</v>
      </c>
    </row>
    <row r="42" spans="1:18" s="730" customFormat="1" ht="29.25" customHeight="1" x14ac:dyDescent="0.55000000000000004">
      <c r="A42" s="722">
        <v>35</v>
      </c>
      <c r="B42" s="723" t="s">
        <v>112</v>
      </c>
      <c r="C42" s="722">
        <v>1600600011</v>
      </c>
      <c r="D42" s="722" t="s">
        <v>16</v>
      </c>
      <c r="E42" s="724" t="s">
        <v>424</v>
      </c>
      <c r="F42" s="722">
        <v>7015167313</v>
      </c>
      <c r="G42" s="725" t="s">
        <v>645</v>
      </c>
      <c r="H42" s="668">
        <v>56300</v>
      </c>
      <c r="I42" s="726">
        <v>56300</v>
      </c>
      <c r="J42" s="727">
        <f>+H42-I42</f>
        <v>0</v>
      </c>
      <c r="K42" s="727">
        <f>+I42*100/H42</f>
        <v>100</v>
      </c>
      <c r="L42" s="669" t="s">
        <v>363</v>
      </c>
      <c r="M42" s="728" t="s">
        <v>611</v>
      </c>
      <c r="N42" s="729" t="s">
        <v>612</v>
      </c>
      <c r="O42" s="729" t="s">
        <v>613</v>
      </c>
      <c r="P42" s="729" t="s">
        <v>614</v>
      </c>
    </row>
    <row r="43" spans="1:18" s="719" customFormat="1" ht="34.5" customHeight="1" x14ac:dyDescent="0.55000000000000004">
      <c r="A43" s="1124" t="s">
        <v>362</v>
      </c>
      <c r="B43" s="1125"/>
      <c r="C43" s="1125"/>
      <c r="D43" s="1125"/>
      <c r="E43" s="1125"/>
      <c r="F43" s="1125"/>
      <c r="G43" s="1126"/>
      <c r="H43" s="741">
        <f>SUM(H41:H42)</f>
        <v>1676300</v>
      </c>
      <c r="I43" s="672">
        <f>SUM(I41:I42)</f>
        <v>1676300</v>
      </c>
      <c r="J43" s="672">
        <f>SUM(J41:J42)</f>
        <v>0</v>
      </c>
      <c r="K43" s="727">
        <f>+I43*100/H43</f>
        <v>100</v>
      </c>
      <c r="L43" s="669"/>
    </row>
    <row r="44" spans="1:18" s="743" customFormat="1" ht="42" customHeight="1" x14ac:dyDescent="0.65">
      <c r="A44" s="1112" t="s">
        <v>488</v>
      </c>
      <c r="B44" s="1113"/>
      <c r="C44" s="1113"/>
      <c r="D44" s="1113"/>
      <c r="E44" s="1113"/>
      <c r="F44" s="1113"/>
      <c r="G44" s="1114"/>
      <c r="H44" s="686">
        <f>+H21+H40+H43</f>
        <v>94191090.480000004</v>
      </c>
      <c r="I44" s="686">
        <f>+I21+I40+I43</f>
        <v>68235328.700000003</v>
      </c>
      <c r="J44" s="686">
        <f>+J21+J40+J43</f>
        <v>25955761.780000001</v>
      </c>
      <c r="K44" s="801">
        <f>+I44*100/H44</f>
        <v>72.443506442351577</v>
      </c>
      <c r="L44" s="742"/>
      <c r="R44" s="743" t="s">
        <v>183</v>
      </c>
    </row>
    <row r="45" spans="1:18" hidden="1" x14ac:dyDescent="0.65"/>
    <row r="46" spans="1:18" hidden="1" x14ac:dyDescent="0.65">
      <c r="H46" s="747"/>
      <c r="I46" s="747"/>
      <c r="K46" s="749"/>
      <c r="L46" s="750"/>
    </row>
    <row r="47" spans="1:18" hidden="1" x14ac:dyDescent="0.65"/>
    <row r="48" spans="1:18" hidden="1" x14ac:dyDescent="0.65"/>
    <row r="49" hidden="1" x14ac:dyDescent="0.65"/>
    <row r="50" hidden="1" x14ac:dyDescent="0.65"/>
    <row r="51" hidden="1" x14ac:dyDescent="0.65"/>
    <row r="52" hidden="1" x14ac:dyDescent="0.65"/>
    <row r="53" hidden="1" x14ac:dyDescent="0.65"/>
    <row r="54" hidden="1" x14ac:dyDescent="0.65"/>
    <row r="55" hidden="1" x14ac:dyDescent="0.65"/>
    <row r="56" hidden="1" x14ac:dyDescent="0.65"/>
    <row r="57" hidden="1" x14ac:dyDescent="0.65"/>
    <row r="58" hidden="1" x14ac:dyDescent="0.65"/>
    <row r="59" hidden="1" x14ac:dyDescent="0.65"/>
    <row r="60" hidden="1" x14ac:dyDescent="0.65"/>
    <row r="61" hidden="1" x14ac:dyDescent="0.65"/>
    <row r="62" hidden="1" x14ac:dyDescent="0.65"/>
    <row r="63" hidden="1" x14ac:dyDescent="0.65"/>
    <row r="64" hidden="1" x14ac:dyDescent="0.65"/>
    <row r="65" hidden="1" x14ac:dyDescent="0.65"/>
    <row r="66" hidden="1" x14ac:dyDescent="0.65"/>
    <row r="67" hidden="1" x14ac:dyDescent="0.65"/>
    <row r="68" hidden="1" x14ac:dyDescent="0.65"/>
    <row r="69" hidden="1" x14ac:dyDescent="0.65"/>
    <row r="70" hidden="1" x14ac:dyDescent="0.65"/>
    <row r="71" hidden="1" x14ac:dyDescent="0.65"/>
    <row r="72" hidden="1" x14ac:dyDescent="0.65"/>
    <row r="73" hidden="1" x14ac:dyDescent="0.65"/>
    <row r="74" hidden="1" x14ac:dyDescent="0.65"/>
    <row r="75" hidden="1" x14ac:dyDescent="0.65"/>
    <row r="76" hidden="1" x14ac:dyDescent="0.65"/>
    <row r="77" hidden="1" x14ac:dyDescent="0.65"/>
    <row r="78" hidden="1" x14ac:dyDescent="0.65"/>
    <row r="79" hidden="1" x14ac:dyDescent="0.65"/>
    <row r="80" hidden="1" x14ac:dyDescent="0.65"/>
    <row r="81" hidden="1" x14ac:dyDescent="0.65"/>
    <row r="82" hidden="1" x14ac:dyDescent="0.65"/>
    <row r="83" hidden="1" x14ac:dyDescent="0.65"/>
    <row r="84" hidden="1" x14ac:dyDescent="0.65"/>
    <row r="85" hidden="1" x14ac:dyDescent="0.65"/>
    <row r="86" hidden="1" x14ac:dyDescent="0.65"/>
    <row r="87" hidden="1" x14ac:dyDescent="0.65"/>
    <row r="88" hidden="1" x14ac:dyDescent="0.65"/>
    <row r="89" hidden="1" x14ac:dyDescent="0.65"/>
    <row r="90" hidden="1" x14ac:dyDescent="0.65"/>
    <row r="91" hidden="1" x14ac:dyDescent="0.65"/>
    <row r="92" hidden="1" x14ac:dyDescent="0.65"/>
    <row r="93" hidden="1" x14ac:dyDescent="0.65"/>
    <row r="94" hidden="1" x14ac:dyDescent="0.65"/>
    <row r="95" hidden="1" x14ac:dyDescent="0.65"/>
    <row r="96" hidden="1" x14ac:dyDescent="0.65"/>
    <row r="97" hidden="1" x14ac:dyDescent="0.65"/>
    <row r="98" hidden="1" x14ac:dyDescent="0.65"/>
    <row r="99" hidden="1" x14ac:dyDescent="0.65"/>
    <row r="100" hidden="1" x14ac:dyDescent="0.65"/>
    <row r="101" hidden="1" x14ac:dyDescent="0.65"/>
    <row r="102" hidden="1" x14ac:dyDescent="0.65"/>
    <row r="103" hidden="1" x14ac:dyDescent="0.65"/>
    <row r="104" hidden="1" x14ac:dyDescent="0.65"/>
    <row r="105" hidden="1" x14ac:dyDescent="0.65"/>
    <row r="106" hidden="1" x14ac:dyDescent="0.65"/>
    <row r="107" hidden="1" x14ac:dyDescent="0.65"/>
    <row r="108" hidden="1" x14ac:dyDescent="0.65"/>
    <row r="109" hidden="1" x14ac:dyDescent="0.65"/>
    <row r="110" hidden="1" x14ac:dyDescent="0.65"/>
    <row r="111" hidden="1" x14ac:dyDescent="0.65"/>
    <row r="112" hidden="1" x14ac:dyDescent="0.65"/>
    <row r="113" hidden="1" x14ac:dyDescent="0.65"/>
    <row r="114" hidden="1" x14ac:dyDescent="0.65"/>
    <row r="115" hidden="1" x14ac:dyDescent="0.65"/>
    <row r="116" hidden="1" x14ac:dyDescent="0.65"/>
    <row r="117" hidden="1" x14ac:dyDescent="0.65"/>
    <row r="118" hidden="1" x14ac:dyDescent="0.65"/>
    <row r="119" hidden="1" x14ac:dyDescent="0.65"/>
    <row r="120" hidden="1" x14ac:dyDescent="0.65"/>
    <row r="121" hidden="1" x14ac:dyDescent="0.65"/>
    <row r="122" hidden="1" x14ac:dyDescent="0.65"/>
    <row r="123" hidden="1" x14ac:dyDescent="0.65"/>
    <row r="124" hidden="1" x14ac:dyDescent="0.65"/>
    <row r="125" hidden="1" x14ac:dyDescent="0.65"/>
    <row r="126" hidden="1" x14ac:dyDescent="0.65"/>
    <row r="127" hidden="1" x14ac:dyDescent="0.65"/>
    <row r="128" hidden="1" x14ac:dyDescent="0.65"/>
    <row r="129" hidden="1" x14ac:dyDescent="0.65"/>
    <row r="130" hidden="1" x14ac:dyDescent="0.65"/>
    <row r="131" hidden="1" x14ac:dyDescent="0.65"/>
    <row r="132" hidden="1" x14ac:dyDescent="0.65"/>
    <row r="133" hidden="1" x14ac:dyDescent="0.65"/>
    <row r="134" hidden="1" x14ac:dyDescent="0.65"/>
    <row r="135" hidden="1" x14ac:dyDescent="0.65"/>
    <row r="136" hidden="1" x14ac:dyDescent="0.65"/>
    <row r="137" hidden="1" x14ac:dyDescent="0.65"/>
    <row r="138" hidden="1" x14ac:dyDescent="0.65"/>
    <row r="139" hidden="1" x14ac:dyDescent="0.65"/>
    <row r="140" hidden="1" x14ac:dyDescent="0.65"/>
    <row r="141" hidden="1" x14ac:dyDescent="0.65"/>
    <row r="142" hidden="1" x14ac:dyDescent="0.65"/>
    <row r="143" hidden="1" x14ac:dyDescent="0.65"/>
    <row r="144" hidden="1" x14ac:dyDescent="0.65"/>
    <row r="145" hidden="1" x14ac:dyDescent="0.65"/>
    <row r="146" hidden="1" x14ac:dyDescent="0.65"/>
    <row r="147" hidden="1" x14ac:dyDescent="0.65"/>
    <row r="148" hidden="1" x14ac:dyDescent="0.65"/>
    <row r="149" hidden="1" x14ac:dyDescent="0.65"/>
    <row r="150" hidden="1" x14ac:dyDescent="0.65"/>
    <row r="151" hidden="1" x14ac:dyDescent="0.65"/>
    <row r="152" hidden="1" x14ac:dyDescent="0.65"/>
    <row r="153" hidden="1" x14ac:dyDescent="0.65"/>
    <row r="154" hidden="1" x14ac:dyDescent="0.65"/>
    <row r="155" hidden="1" x14ac:dyDescent="0.65"/>
    <row r="156" hidden="1" x14ac:dyDescent="0.65"/>
    <row r="157" hidden="1" x14ac:dyDescent="0.65"/>
    <row r="158" hidden="1" x14ac:dyDescent="0.65"/>
    <row r="159" hidden="1" x14ac:dyDescent="0.65"/>
    <row r="160" hidden="1" x14ac:dyDescent="0.65"/>
    <row r="161" hidden="1" x14ac:dyDescent="0.65"/>
    <row r="162" hidden="1" x14ac:dyDescent="0.65"/>
    <row r="163" hidden="1" x14ac:dyDescent="0.65"/>
    <row r="164" hidden="1" x14ac:dyDescent="0.65"/>
    <row r="165" hidden="1" x14ac:dyDescent="0.65"/>
    <row r="166" hidden="1" x14ac:dyDescent="0.65"/>
    <row r="167" hidden="1" x14ac:dyDescent="0.65"/>
    <row r="168" hidden="1" x14ac:dyDescent="0.65"/>
    <row r="169" hidden="1" x14ac:dyDescent="0.65"/>
    <row r="170" hidden="1" x14ac:dyDescent="0.65"/>
    <row r="171" hidden="1" x14ac:dyDescent="0.65"/>
    <row r="172" hidden="1" x14ac:dyDescent="0.65"/>
    <row r="173" hidden="1" x14ac:dyDescent="0.65"/>
    <row r="174" hidden="1" x14ac:dyDescent="0.65"/>
    <row r="175" hidden="1" x14ac:dyDescent="0.65"/>
    <row r="176" hidden="1" x14ac:dyDescent="0.65"/>
    <row r="193" spans="5:5" x14ac:dyDescent="0.65">
      <c r="E193" s="296"/>
    </row>
  </sheetData>
  <mergeCells count="18">
    <mergeCell ref="A43:G43"/>
    <mergeCell ref="A44:G44"/>
    <mergeCell ref="J4:J5"/>
    <mergeCell ref="M4:M5"/>
    <mergeCell ref="N4:N5"/>
    <mergeCell ref="O4:O5"/>
    <mergeCell ref="A21:G21"/>
    <mergeCell ref="A40:G40"/>
    <mergeCell ref="A1:L1"/>
    <mergeCell ref="A2:L2"/>
    <mergeCell ref="A3:L3"/>
    <mergeCell ref="B4:B5"/>
    <mergeCell ref="C4:C5"/>
    <mergeCell ref="D4:D5"/>
    <mergeCell ref="E4:E5"/>
    <mergeCell ref="F4:F5"/>
    <mergeCell ref="G4:G5"/>
    <mergeCell ref="H4:H5"/>
  </mergeCells>
  <pageMargins left="0.25" right="0" top="0.75" bottom="0.75" header="0.3" footer="0.3"/>
  <pageSetup paperSize="9" scale="70" orientation="landscape" r:id="rId1"/>
  <headerFooter>
    <oddFooter>หน้าที่ &amp;P จาก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00B050"/>
  </sheetPr>
  <dimension ref="A1:O45"/>
  <sheetViews>
    <sheetView topLeftCell="D4" zoomScale="80" zoomScaleNormal="80" workbookViewId="0">
      <pane ySplit="1515" topLeftCell="A25" activePane="bottomLeft"/>
      <selection activeCell="B5" sqref="B1:B1048576"/>
      <selection pane="bottomLeft" activeCell="K32" sqref="K32"/>
    </sheetView>
  </sheetViews>
  <sheetFormatPr defaultRowHeight="24" x14ac:dyDescent="0.5"/>
  <cols>
    <col min="1" max="1" width="6.85546875" style="757" customWidth="1"/>
    <col min="2" max="2" width="19.5703125" style="848" hidden="1" customWidth="1"/>
    <col min="3" max="3" width="6.42578125" style="922" customWidth="1"/>
    <col min="4" max="4" width="68" style="827" customWidth="1"/>
    <col min="5" max="5" width="18.85546875" style="759" bestFit="1" customWidth="1"/>
    <col min="6" max="6" width="22.140625" style="759" hidden="1" customWidth="1"/>
    <col min="7" max="7" width="18.85546875" style="760" bestFit="1" customWidth="1"/>
    <col min="8" max="8" width="15.140625" style="759" bestFit="1" customWidth="1"/>
    <col min="9" max="9" width="14.7109375" style="759" customWidth="1"/>
    <col min="10" max="10" width="17.85546875" style="759" bestFit="1" customWidth="1"/>
    <col min="11" max="11" width="21.42578125" style="760" bestFit="1" customWidth="1"/>
    <col min="12" max="12" width="11.5703125" style="760" bestFit="1" customWidth="1"/>
    <col min="13" max="13" width="16" style="760" customWidth="1"/>
    <col min="14" max="14" width="22.42578125" style="760" hidden="1" customWidth="1"/>
    <col min="15" max="15" width="29.140625" style="827" customWidth="1"/>
    <col min="16" max="92" width="9.140625" style="759" customWidth="1"/>
    <col min="93" max="16384" width="9.140625" style="759"/>
  </cols>
  <sheetData>
    <row r="1" spans="1:15" x14ac:dyDescent="0.5">
      <c r="A1" s="1064" t="s">
        <v>57</v>
      </c>
      <c r="B1" s="1064"/>
      <c r="C1" s="1064"/>
      <c r="D1" s="1064"/>
      <c r="E1" s="1064"/>
      <c r="F1" s="1064"/>
      <c r="G1" s="1064"/>
      <c r="H1" s="1064"/>
      <c r="I1" s="1064"/>
      <c r="J1" s="1064"/>
      <c r="K1" s="1064"/>
      <c r="L1" s="1064"/>
      <c r="M1" s="1064"/>
      <c r="N1" s="1064"/>
      <c r="O1" s="1064"/>
    </row>
    <row r="2" spans="1:15" x14ac:dyDescent="0.5">
      <c r="A2" s="1064" t="s">
        <v>1040</v>
      </c>
      <c r="B2" s="1064"/>
      <c r="C2" s="1064"/>
      <c r="D2" s="1064"/>
      <c r="E2" s="1064"/>
      <c r="F2" s="1064"/>
      <c r="G2" s="1064"/>
      <c r="H2" s="1064"/>
      <c r="I2" s="1064"/>
      <c r="J2" s="1064"/>
      <c r="K2" s="1064"/>
      <c r="L2" s="1064"/>
      <c r="M2" s="1064"/>
      <c r="N2" s="1064"/>
      <c r="O2" s="1064"/>
    </row>
    <row r="3" spans="1:15" x14ac:dyDescent="0.5">
      <c r="A3" s="1064" t="s">
        <v>65</v>
      </c>
      <c r="B3" s="1064"/>
      <c r="C3" s="1064"/>
      <c r="D3" s="1064"/>
      <c r="E3" s="1064"/>
      <c r="F3" s="1064"/>
      <c r="G3" s="1064"/>
      <c r="H3" s="1064"/>
      <c r="I3" s="1064"/>
      <c r="J3" s="1064"/>
      <c r="K3" s="1064"/>
      <c r="L3" s="1064"/>
      <c r="M3" s="1064"/>
      <c r="N3" s="1064"/>
      <c r="O3" s="1064"/>
    </row>
    <row r="4" spans="1:15" x14ac:dyDescent="0.5">
      <c r="A4" s="1066" t="str">
        <f>+รายจ่ายจริง!A3:P3</f>
        <v>ตั้งแต่วันที่ 1  ตุลาคม 2564 ถึงวันที่ 31 ตุลาคม 2564</v>
      </c>
      <c r="B4" s="1066"/>
      <c r="C4" s="1066"/>
      <c r="D4" s="1066"/>
      <c r="E4" s="1066"/>
      <c r="F4" s="1066"/>
      <c r="G4" s="1066"/>
      <c r="H4" s="1066"/>
      <c r="I4" s="1066"/>
      <c r="J4" s="1066"/>
      <c r="K4" s="1066"/>
      <c r="L4" s="1066"/>
      <c r="M4" s="1066"/>
      <c r="N4" s="1066"/>
      <c r="O4" s="1066"/>
    </row>
    <row r="5" spans="1:15" x14ac:dyDescent="0.5">
      <c r="A5" s="930" t="s">
        <v>0</v>
      </c>
      <c r="B5" s="931"/>
      <c r="C5" s="1071" t="s">
        <v>58</v>
      </c>
      <c r="D5" s="1072"/>
      <c r="E5" s="1079" t="s">
        <v>59</v>
      </c>
      <c r="F5" s="1080"/>
      <c r="G5" s="1081"/>
      <c r="H5" s="932" t="s">
        <v>166</v>
      </c>
      <c r="I5" s="932" t="s">
        <v>17</v>
      </c>
      <c r="J5" s="932" t="s">
        <v>62</v>
      </c>
      <c r="K5" s="932" t="s">
        <v>661</v>
      </c>
      <c r="L5" s="933" t="s">
        <v>83</v>
      </c>
      <c r="M5" s="962" t="s">
        <v>83</v>
      </c>
      <c r="N5" s="914"/>
      <c r="O5" s="1068" t="s">
        <v>165</v>
      </c>
    </row>
    <row r="6" spans="1:15" x14ac:dyDescent="0.5">
      <c r="A6" s="934" t="s">
        <v>727</v>
      </c>
      <c r="B6" s="935" t="s">
        <v>179</v>
      </c>
      <c r="C6" s="1073"/>
      <c r="D6" s="1074"/>
      <c r="E6" s="811" t="s">
        <v>773</v>
      </c>
      <c r="F6" s="811" t="s">
        <v>858</v>
      </c>
      <c r="G6" s="811" t="s">
        <v>739</v>
      </c>
      <c r="H6" s="936" t="s">
        <v>800</v>
      </c>
      <c r="I6" s="936" t="s">
        <v>2</v>
      </c>
      <c r="J6" s="936" t="s">
        <v>72</v>
      </c>
      <c r="K6" s="936" t="s">
        <v>102</v>
      </c>
      <c r="L6" s="937" t="s">
        <v>737</v>
      </c>
      <c r="M6" s="963" t="s">
        <v>737</v>
      </c>
      <c r="N6" s="915"/>
      <c r="O6" s="1069"/>
    </row>
    <row r="7" spans="1:15" x14ac:dyDescent="0.5">
      <c r="A7" s="938"/>
      <c r="B7" s="939"/>
      <c r="C7" s="1075"/>
      <c r="D7" s="1076"/>
      <c r="E7" s="813" t="s">
        <v>448</v>
      </c>
      <c r="F7" s="813" t="s">
        <v>449</v>
      </c>
      <c r="G7" s="813" t="s">
        <v>449</v>
      </c>
      <c r="H7" s="813" t="s">
        <v>450</v>
      </c>
      <c r="I7" s="813" t="s">
        <v>451</v>
      </c>
      <c r="J7" s="813" t="s">
        <v>1014</v>
      </c>
      <c r="K7" s="813" t="s">
        <v>1010</v>
      </c>
      <c r="L7" s="929" t="s">
        <v>61</v>
      </c>
      <c r="M7" s="814" t="s">
        <v>788</v>
      </c>
      <c r="N7" s="916"/>
      <c r="O7" s="1070"/>
    </row>
    <row r="8" spans="1:15" s="961" customFormat="1" ht="33.75" customHeight="1" x14ac:dyDescent="0.5">
      <c r="A8" s="954">
        <v>1</v>
      </c>
      <c r="B8" s="955"/>
      <c r="C8" s="1077" t="s">
        <v>1013</v>
      </c>
      <c r="D8" s="1077"/>
      <c r="E8" s="956">
        <f>5732400+13396300</f>
        <v>19128700</v>
      </c>
      <c r="F8" s="957">
        <v>0</v>
      </c>
      <c r="G8" s="956">
        <f>5732400+13396300</f>
        <v>19128700</v>
      </c>
      <c r="H8" s="958">
        <f>+รายจ่ายจริง!K81</f>
        <v>1351610</v>
      </c>
      <c r="I8" s="958">
        <f>+รายจ่ายจริง!K82</f>
        <v>1322506.5</v>
      </c>
      <c r="J8" s="958">
        <f>+G8-I8</f>
        <v>17806193.5</v>
      </c>
      <c r="K8" s="959">
        <f>+G8-H8-I8</f>
        <v>16454583.5</v>
      </c>
      <c r="L8" s="959">
        <f>+I8*100/E8</f>
        <v>6.913729108616895</v>
      </c>
      <c r="M8" s="959">
        <f>+N8*100/E8</f>
        <v>13.979603945903277</v>
      </c>
      <c r="N8" s="959">
        <f>+H8+I8</f>
        <v>2674116.5</v>
      </c>
      <c r="O8" s="960"/>
    </row>
    <row r="9" spans="1:15" s="760" customFormat="1" ht="69" customHeight="1" x14ac:dyDescent="0.5">
      <c r="A9" s="918">
        <v>2</v>
      </c>
      <c r="B9" s="918"/>
      <c r="C9" s="1067" t="s">
        <v>1027</v>
      </c>
      <c r="D9" s="1067"/>
      <c r="E9" s="823">
        <f>SUM(E10:E27)</f>
        <v>27161300</v>
      </c>
      <c r="F9" s="823">
        <f t="shared" ref="F9:K9" si="0">SUM(F10:F27)</f>
        <v>27161300</v>
      </c>
      <c r="G9" s="823">
        <f t="shared" si="0"/>
        <v>27161300</v>
      </c>
      <c r="H9" s="823">
        <f t="shared" si="0"/>
        <v>0</v>
      </c>
      <c r="I9" s="823">
        <f t="shared" si="0"/>
        <v>0</v>
      </c>
      <c r="J9" s="823">
        <f t="shared" si="0"/>
        <v>27161300</v>
      </c>
      <c r="K9" s="823">
        <f t="shared" si="0"/>
        <v>27161300</v>
      </c>
      <c r="L9" s="823">
        <f>+I9*100/G9</f>
        <v>0</v>
      </c>
      <c r="M9" s="815">
        <f>+N9*100/E9</f>
        <v>0</v>
      </c>
      <c r="N9" s="815">
        <f t="shared" ref="N9:N43" si="1">+H9+I9</f>
        <v>0</v>
      </c>
      <c r="O9" s="818"/>
    </row>
    <row r="10" spans="1:15" s="825" customFormat="1" ht="48" x14ac:dyDescent="0.5">
      <c r="A10" s="919"/>
      <c r="B10" s="910" t="s">
        <v>706</v>
      </c>
      <c r="C10" s="911">
        <v>2.1</v>
      </c>
      <c r="D10" s="821" t="s">
        <v>1051</v>
      </c>
      <c r="E10" s="753">
        <v>252900</v>
      </c>
      <c r="F10" s="753">
        <v>252900</v>
      </c>
      <c r="G10" s="753">
        <v>252900</v>
      </c>
      <c r="H10" s="820">
        <v>0</v>
      </c>
      <c r="I10" s="820">
        <v>0</v>
      </c>
      <c r="J10" s="917">
        <f t="shared" ref="J10:J35" si="2">+G10-I10</f>
        <v>252900</v>
      </c>
      <c r="K10" s="815">
        <f t="shared" ref="K10:K35" si="3">+G10-H10-I10</f>
        <v>252900</v>
      </c>
      <c r="L10" s="823">
        <f t="shared" ref="L10:L37" si="4">+I10*100/E10</f>
        <v>0</v>
      </c>
      <c r="M10" s="815">
        <f t="shared" ref="M10:M37" si="5">+N10*100/E10</f>
        <v>0</v>
      </c>
      <c r="N10" s="815">
        <f t="shared" si="1"/>
        <v>0</v>
      </c>
      <c r="O10" s="822" t="s">
        <v>820</v>
      </c>
    </row>
    <row r="11" spans="1:15" s="825" customFormat="1" ht="48" x14ac:dyDescent="0.5">
      <c r="A11" s="919"/>
      <c r="B11" s="910" t="s">
        <v>707</v>
      </c>
      <c r="C11" s="911">
        <v>2.2000000000000002</v>
      </c>
      <c r="D11" s="821" t="s">
        <v>1052</v>
      </c>
      <c r="E11" s="753">
        <v>5026400</v>
      </c>
      <c r="F11" s="753">
        <v>5026400</v>
      </c>
      <c r="G11" s="753">
        <v>5026400</v>
      </c>
      <c r="H11" s="820">
        <v>0</v>
      </c>
      <c r="I11" s="820">
        <v>0</v>
      </c>
      <c r="J11" s="917">
        <f t="shared" si="2"/>
        <v>5026400</v>
      </c>
      <c r="K11" s="815">
        <f t="shared" si="3"/>
        <v>5026400</v>
      </c>
      <c r="L11" s="823">
        <f t="shared" si="4"/>
        <v>0</v>
      </c>
      <c r="M11" s="815">
        <f t="shared" si="5"/>
        <v>0</v>
      </c>
      <c r="N11" s="815">
        <f t="shared" si="1"/>
        <v>0</v>
      </c>
      <c r="O11" s="822" t="s">
        <v>820</v>
      </c>
    </row>
    <row r="12" spans="1:15" s="825" customFormat="1" ht="48" x14ac:dyDescent="0.5">
      <c r="A12" s="919"/>
      <c r="B12" s="910" t="s">
        <v>708</v>
      </c>
      <c r="C12" s="911">
        <v>2.2999999999999998</v>
      </c>
      <c r="D12" s="821" t="s">
        <v>1053</v>
      </c>
      <c r="E12" s="753">
        <v>4032000</v>
      </c>
      <c r="F12" s="753">
        <v>4032000</v>
      </c>
      <c r="G12" s="753">
        <v>4032000</v>
      </c>
      <c r="H12" s="820">
        <v>0</v>
      </c>
      <c r="I12" s="820">
        <v>0</v>
      </c>
      <c r="J12" s="917">
        <f t="shared" si="2"/>
        <v>4032000</v>
      </c>
      <c r="K12" s="815">
        <f t="shared" si="3"/>
        <v>4032000</v>
      </c>
      <c r="L12" s="815">
        <f t="shared" si="4"/>
        <v>0</v>
      </c>
      <c r="M12" s="815">
        <f t="shared" si="5"/>
        <v>0</v>
      </c>
      <c r="N12" s="815">
        <f t="shared" si="1"/>
        <v>0</v>
      </c>
      <c r="O12" s="822" t="s">
        <v>820</v>
      </c>
    </row>
    <row r="13" spans="1:15" s="825" customFormat="1" ht="48" x14ac:dyDescent="0.5">
      <c r="A13" s="919"/>
      <c r="B13" s="910" t="s">
        <v>709</v>
      </c>
      <c r="C13" s="911">
        <v>2.4</v>
      </c>
      <c r="D13" s="821" t="s">
        <v>1054</v>
      </c>
      <c r="E13" s="753">
        <v>1948000</v>
      </c>
      <c r="F13" s="753">
        <v>1948000</v>
      </c>
      <c r="G13" s="753">
        <v>1948000</v>
      </c>
      <c r="H13" s="820">
        <v>0</v>
      </c>
      <c r="I13" s="820">
        <v>0</v>
      </c>
      <c r="J13" s="917">
        <f t="shared" si="2"/>
        <v>1948000</v>
      </c>
      <c r="K13" s="815">
        <f t="shared" si="3"/>
        <v>1948000</v>
      </c>
      <c r="L13" s="815">
        <f t="shared" si="4"/>
        <v>0</v>
      </c>
      <c r="M13" s="815">
        <f t="shared" si="5"/>
        <v>0</v>
      </c>
      <c r="N13" s="815">
        <f t="shared" si="1"/>
        <v>0</v>
      </c>
      <c r="O13" s="822" t="s">
        <v>820</v>
      </c>
    </row>
    <row r="14" spans="1:15" s="825" customFormat="1" ht="48" x14ac:dyDescent="0.5">
      <c r="A14" s="919"/>
      <c r="B14" s="910" t="s">
        <v>710</v>
      </c>
      <c r="C14" s="911">
        <v>2.5</v>
      </c>
      <c r="D14" s="821" t="s">
        <v>1055</v>
      </c>
      <c r="E14" s="753">
        <v>2245000</v>
      </c>
      <c r="F14" s="753">
        <v>2245000</v>
      </c>
      <c r="G14" s="753">
        <v>2245000</v>
      </c>
      <c r="H14" s="820">
        <v>0</v>
      </c>
      <c r="I14" s="820">
        <v>0</v>
      </c>
      <c r="J14" s="917">
        <f t="shared" si="2"/>
        <v>2245000</v>
      </c>
      <c r="K14" s="815">
        <f t="shared" si="3"/>
        <v>2245000</v>
      </c>
      <c r="L14" s="815">
        <f t="shared" si="4"/>
        <v>0</v>
      </c>
      <c r="M14" s="815">
        <f t="shared" si="5"/>
        <v>0</v>
      </c>
      <c r="N14" s="815">
        <f t="shared" si="1"/>
        <v>0</v>
      </c>
      <c r="O14" s="822" t="s">
        <v>820</v>
      </c>
    </row>
    <row r="15" spans="1:15" s="825" customFormat="1" ht="48" x14ac:dyDescent="0.5">
      <c r="A15" s="919"/>
      <c r="B15" s="910" t="s">
        <v>711</v>
      </c>
      <c r="C15" s="911">
        <v>2.6</v>
      </c>
      <c r="D15" s="821" t="s">
        <v>1056</v>
      </c>
      <c r="E15" s="753">
        <v>1397000</v>
      </c>
      <c r="F15" s="753">
        <v>1397000</v>
      </c>
      <c r="G15" s="753">
        <v>1397000</v>
      </c>
      <c r="H15" s="820">
        <v>0</v>
      </c>
      <c r="I15" s="820">
        <v>0</v>
      </c>
      <c r="J15" s="917">
        <f t="shared" si="2"/>
        <v>1397000</v>
      </c>
      <c r="K15" s="815">
        <f t="shared" si="3"/>
        <v>1397000</v>
      </c>
      <c r="L15" s="815">
        <f t="shared" si="4"/>
        <v>0</v>
      </c>
      <c r="M15" s="815">
        <f t="shared" si="5"/>
        <v>0</v>
      </c>
      <c r="N15" s="815">
        <f t="shared" si="1"/>
        <v>0</v>
      </c>
      <c r="O15" s="822" t="s">
        <v>820</v>
      </c>
    </row>
    <row r="16" spans="1:15" s="825" customFormat="1" ht="48" x14ac:dyDescent="0.5">
      <c r="A16" s="919"/>
      <c r="B16" s="910" t="s">
        <v>712</v>
      </c>
      <c r="C16" s="911">
        <v>2.7</v>
      </c>
      <c r="D16" s="821" t="s">
        <v>1057</v>
      </c>
      <c r="E16" s="753">
        <v>210000</v>
      </c>
      <c r="F16" s="753">
        <v>210000</v>
      </c>
      <c r="G16" s="753">
        <v>210000</v>
      </c>
      <c r="H16" s="820">
        <v>0</v>
      </c>
      <c r="I16" s="820">
        <v>0</v>
      </c>
      <c r="J16" s="917">
        <f t="shared" si="2"/>
        <v>210000</v>
      </c>
      <c r="K16" s="815">
        <f t="shared" si="3"/>
        <v>210000</v>
      </c>
      <c r="L16" s="815">
        <f t="shared" si="4"/>
        <v>0</v>
      </c>
      <c r="M16" s="815">
        <f t="shared" si="5"/>
        <v>0</v>
      </c>
      <c r="N16" s="815">
        <f t="shared" si="1"/>
        <v>0</v>
      </c>
      <c r="O16" s="822" t="s">
        <v>820</v>
      </c>
    </row>
    <row r="17" spans="1:15" s="825" customFormat="1" ht="48" x14ac:dyDescent="0.5">
      <c r="A17" s="919"/>
      <c r="B17" s="910" t="s">
        <v>713</v>
      </c>
      <c r="C17" s="911">
        <v>2.8</v>
      </c>
      <c r="D17" s="821" t="s">
        <v>1058</v>
      </c>
      <c r="E17" s="753">
        <v>441400</v>
      </c>
      <c r="F17" s="753">
        <v>441400</v>
      </c>
      <c r="G17" s="753">
        <v>441400</v>
      </c>
      <c r="H17" s="820">
        <v>0</v>
      </c>
      <c r="I17" s="820">
        <v>0</v>
      </c>
      <c r="J17" s="917">
        <f t="shared" si="2"/>
        <v>441400</v>
      </c>
      <c r="K17" s="815">
        <f t="shared" si="3"/>
        <v>441400</v>
      </c>
      <c r="L17" s="815">
        <f t="shared" si="4"/>
        <v>0</v>
      </c>
      <c r="M17" s="815">
        <f t="shared" si="5"/>
        <v>0</v>
      </c>
      <c r="N17" s="815">
        <f t="shared" si="1"/>
        <v>0</v>
      </c>
      <c r="O17" s="822" t="s">
        <v>820</v>
      </c>
    </row>
    <row r="18" spans="1:15" s="825" customFormat="1" ht="48" x14ac:dyDescent="0.5">
      <c r="A18" s="919"/>
      <c r="B18" s="910" t="s">
        <v>714</v>
      </c>
      <c r="C18" s="911">
        <v>2.9</v>
      </c>
      <c r="D18" s="821" t="s">
        <v>1059</v>
      </c>
      <c r="E18" s="753">
        <v>75600</v>
      </c>
      <c r="F18" s="753">
        <v>75600</v>
      </c>
      <c r="G18" s="753">
        <v>75600</v>
      </c>
      <c r="H18" s="820">
        <v>0</v>
      </c>
      <c r="I18" s="820">
        <v>0</v>
      </c>
      <c r="J18" s="917">
        <f t="shared" si="2"/>
        <v>75600</v>
      </c>
      <c r="K18" s="815">
        <f t="shared" si="3"/>
        <v>75600</v>
      </c>
      <c r="L18" s="815">
        <f t="shared" si="4"/>
        <v>0</v>
      </c>
      <c r="M18" s="815">
        <f t="shared" si="5"/>
        <v>0</v>
      </c>
      <c r="N18" s="815">
        <f t="shared" si="1"/>
        <v>0</v>
      </c>
      <c r="O18" s="822" t="s">
        <v>820</v>
      </c>
    </row>
    <row r="19" spans="1:15" s="825" customFormat="1" ht="48" x14ac:dyDescent="0.5">
      <c r="A19" s="919"/>
      <c r="B19" s="910" t="s">
        <v>715</v>
      </c>
      <c r="C19" s="912">
        <v>2.1</v>
      </c>
      <c r="D19" s="821" t="s">
        <v>1060</v>
      </c>
      <c r="E19" s="753">
        <v>275100</v>
      </c>
      <c r="F19" s="753">
        <v>275100</v>
      </c>
      <c r="G19" s="753">
        <v>275100</v>
      </c>
      <c r="H19" s="820">
        <v>0</v>
      </c>
      <c r="I19" s="820">
        <v>0</v>
      </c>
      <c r="J19" s="917">
        <f t="shared" si="2"/>
        <v>275100</v>
      </c>
      <c r="K19" s="815">
        <f t="shared" si="3"/>
        <v>275100</v>
      </c>
      <c r="L19" s="815">
        <f t="shared" si="4"/>
        <v>0</v>
      </c>
      <c r="M19" s="815">
        <f t="shared" si="5"/>
        <v>0</v>
      </c>
      <c r="N19" s="815">
        <f t="shared" si="1"/>
        <v>0</v>
      </c>
      <c r="O19" s="822" t="s">
        <v>820</v>
      </c>
    </row>
    <row r="20" spans="1:15" s="825" customFormat="1" ht="48" x14ac:dyDescent="0.5">
      <c r="A20" s="919"/>
      <c r="B20" s="910" t="s">
        <v>797</v>
      </c>
      <c r="C20" s="912">
        <v>2.11</v>
      </c>
      <c r="D20" s="821" t="s">
        <v>1061</v>
      </c>
      <c r="E20" s="753">
        <v>6047000</v>
      </c>
      <c r="F20" s="753">
        <v>6047000</v>
      </c>
      <c r="G20" s="753">
        <v>6047000</v>
      </c>
      <c r="H20" s="820">
        <v>0</v>
      </c>
      <c r="I20" s="820">
        <v>0</v>
      </c>
      <c r="J20" s="917">
        <f t="shared" si="2"/>
        <v>6047000</v>
      </c>
      <c r="K20" s="815">
        <f t="shared" si="3"/>
        <v>6047000</v>
      </c>
      <c r="L20" s="815">
        <f t="shared" si="4"/>
        <v>0</v>
      </c>
      <c r="M20" s="815">
        <f t="shared" si="5"/>
        <v>0</v>
      </c>
      <c r="N20" s="815">
        <f t="shared" si="1"/>
        <v>0</v>
      </c>
      <c r="O20" s="822" t="s">
        <v>820</v>
      </c>
    </row>
    <row r="21" spans="1:15" s="825" customFormat="1" ht="48" x14ac:dyDescent="0.5">
      <c r="A21" s="919"/>
      <c r="B21" s="910" t="s">
        <v>798</v>
      </c>
      <c r="C21" s="912">
        <v>2.12</v>
      </c>
      <c r="D21" s="821" t="s">
        <v>1062</v>
      </c>
      <c r="E21" s="753">
        <v>965000</v>
      </c>
      <c r="F21" s="753">
        <v>965000</v>
      </c>
      <c r="G21" s="753">
        <v>965000</v>
      </c>
      <c r="H21" s="820">
        <v>0</v>
      </c>
      <c r="I21" s="820">
        <v>0</v>
      </c>
      <c r="J21" s="917">
        <f t="shared" si="2"/>
        <v>965000</v>
      </c>
      <c r="K21" s="815">
        <f t="shared" si="3"/>
        <v>965000</v>
      </c>
      <c r="L21" s="815">
        <f t="shared" si="4"/>
        <v>0</v>
      </c>
      <c r="M21" s="815">
        <f t="shared" si="5"/>
        <v>0</v>
      </c>
      <c r="N21" s="815">
        <f t="shared" si="1"/>
        <v>0</v>
      </c>
      <c r="O21" s="822" t="s">
        <v>820</v>
      </c>
    </row>
    <row r="22" spans="1:15" s="825" customFormat="1" ht="48" x14ac:dyDescent="0.5">
      <c r="A22" s="919"/>
      <c r="B22" s="910" t="s">
        <v>799</v>
      </c>
      <c r="C22" s="912">
        <v>2.13</v>
      </c>
      <c r="D22" s="821" t="s">
        <v>1063</v>
      </c>
      <c r="E22" s="753">
        <v>466000</v>
      </c>
      <c r="F22" s="753">
        <v>466000</v>
      </c>
      <c r="G22" s="753">
        <v>466000</v>
      </c>
      <c r="H22" s="820">
        <v>0</v>
      </c>
      <c r="I22" s="820">
        <v>0</v>
      </c>
      <c r="J22" s="917">
        <f t="shared" si="2"/>
        <v>466000</v>
      </c>
      <c r="K22" s="815">
        <f t="shared" si="3"/>
        <v>466000</v>
      </c>
      <c r="L22" s="815">
        <f t="shared" si="4"/>
        <v>0</v>
      </c>
      <c r="M22" s="815">
        <f t="shared" si="5"/>
        <v>0</v>
      </c>
      <c r="N22" s="815">
        <f t="shared" si="1"/>
        <v>0</v>
      </c>
      <c r="O22" s="822" t="s">
        <v>820</v>
      </c>
    </row>
    <row r="23" spans="1:15" s="825" customFormat="1" ht="48" x14ac:dyDescent="0.5">
      <c r="A23" s="919"/>
      <c r="B23" s="910" t="s">
        <v>802</v>
      </c>
      <c r="C23" s="912">
        <v>2.14</v>
      </c>
      <c r="D23" s="821" t="s">
        <v>1064</v>
      </c>
      <c r="E23" s="753">
        <v>140000</v>
      </c>
      <c r="F23" s="753">
        <v>140000</v>
      </c>
      <c r="G23" s="753">
        <v>140000</v>
      </c>
      <c r="H23" s="820">
        <v>0</v>
      </c>
      <c r="I23" s="820">
        <v>0</v>
      </c>
      <c r="J23" s="917">
        <f t="shared" si="2"/>
        <v>140000</v>
      </c>
      <c r="K23" s="815">
        <f t="shared" si="3"/>
        <v>140000</v>
      </c>
      <c r="L23" s="815">
        <f t="shared" si="4"/>
        <v>0</v>
      </c>
      <c r="M23" s="815">
        <f t="shared" si="5"/>
        <v>0</v>
      </c>
      <c r="N23" s="815">
        <f t="shared" si="1"/>
        <v>0</v>
      </c>
      <c r="O23" s="822" t="s">
        <v>820</v>
      </c>
    </row>
    <row r="24" spans="1:15" s="825" customFormat="1" ht="48" x14ac:dyDescent="0.5">
      <c r="A24" s="919"/>
      <c r="B24" s="910" t="s">
        <v>803</v>
      </c>
      <c r="C24" s="912">
        <v>2.15</v>
      </c>
      <c r="D24" s="821" t="s">
        <v>1065</v>
      </c>
      <c r="E24" s="753">
        <v>6900</v>
      </c>
      <c r="F24" s="753">
        <v>6900</v>
      </c>
      <c r="G24" s="753">
        <v>6900</v>
      </c>
      <c r="H24" s="820">
        <v>0</v>
      </c>
      <c r="I24" s="820">
        <v>0</v>
      </c>
      <c r="J24" s="917">
        <f t="shared" si="2"/>
        <v>6900</v>
      </c>
      <c r="K24" s="815">
        <f t="shared" si="3"/>
        <v>6900</v>
      </c>
      <c r="L24" s="815">
        <f t="shared" si="4"/>
        <v>0</v>
      </c>
      <c r="M24" s="815">
        <f t="shared" si="5"/>
        <v>0</v>
      </c>
      <c r="N24" s="815">
        <f t="shared" si="1"/>
        <v>0</v>
      </c>
      <c r="O24" s="822" t="s">
        <v>820</v>
      </c>
    </row>
    <row r="25" spans="1:15" s="825" customFormat="1" ht="48" x14ac:dyDescent="0.5">
      <c r="A25" s="919"/>
      <c r="B25" s="910" t="s">
        <v>716</v>
      </c>
      <c r="C25" s="912">
        <v>2.16</v>
      </c>
      <c r="D25" s="821" t="s">
        <v>1066</v>
      </c>
      <c r="E25" s="753">
        <v>460000</v>
      </c>
      <c r="F25" s="753">
        <v>460000</v>
      </c>
      <c r="G25" s="753">
        <v>460000</v>
      </c>
      <c r="H25" s="820">
        <v>0</v>
      </c>
      <c r="I25" s="820">
        <v>0</v>
      </c>
      <c r="J25" s="917">
        <f t="shared" si="2"/>
        <v>460000</v>
      </c>
      <c r="K25" s="815">
        <f t="shared" si="3"/>
        <v>460000</v>
      </c>
      <c r="L25" s="815">
        <f t="shared" si="4"/>
        <v>0</v>
      </c>
      <c r="M25" s="815">
        <f t="shared" si="5"/>
        <v>0</v>
      </c>
      <c r="N25" s="815">
        <f t="shared" si="1"/>
        <v>0</v>
      </c>
      <c r="O25" s="822" t="s">
        <v>820</v>
      </c>
    </row>
    <row r="26" spans="1:15" s="825" customFormat="1" ht="48" x14ac:dyDescent="0.5">
      <c r="A26" s="919"/>
      <c r="B26" s="910" t="s">
        <v>717</v>
      </c>
      <c r="C26" s="912">
        <v>2.17</v>
      </c>
      <c r="D26" s="821" t="s">
        <v>1067</v>
      </c>
      <c r="E26" s="753">
        <v>1241100</v>
      </c>
      <c r="F26" s="753">
        <v>1241100</v>
      </c>
      <c r="G26" s="753">
        <v>1241100</v>
      </c>
      <c r="H26" s="820">
        <v>0</v>
      </c>
      <c r="I26" s="820">
        <v>0</v>
      </c>
      <c r="J26" s="917">
        <f t="shared" si="2"/>
        <v>1241100</v>
      </c>
      <c r="K26" s="815">
        <f t="shared" si="3"/>
        <v>1241100</v>
      </c>
      <c r="L26" s="815">
        <f t="shared" si="4"/>
        <v>0</v>
      </c>
      <c r="M26" s="815">
        <f t="shared" si="5"/>
        <v>0</v>
      </c>
      <c r="N26" s="815">
        <f t="shared" si="1"/>
        <v>0</v>
      </c>
      <c r="O26" s="822" t="s">
        <v>820</v>
      </c>
    </row>
    <row r="27" spans="1:15" s="825" customFormat="1" ht="48" x14ac:dyDescent="0.5">
      <c r="A27" s="919"/>
      <c r="B27" s="910" t="s">
        <v>718</v>
      </c>
      <c r="C27" s="912">
        <v>2.1800000000000002</v>
      </c>
      <c r="D27" s="821" t="s">
        <v>1068</v>
      </c>
      <c r="E27" s="753">
        <v>1931900</v>
      </c>
      <c r="F27" s="753">
        <v>1931900</v>
      </c>
      <c r="G27" s="753">
        <v>1931900</v>
      </c>
      <c r="H27" s="820">
        <v>0</v>
      </c>
      <c r="I27" s="820">
        <v>0</v>
      </c>
      <c r="J27" s="917">
        <f t="shared" si="2"/>
        <v>1931900</v>
      </c>
      <c r="K27" s="815">
        <f t="shared" si="3"/>
        <v>1931900</v>
      </c>
      <c r="L27" s="815">
        <f t="shared" si="4"/>
        <v>0</v>
      </c>
      <c r="M27" s="815">
        <f t="shared" si="5"/>
        <v>0</v>
      </c>
      <c r="N27" s="815">
        <f t="shared" si="1"/>
        <v>0</v>
      </c>
      <c r="O27" s="822" t="s">
        <v>820</v>
      </c>
    </row>
    <row r="28" spans="1:15" s="953" customFormat="1" x14ac:dyDescent="0.5">
      <c r="A28" s="950">
        <v>3</v>
      </c>
      <c r="B28" s="951"/>
      <c r="C28" s="1078" t="s">
        <v>1041</v>
      </c>
      <c r="D28" s="1078"/>
      <c r="E28" s="288">
        <f>SUM(E29:E35)</f>
        <v>72004300</v>
      </c>
      <c r="F28" s="288">
        <f t="shared" ref="F28:N28" si="6">SUM(F29:F35)</f>
        <v>-50070800</v>
      </c>
      <c r="G28" s="288">
        <f t="shared" si="6"/>
        <v>21933500</v>
      </c>
      <c r="H28" s="288">
        <f t="shared" si="6"/>
        <v>6235800</v>
      </c>
      <c r="I28" s="288">
        <f t="shared" si="6"/>
        <v>0</v>
      </c>
      <c r="J28" s="288">
        <f t="shared" si="6"/>
        <v>21933500</v>
      </c>
      <c r="K28" s="288">
        <f t="shared" si="6"/>
        <v>15697700</v>
      </c>
      <c r="L28" s="948">
        <f t="shared" ref="L28" si="7">+I28*100/E28</f>
        <v>0</v>
      </c>
      <c r="M28" s="948">
        <f t="shared" ref="M28" si="8">+N28*100/E28</f>
        <v>8.6603161200094991</v>
      </c>
      <c r="N28" s="288">
        <f t="shared" si="6"/>
        <v>6235800</v>
      </c>
      <c r="O28" s="952"/>
    </row>
    <row r="29" spans="1:15" s="825" customFormat="1" ht="48" x14ac:dyDescent="0.5">
      <c r="A29" s="919"/>
      <c r="B29" s="910" t="s">
        <v>719</v>
      </c>
      <c r="C29" s="902" t="s">
        <v>1018</v>
      </c>
      <c r="D29" s="821" t="s">
        <v>1070</v>
      </c>
      <c r="E29" s="819">
        <v>1806700</v>
      </c>
      <c r="F29" s="819">
        <f>+G29-E29</f>
        <v>-1806700</v>
      </c>
      <c r="G29" s="991">
        <v>0</v>
      </c>
      <c r="H29" s="824">
        <v>0</v>
      </c>
      <c r="I29" s="824">
        <v>0</v>
      </c>
      <c r="J29" s="816">
        <f t="shared" si="2"/>
        <v>0</v>
      </c>
      <c r="K29" s="921">
        <f t="shared" si="3"/>
        <v>0</v>
      </c>
      <c r="L29" s="815">
        <f t="shared" si="4"/>
        <v>0</v>
      </c>
      <c r="M29" s="815">
        <f t="shared" si="5"/>
        <v>0</v>
      </c>
      <c r="N29" s="815">
        <f t="shared" si="1"/>
        <v>0</v>
      </c>
      <c r="O29" s="822" t="s">
        <v>1084</v>
      </c>
    </row>
    <row r="30" spans="1:15" s="825" customFormat="1" ht="48" x14ac:dyDescent="0.5">
      <c r="A30" s="919"/>
      <c r="B30" s="910" t="s">
        <v>720</v>
      </c>
      <c r="C30" s="902" t="s">
        <v>1019</v>
      </c>
      <c r="D30" s="821" t="s">
        <v>1069</v>
      </c>
      <c r="E30" s="819">
        <v>7383400</v>
      </c>
      <c r="F30" s="819">
        <f t="shared" ref="F30:F35" si="9">+G30-E30</f>
        <v>-6328600</v>
      </c>
      <c r="G30" s="816">
        <v>1054800</v>
      </c>
      <c r="H30" s="824">
        <v>1054800</v>
      </c>
      <c r="I30" s="824">
        <v>0</v>
      </c>
      <c r="J30" s="816">
        <f t="shared" si="2"/>
        <v>1054800</v>
      </c>
      <c r="K30" s="921">
        <f t="shared" si="3"/>
        <v>0</v>
      </c>
      <c r="L30" s="815">
        <f t="shared" si="4"/>
        <v>0</v>
      </c>
      <c r="M30" s="815">
        <f t="shared" si="5"/>
        <v>14.286101254164748</v>
      </c>
      <c r="N30" s="815">
        <f t="shared" si="1"/>
        <v>1054800</v>
      </c>
      <c r="O30" s="822"/>
    </row>
    <row r="31" spans="1:15" s="825" customFormat="1" x14ac:dyDescent="0.5">
      <c r="A31" s="919"/>
      <c r="B31" s="910" t="s">
        <v>721</v>
      </c>
      <c r="C31" s="902" t="s">
        <v>1020</v>
      </c>
      <c r="D31" s="821" t="s">
        <v>1071</v>
      </c>
      <c r="E31" s="819">
        <v>8723000</v>
      </c>
      <c r="F31" s="819">
        <f t="shared" si="9"/>
        <v>-6542000</v>
      </c>
      <c r="G31" s="816">
        <v>2181000</v>
      </c>
      <c r="H31" s="824">
        <v>2181000</v>
      </c>
      <c r="I31" s="824">
        <v>0</v>
      </c>
      <c r="J31" s="816">
        <f t="shared" si="2"/>
        <v>2181000</v>
      </c>
      <c r="K31" s="921">
        <f t="shared" si="3"/>
        <v>0</v>
      </c>
      <c r="L31" s="815">
        <f t="shared" si="4"/>
        <v>0</v>
      </c>
      <c r="M31" s="815">
        <f t="shared" si="5"/>
        <v>25.002865986472543</v>
      </c>
      <c r="N31" s="815">
        <f t="shared" si="1"/>
        <v>2181000</v>
      </c>
      <c r="O31" s="826"/>
    </row>
    <row r="32" spans="1:15" s="825" customFormat="1" ht="48" x14ac:dyDescent="0.5">
      <c r="A32" s="919"/>
      <c r="B32" s="910" t="s">
        <v>722</v>
      </c>
      <c r="C32" s="902" t="s">
        <v>1021</v>
      </c>
      <c r="D32" s="821" t="s">
        <v>1050</v>
      </c>
      <c r="E32" s="819">
        <v>5981700</v>
      </c>
      <c r="F32" s="819">
        <f t="shared" si="9"/>
        <v>0</v>
      </c>
      <c r="G32" s="816">
        <v>5981700</v>
      </c>
      <c r="H32" s="824">
        <v>0</v>
      </c>
      <c r="I32" s="824">
        <v>0</v>
      </c>
      <c r="J32" s="816">
        <f t="shared" si="2"/>
        <v>5981700</v>
      </c>
      <c r="K32" s="921">
        <f t="shared" si="3"/>
        <v>5981700</v>
      </c>
      <c r="L32" s="815">
        <f t="shared" si="4"/>
        <v>0</v>
      </c>
      <c r="M32" s="815">
        <f t="shared" si="5"/>
        <v>0</v>
      </c>
      <c r="N32" s="815">
        <f t="shared" si="1"/>
        <v>0</v>
      </c>
      <c r="O32" s="822"/>
    </row>
    <row r="33" spans="1:15" s="825" customFormat="1" ht="35.25" customHeight="1" x14ac:dyDescent="0.5">
      <c r="A33" s="919"/>
      <c r="B33" s="910" t="s">
        <v>725</v>
      </c>
      <c r="C33" s="902" t="s">
        <v>1022</v>
      </c>
      <c r="D33" s="821" t="s">
        <v>1072</v>
      </c>
      <c r="E33" s="819">
        <v>32954300</v>
      </c>
      <c r="F33" s="819">
        <f t="shared" si="9"/>
        <v>-29954300</v>
      </c>
      <c r="G33" s="816">
        <v>3000000</v>
      </c>
      <c r="H33" s="824">
        <v>3000000</v>
      </c>
      <c r="I33" s="824">
        <v>0</v>
      </c>
      <c r="J33" s="816">
        <f t="shared" si="2"/>
        <v>3000000</v>
      </c>
      <c r="K33" s="921">
        <f t="shared" si="3"/>
        <v>0</v>
      </c>
      <c r="L33" s="815">
        <f t="shared" si="4"/>
        <v>0</v>
      </c>
      <c r="M33" s="815">
        <f t="shared" si="5"/>
        <v>9.1035160813611569</v>
      </c>
      <c r="N33" s="815">
        <f t="shared" si="1"/>
        <v>3000000</v>
      </c>
      <c r="O33" s="822"/>
    </row>
    <row r="34" spans="1:15" s="825" customFormat="1" ht="48" x14ac:dyDescent="0.5">
      <c r="A34" s="919"/>
      <c r="B34" s="910" t="s">
        <v>726</v>
      </c>
      <c r="C34" s="902" t="s">
        <v>1023</v>
      </c>
      <c r="D34" s="821" t="s">
        <v>1016</v>
      </c>
      <c r="E34" s="819">
        <v>5439200</v>
      </c>
      <c r="F34" s="819">
        <f t="shared" si="9"/>
        <v>-5439200</v>
      </c>
      <c r="G34" s="991">
        <v>0</v>
      </c>
      <c r="H34" s="824">
        <v>0</v>
      </c>
      <c r="I34" s="824">
        <v>0</v>
      </c>
      <c r="J34" s="816">
        <f t="shared" si="2"/>
        <v>0</v>
      </c>
      <c r="K34" s="921">
        <f t="shared" si="3"/>
        <v>0</v>
      </c>
      <c r="L34" s="815">
        <f t="shared" si="4"/>
        <v>0</v>
      </c>
      <c r="M34" s="815">
        <f t="shared" si="5"/>
        <v>0</v>
      </c>
      <c r="N34" s="815">
        <f t="shared" si="1"/>
        <v>0</v>
      </c>
      <c r="O34" s="822" t="s">
        <v>1084</v>
      </c>
    </row>
    <row r="35" spans="1:15" s="825" customFormat="1" ht="48" x14ac:dyDescent="0.5">
      <c r="A35" s="919"/>
      <c r="B35" s="910" t="s">
        <v>1015</v>
      </c>
      <c r="C35" s="902" t="s">
        <v>1024</v>
      </c>
      <c r="D35" s="821" t="s">
        <v>1017</v>
      </c>
      <c r="E35" s="819">
        <v>9716000</v>
      </c>
      <c r="F35" s="819">
        <f t="shared" si="9"/>
        <v>0</v>
      </c>
      <c r="G35" s="816">
        <v>9716000</v>
      </c>
      <c r="H35" s="824">
        <v>0</v>
      </c>
      <c r="I35" s="824">
        <v>0</v>
      </c>
      <c r="J35" s="816">
        <f t="shared" si="2"/>
        <v>9716000</v>
      </c>
      <c r="K35" s="921">
        <f t="shared" si="3"/>
        <v>9716000</v>
      </c>
      <c r="L35" s="815">
        <f t="shared" si="4"/>
        <v>0</v>
      </c>
      <c r="M35" s="815">
        <f t="shared" si="5"/>
        <v>0</v>
      </c>
      <c r="N35" s="815">
        <f t="shared" si="1"/>
        <v>0</v>
      </c>
      <c r="O35" s="822"/>
    </row>
    <row r="36" spans="1:15" s="949" customFormat="1" x14ac:dyDescent="0.5">
      <c r="A36" s="1065" t="s">
        <v>84</v>
      </c>
      <c r="B36" s="1065"/>
      <c r="C36" s="1065"/>
      <c r="D36" s="1065"/>
      <c r="E36" s="946">
        <f>+E9+E28</f>
        <v>99165600</v>
      </c>
      <c r="F36" s="946">
        <f t="shared" ref="F36:K36" si="10">+F9+F28</f>
        <v>-22909500</v>
      </c>
      <c r="G36" s="946">
        <f t="shared" si="10"/>
        <v>49094800</v>
      </c>
      <c r="H36" s="946">
        <f t="shared" si="10"/>
        <v>6235800</v>
      </c>
      <c r="I36" s="946">
        <f t="shared" si="10"/>
        <v>0</v>
      </c>
      <c r="J36" s="946">
        <f t="shared" si="10"/>
        <v>49094800</v>
      </c>
      <c r="K36" s="946">
        <f t="shared" si="10"/>
        <v>42859000</v>
      </c>
      <c r="L36" s="947">
        <f t="shared" si="4"/>
        <v>0</v>
      </c>
      <c r="M36" s="947">
        <f t="shared" si="5"/>
        <v>6.2882693191993999</v>
      </c>
      <c r="N36" s="948">
        <f t="shared" si="1"/>
        <v>6235800</v>
      </c>
      <c r="O36" s="947"/>
    </row>
    <row r="37" spans="1:15" s="949" customFormat="1" x14ac:dyDescent="0.5">
      <c r="A37" s="1065" t="s">
        <v>104</v>
      </c>
      <c r="B37" s="1065"/>
      <c r="C37" s="1065"/>
      <c r="D37" s="1065"/>
      <c r="E37" s="946">
        <f>+E36+E8</f>
        <v>118294300</v>
      </c>
      <c r="F37" s="946">
        <f t="shared" ref="F37:K37" si="11">+F36+F8</f>
        <v>-22909500</v>
      </c>
      <c r="G37" s="946">
        <f t="shared" si="11"/>
        <v>68223500</v>
      </c>
      <c r="H37" s="946">
        <f t="shared" si="11"/>
        <v>7587410</v>
      </c>
      <c r="I37" s="946">
        <f t="shared" si="11"/>
        <v>1322506.5</v>
      </c>
      <c r="J37" s="946">
        <f t="shared" si="11"/>
        <v>66900993.5</v>
      </c>
      <c r="K37" s="946">
        <f t="shared" si="11"/>
        <v>59313583.5</v>
      </c>
      <c r="L37" s="947">
        <f t="shared" si="4"/>
        <v>1.1179799026664852</v>
      </c>
      <c r="M37" s="947">
        <f t="shared" si="5"/>
        <v>7.5319913977258413</v>
      </c>
      <c r="N37" s="948">
        <f t="shared" si="1"/>
        <v>8909916.5</v>
      </c>
      <c r="O37" s="947"/>
    </row>
    <row r="38" spans="1:15" s="908" customFormat="1" hidden="1" x14ac:dyDescent="0.5">
      <c r="A38" s="1060" t="s">
        <v>478</v>
      </c>
      <c r="B38" s="1061"/>
      <c r="C38" s="1061"/>
      <c r="D38" s="1063"/>
      <c r="E38" s="817">
        <f>+E8+E10+E13+E15+E16+E17+E18+E19+E21+E22+E23+E24+E25+E26+E27+0</f>
        <v>28939600</v>
      </c>
      <c r="F38" s="817">
        <f t="shared" ref="F38:K38" si="12">+F8+F10+F13+F15+F16+F17+F18+F19+F21+F22+F23+F24+F25+F26+F27+0</f>
        <v>9810900</v>
      </c>
      <c r="G38" s="817">
        <f t="shared" si="12"/>
        <v>28939600</v>
      </c>
      <c r="H38" s="817">
        <f t="shared" si="12"/>
        <v>1351610</v>
      </c>
      <c r="I38" s="817">
        <f t="shared" si="12"/>
        <v>1322506.5</v>
      </c>
      <c r="J38" s="817">
        <f t="shared" si="12"/>
        <v>27617093.5</v>
      </c>
      <c r="K38" s="817">
        <f t="shared" si="12"/>
        <v>26265483.5</v>
      </c>
      <c r="L38" s="823">
        <f>+I38*100/G38</f>
        <v>4.5698852091943216</v>
      </c>
      <c r="M38" s="823">
        <f t="shared" ref="M38:M40" si="13">+J38*100/H38</f>
        <v>2043.2738363877154</v>
      </c>
      <c r="N38" s="815">
        <f t="shared" si="1"/>
        <v>2674116.5</v>
      </c>
      <c r="O38" s="909"/>
    </row>
    <row r="39" spans="1:15" s="908" customFormat="1" hidden="1" x14ac:dyDescent="0.5">
      <c r="A39" s="1060" t="s">
        <v>482</v>
      </c>
      <c r="B39" s="1061"/>
      <c r="C39" s="1061"/>
      <c r="D39" s="1061"/>
      <c r="E39" s="1061"/>
      <c r="F39" s="1061"/>
      <c r="G39" s="1061"/>
      <c r="H39" s="823">
        <f>+H38+I38</f>
        <v>2674116.5</v>
      </c>
      <c r="I39" s="823"/>
      <c r="J39" s="823">
        <f>+H39/1000000</f>
        <v>2.6741164999999998</v>
      </c>
      <c r="K39" s="823"/>
      <c r="L39" s="823"/>
      <c r="M39" s="823"/>
      <c r="N39" s="815">
        <f t="shared" si="1"/>
        <v>2674116.5</v>
      </c>
      <c r="O39" s="909"/>
    </row>
    <row r="40" spans="1:15" s="908" customFormat="1" hidden="1" x14ac:dyDescent="0.5">
      <c r="A40" s="1060" t="s">
        <v>477</v>
      </c>
      <c r="B40" s="1061"/>
      <c r="C40" s="1061"/>
      <c r="D40" s="1063"/>
      <c r="E40" s="817">
        <f>+E11+E12+E14+E20+E28</f>
        <v>89354700</v>
      </c>
      <c r="F40" s="817">
        <f t="shared" ref="F40:K40" si="14">+F11+F12+F14+F20+F28</f>
        <v>-32720400</v>
      </c>
      <c r="G40" s="817">
        <f t="shared" si="14"/>
        <v>39283900</v>
      </c>
      <c r="H40" s="817">
        <f t="shared" si="14"/>
        <v>6235800</v>
      </c>
      <c r="I40" s="817">
        <f t="shared" si="14"/>
        <v>0</v>
      </c>
      <c r="J40" s="817">
        <f t="shared" si="14"/>
        <v>39283900</v>
      </c>
      <c r="K40" s="817">
        <f t="shared" si="14"/>
        <v>33048100</v>
      </c>
      <c r="L40" s="823">
        <f>+I40*100/G40</f>
        <v>0</v>
      </c>
      <c r="M40" s="823">
        <f t="shared" si="13"/>
        <v>629.97370024696113</v>
      </c>
      <c r="N40" s="815">
        <f t="shared" si="1"/>
        <v>6235800</v>
      </c>
      <c r="O40" s="909"/>
    </row>
    <row r="41" spans="1:15" s="908" customFormat="1" hidden="1" x14ac:dyDescent="0.5">
      <c r="A41" s="1060" t="s">
        <v>483</v>
      </c>
      <c r="B41" s="1061"/>
      <c r="C41" s="1061"/>
      <c r="D41" s="1061"/>
      <c r="E41" s="1061"/>
      <c r="F41" s="1061"/>
      <c r="G41" s="1061"/>
      <c r="H41" s="823">
        <f>+H40+I40</f>
        <v>6235800</v>
      </c>
      <c r="I41" s="823"/>
      <c r="J41" s="823">
        <f>+H41/1000000</f>
        <v>6.2358000000000002</v>
      </c>
      <c r="K41" s="823"/>
      <c r="L41" s="823"/>
      <c r="M41" s="823"/>
      <c r="N41" s="815">
        <f t="shared" si="1"/>
        <v>6235800</v>
      </c>
      <c r="O41" s="909"/>
    </row>
    <row r="42" spans="1:15" s="908" customFormat="1" hidden="1" x14ac:dyDescent="0.5">
      <c r="A42" s="1060" t="s">
        <v>484</v>
      </c>
      <c r="B42" s="1061"/>
      <c r="C42" s="1061"/>
      <c r="D42" s="1061"/>
      <c r="E42" s="1061"/>
      <c r="F42" s="1061"/>
      <c r="G42" s="1061"/>
      <c r="H42" s="823">
        <f>+H39+H41</f>
        <v>8909916.5</v>
      </c>
      <c r="I42" s="823"/>
      <c r="J42" s="823">
        <f>+H42/1000000</f>
        <v>8.9099164999999996</v>
      </c>
      <c r="K42" s="823"/>
      <c r="L42" s="823"/>
      <c r="M42" s="823"/>
      <c r="N42" s="815">
        <f t="shared" si="1"/>
        <v>8909916.5</v>
      </c>
      <c r="O42" s="909"/>
    </row>
    <row r="43" spans="1:15" s="908" customFormat="1" hidden="1" x14ac:dyDescent="0.5">
      <c r="A43" s="1060" t="s">
        <v>485</v>
      </c>
      <c r="B43" s="1061"/>
      <c r="C43" s="1061"/>
      <c r="D43" s="1061"/>
      <c r="E43" s="1061"/>
      <c r="F43" s="1061"/>
      <c r="G43" s="1061"/>
      <c r="H43" s="823">
        <f>+I38+I40</f>
        <v>1322506.5</v>
      </c>
      <c r="I43" s="823"/>
      <c r="J43" s="823">
        <f>+H43/1000000</f>
        <v>1.3225065</v>
      </c>
      <c r="K43" s="823"/>
      <c r="L43" s="823"/>
      <c r="M43" s="823"/>
      <c r="N43" s="815">
        <f t="shared" si="1"/>
        <v>1322506.5</v>
      </c>
      <c r="O43" s="909"/>
    </row>
    <row r="44" spans="1:15" s="908" customFormat="1" hidden="1" x14ac:dyDescent="0.5">
      <c r="A44" s="1060" t="s">
        <v>10</v>
      </c>
      <c r="B44" s="1061"/>
      <c r="C44" s="1061"/>
      <c r="D44" s="1063"/>
      <c r="E44" s="823">
        <f>+E38+E40</f>
        <v>118294300</v>
      </c>
      <c r="F44" s="823">
        <f t="shared" ref="F44:K44" si="15">+F38+F40</f>
        <v>-22909500</v>
      </c>
      <c r="G44" s="823">
        <f t="shared" si="15"/>
        <v>68223500</v>
      </c>
      <c r="H44" s="823">
        <f t="shared" si="15"/>
        <v>7587410</v>
      </c>
      <c r="I44" s="823">
        <f t="shared" si="15"/>
        <v>1322506.5</v>
      </c>
      <c r="J44" s="823">
        <f t="shared" si="15"/>
        <v>66900993.5</v>
      </c>
      <c r="K44" s="823">
        <f t="shared" si="15"/>
        <v>59313583.5</v>
      </c>
      <c r="L44" s="823">
        <f>+I44*100/G44</f>
        <v>1.9384911357523433</v>
      </c>
      <c r="M44" s="823">
        <f>+J44*100/H44</f>
        <v>881.73689704391882</v>
      </c>
      <c r="N44" s="815">
        <f>+H44+I44</f>
        <v>8909916.5</v>
      </c>
      <c r="O44" s="909"/>
    </row>
    <row r="45" spans="1:15" s="920" customFormat="1" ht="30.75" x14ac:dyDescent="0.5">
      <c r="A45" s="1062" t="s">
        <v>1042</v>
      </c>
      <c r="B45" s="1062"/>
      <c r="C45" s="1062"/>
      <c r="D45" s="1062"/>
      <c r="E45" s="1062"/>
      <c r="F45" s="1062"/>
      <c r="G45" s="1062"/>
      <c r="H45" s="1062"/>
      <c r="I45" s="1062"/>
      <c r="J45" s="1062"/>
      <c r="K45" s="1062"/>
      <c r="L45" s="1062"/>
      <c r="M45" s="1062"/>
      <c r="N45" s="1062"/>
      <c r="O45" s="1062"/>
    </row>
  </sheetData>
  <mergeCells count="20">
    <mergeCell ref="A39:G39"/>
    <mergeCell ref="A40:D40"/>
    <mergeCell ref="A38:D38"/>
    <mergeCell ref="A1:O1"/>
    <mergeCell ref="A2:O2"/>
    <mergeCell ref="A3:O3"/>
    <mergeCell ref="A37:D37"/>
    <mergeCell ref="A36:D36"/>
    <mergeCell ref="A4:O4"/>
    <mergeCell ref="C9:D9"/>
    <mergeCell ref="O5:O7"/>
    <mergeCell ref="C5:D7"/>
    <mergeCell ref="C8:D8"/>
    <mergeCell ref="C28:D28"/>
    <mergeCell ref="E5:G5"/>
    <mergeCell ref="A43:G43"/>
    <mergeCell ref="A45:O45"/>
    <mergeCell ref="A44:D44"/>
    <mergeCell ref="A41:G41"/>
    <mergeCell ref="A42:G42"/>
  </mergeCells>
  <phoneticPr fontId="0" type="noConversion"/>
  <pageMargins left="0.39370078740157483" right="0" top="0.6692913385826772" bottom="0.43307086614173229" header="0.23622047244094491" footer="0.19685039370078741"/>
  <pageSetup paperSize="9" scale="63" orientation="landscape" r:id="rId1"/>
  <headerFooter alignWithMargins="0">
    <oddHeader>&amp;R&amp;"+,ตัวหนา"&amp;25งบลงทุน</oddHeader>
    <oddFooter>&amp;Lกลุ่มบริหารงานบัญชีและงบประมาณ&amp;Rหน้าที่ &amp;P จาก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AL669"/>
  <sheetViews>
    <sheetView zoomScale="80" zoomScaleNormal="80" workbookViewId="0">
      <selection activeCell="C12" sqref="C12"/>
    </sheetView>
  </sheetViews>
  <sheetFormatPr defaultRowHeight="24" x14ac:dyDescent="0.5"/>
  <cols>
    <col min="1" max="1" width="7.7109375" style="968" customWidth="1"/>
    <col min="2" max="2" width="19.5703125" style="861" customWidth="1"/>
    <col min="3" max="3" width="55.7109375" style="863" customWidth="1"/>
    <col min="4" max="4" width="17.5703125" style="755" bestFit="1" customWidth="1"/>
    <col min="5" max="5" width="16.140625" style="755" hidden="1" customWidth="1"/>
    <col min="6" max="6" width="17.5703125" style="675" bestFit="1" customWidth="1"/>
    <col min="7" max="7" width="17.85546875" style="755" customWidth="1"/>
    <col min="8" max="8" width="18.140625" style="755" customWidth="1"/>
    <col min="9" max="9" width="18" style="755" customWidth="1"/>
    <col min="10" max="10" width="18.28515625" style="675" customWidth="1"/>
    <col min="11" max="12" width="13.5703125" style="675" customWidth="1"/>
    <col min="13" max="13" width="15.28515625" style="755" hidden="1" customWidth="1"/>
    <col min="14" max="38" width="12.140625" style="755" hidden="1" customWidth="1"/>
    <col min="39" max="70" width="12.140625" style="755" customWidth="1"/>
    <col min="71" max="74" width="11.7109375" style="755" customWidth="1"/>
    <col min="75" max="16384" width="9.140625" style="755"/>
  </cols>
  <sheetData>
    <row r="1" spans="1:13" s="675" customFormat="1" x14ac:dyDescent="0.5">
      <c r="A1" s="1082" t="str">
        <f>+งบลงทุน!A1:O1</f>
        <v>กรมพินิจและคุ้มครองเด็กและเยาวชน   กระทรวงยุติธรรม</v>
      </c>
      <c r="B1" s="1082"/>
      <c r="C1" s="1082"/>
      <c r="D1" s="1082"/>
      <c r="E1" s="1082"/>
      <c r="F1" s="1082"/>
      <c r="G1" s="1082"/>
      <c r="H1" s="1082"/>
      <c r="I1" s="1082"/>
      <c r="J1" s="1082"/>
      <c r="K1" s="1082"/>
      <c r="L1" s="1082"/>
    </row>
    <row r="2" spans="1:13" s="675" customFormat="1" x14ac:dyDescent="0.5">
      <c r="A2" s="1082" t="str">
        <f>+งบลงทุน!A2:O2</f>
        <v>รายละเอียดงบประมาณรายจ่ายประจำปีงบประมาณ  พ.ศ.  2565</v>
      </c>
      <c r="B2" s="1082"/>
      <c r="C2" s="1082"/>
      <c r="D2" s="1082"/>
      <c r="E2" s="1082"/>
      <c r="F2" s="1082"/>
      <c r="G2" s="1082"/>
      <c r="H2" s="1082"/>
      <c r="I2" s="1082"/>
      <c r="J2" s="1082"/>
      <c r="K2" s="1082"/>
      <c r="L2" s="1082"/>
    </row>
    <row r="3" spans="1:13" s="675" customFormat="1" x14ac:dyDescent="0.5">
      <c r="A3" s="1083" t="s">
        <v>16</v>
      </c>
      <c r="B3" s="1083"/>
      <c r="C3" s="1083"/>
      <c r="D3" s="1083"/>
      <c r="E3" s="1083"/>
      <c r="F3" s="1083"/>
      <c r="G3" s="1083"/>
      <c r="H3" s="1083"/>
      <c r="I3" s="1083"/>
      <c r="J3" s="1083"/>
      <c r="K3" s="1083"/>
      <c r="L3" s="1083"/>
    </row>
    <row r="4" spans="1:13" s="675" customFormat="1" x14ac:dyDescent="0.5">
      <c r="A4" s="1084" t="str">
        <f>+งบลงทุน!A4:L4</f>
        <v>ตั้งแต่วันที่ 1  ตุลาคม 2564 ถึงวันที่ 31 ตุลาคม 2564</v>
      </c>
      <c r="B4" s="1084"/>
      <c r="C4" s="1084"/>
      <c r="D4" s="1084"/>
      <c r="E4" s="1084"/>
      <c r="F4" s="1084"/>
      <c r="G4" s="1084"/>
      <c r="H4" s="1084"/>
      <c r="I4" s="1084"/>
      <c r="J4" s="1084"/>
      <c r="K4" s="1084"/>
      <c r="L4" s="1084"/>
    </row>
    <row r="5" spans="1:13" s="752" customFormat="1" x14ac:dyDescent="0.5">
      <c r="A5" s="1089" t="s">
        <v>0</v>
      </c>
      <c r="B5" s="1088" t="s">
        <v>179</v>
      </c>
      <c r="C5" s="1090" t="s">
        <v>426</v>
      </c>
      <c r="D5" s="1092" t="s">
        <v>59</v>
      </c>
      <c r="E5" s="1093"/>
      <c r="F5" s="1094"/>
      <c r="G5" s="830" t="s">
        <v>166</v>
      </c>
      <c r="H5" s="830" t="s">
        <v>17</v>
      </c>
      <c r="I5" s="830" t="s">
        <v>62</v>
      </c>
      <c r="J5" s="830" t="s">
        <v>62</v>
      </c>
      <c r="K5" s="834" t="s">
        <v>860</v>
      </c>
      <c r="L5" s="834" t="s">
        <v>860</v>
      </c>
    </row>
    <row r="6" spans="1:13" s="752" customFormat="1" x14ac:dyDescent="0.5">
      <c r="A6" s="1089"/>
      <c r="B6" s="1088"/>
      <c r="C6" s="1090"/>
      <c r="D6" s="831" t="s">
        <v>773</v>
      </c>
      <c r="E6" s="831" t="s">
        <v>429</v>
      </c>
      <c r="F6" s="811" t="s">
        <v>739</v>
      </c>
      <c r="G6" s="831" t="s">
        <v>1038</v>
      </c>
      <c r="H6" s="831" t="s">
        <v>2</v>
      </c>
      <c r="I6" s="831" t="s">
        <v>72</v>
      </c>
      <c r="J6" s="831" t="s">
        <v>102</v>
      </c>
      <c r="K6" s="835" t="s">
        <v>61</v>
      </c>
      <c r="L6" s="835" t="s">
        <v>861</v>
      </c>
    </row>
    <row r="7" spans="1:13" s="752" customFormat="1" x14ac:dyDescent="0.5">
      <c r="A7" s="1089"/>
      <c r="B7" s="1088"/>
      <c r="C7" s="1090"/>
      <c r="D7" s="832" t="s">
        <v>448</v>
      </c>
      <c r="E7" s="832" t="s">
        <v>449</v>
      </c>
      <c r="F7" s="832" t="s">
        <v>449</v>
      </c>
      <c r="G7" s="812" t="s">
        <v>450</v>
      </c>
      <c r="H7" s="812" t="s">
        <v>451</v>
      </c>
      <c r="I7" s="813" t="s">
        <v>768</v>
      </c>
      <c r="J7" s="813" t="s">
        <v>784</v>
      </c>
      <c r="K7" s="833"/>
      <c r="L7" s="833" t="s">
        <v>862</v>
      </c>
    </row>
    <row r="8" spans="1:13" ht="96" x14ac:dyDescent="0.5">
      <c r="A8" s="965" t="s">
        <v>448</v>
      </c>
      <c r="B8" s="910" t="s">
        <v>693</v>
      </c>
      <c r="C8" s="821" t="s">
        <v>423</v>
      </c>
      <c r="D8" s="753">
        <v>621500</v>
      </c>
      <c r="E8" s="753">
        <v>0</v>
      </c>
      <c r="F8" s="753">
        <v>310700</v>
      </c>
      <c r="G8" s="753">
        <v>0</v>
      </c>
      <c r="H8" s="753">
        <v>0</v>
      </c>
      <c r="I8" s="753">
        <f>+D8-H8</f>
        <v>621500</v>
      </c>
      <c r="J8" s="753">
        <f>+F8-G8-H8</f>
        <v>310700</v>
      </c>
      <c r="K8" s="964">
        <f>+H8*100/D8</f>
        <v>0</v>
      </c>
      <c r="L8" s="964">
        <f>+M8*100/D8</f>
        <v>0</v>
      </c>
      <c r="M8" s="756">
        <f>+G8+H8</f>
        <v>0</v>
      </c>
    </row>
    <row r="9" spans="1:13" ht="48" x14ac:dyDescent="0.5">
      <c r="A9" s="724" t="s">
        <v>449</v>
      </c>
      <c r="B9" s="910" t="s">
        <v>694</v>
      </c>
      <c r="C9" s="821" t="s">
        <v>1028</v>
      </c>
      <c r="D9" s="753">
        <v>361400</v>
      </c>
      <c r="E9" s="753">
        <v>0</v>
      </c>
      <c r="F9" s="753">
        <v>180700</v>
      </c>
      <c r="G9" s="753">
        <v>0</v>
      </c>
      <c r="H9" s="753">
        <v>0</v>
      </c>
      <c r="I9" s="753">
        <f t="shared" ref="I9:I20" si="0">+D9-H9</f>
        <v>361400</v>
      </c>
      <c r="J9" s="753">
        <f t="shared" ref="J9:J20" si="1">+F9-G9-H9</f>
        <v>180700</v>
      </c>
      <c r="K9" s="964">
        <f t="shared" ref="K9:K21" si="2">+H9*100/D9</f>
        <v>0</v>
      </c>
      <c r="L9" s="964">
        <f t="shared" ref="L9:L21" si="3">+M9*100/D9</f>
        <v>0</v>
      </c>
      <c r="M9" s="756">
        <f t="shared" ref="M9:M22" si="4">+G9+H9</f>
        <v>0</v>
      </c>
    </row>
    <row r="10" spans="1:13" ht="72" x14ac:dyDescent="0.5">
      <c r="A10" s="965" t="s">
        <v>450</v>
      </c>
      <c r="B10" s="910" t="s">
        <v>695</v>
      </c>
      <c r="C10" s="821" t="s">
        <v>791</v>
      </c>
      <c r="D10" s="753">
        <v>5938000</v>
      </c>
      <c r="E10" s="753">
        <v>0</v>
      </c>
      <c r="F10" s="753">
        <v>2969000</v>
      </c>
      <c r="G10" s="753">
        <v>0</v>
      </c>
      <c r="H10" s="753">
        <v>0</v>
      </c>
      <c r="I10" s="753">
        <f t="shared" si="0"/>
        <v>5938000</v>
      </c>
      <c r="J10" s="753">
        <f t="shared" si="1"/>
        <v>2969000</v>
      </c>
      <c r="K10" s="964">
        <f t="shared" si="2"/>
        <v>0</v>
      </c>
      <c r="L10" s="964">
        <f t="shared" si="3"/>
        <v>0</v>
      </c>
      <c r="M10" s="756">
        <f t="shared" si="4"/>
        <v>0</v>
      </c>
    </row>
    <row r="11" spans="1:13" ht="58.5" customHeight="1" x14ac:dyDescent="0.5">
      <c r="A11" s="965" t="s">
        <v>451</v>
      </c>
      <c r="B11" s="910" t="s">
        <v>696</v>
      </c>
      <c r="C11" s="821" t="s">
        <v>1075</v>
      </c>
      <c r="D11" s="753">
        <v>5000000</v>
      </c>
      <c r="E11" s="753">
        <v>0</v>
      </c>
      <c r="F11" s="753">
        <v>2500000</v>
      </c>
      <c r="G11" s="753">
        <v>0</v>
      </c>
      <c r="H11" s="753">
        <v>0</v>
      </c>
      <c r="I11" s="753">
        <f t="shared" si="0"/>
        <v>5000000</v>
      </c>
      <c r="J11" s="753">
        <f t="shared" si="1"/>
        <v>2500000</v>
      </c>
      <c r="K11" s="964">
        <f t="shared" si="2"/>
        <v>0</v>
      </c>
      <c r="L11" s="964">
        <f t="shared" si="3"/>
        <v>0</v>
      </c>
      <c r="M11" s="756">
        <f t="shared" si="4"/>
        <v>0</v>
      </c>
    </row>
    <row r="12" spans="1:13" ht="56.25" customHeight="1" x14ac:dyDescent="0.5">
      <c r="A12" s="965" t="s">
        <v>452</v>
      </c>
      <c r="B12" s="910" t="s">
        <v>697</v>
      </c>
      <c r="C12" s="821" t="s">
        <v>1029</v>
      </c>
      <c r="D12" s="753">
        <v>2531500</v>
      </c>
      <c r="E12" s="753">
        <v>0</v>
      </c>
      <c r="F12" s="753">
        <v>1265700</v>
      </c>
      <c r="G12" s="753">
        <v>0</v>
      </c>
      <c r="H12" s="753">
        <v>0</v>
      </c>
      <c r="I12" s="753">
        <f t="shared" si="0"/>
        <v>2531500</v>
      </c>
      <c r="J12" s="753">
        <f t="shared" si="1"/>
        <v>1265700</v>
      </c>
      <c r="K12" s="964">
        <f t="shared" si="2"/>
        <v>0</v>
      </c>
      <c r="L12" s="964">
        <f t="shared" si="3"/>
        <v>0</v>
      </c>
      <c r="M12" s="756">
        <f t="shared" si="4"/>
        <v>0</v>
      </c>
    </row>
    <row r="13" spans="1:13" ht="57.75" customHeight="1" x14ac:dyDescent="0.5">
      <c r="A13" s="965" t="s">
        <v>453</v>
      </c>
      <c r="B13" s="910" t="s">
        <v>698</v>
      </c>
      <c r="C13" s="821" t="s">
        <v>792</v>
      </c>
      <c r="D13" s="753">
        <v>2510000</v>
      </c>
      <c r="E13" s="753">
        <v>0</v>
      </c>
      <c r="F13" s="753">
        <v>1255000</v>
      </c>
      <c r="G13" s="753">
        <v>0</v>
      </c>
      <c r="H13" s="753">
        <v>0</v>
      </c>
      <c r="I13" s="753">
        <f t="shared" si="0"/>
        <v>2510000</v>
      </c>
      <c r="J13" s="753">
        <f t="shared" si="1"/>
        <v>1255000</v>
      </c>
      <c r="K13" s="964">
        <f t="shared" si="2"/>
        <v>0</v>
      </c>
      <c r="L13" s="964">
        <f t="shared" si="3"/>
        <v>0</v>
      </c>
      <c r="M13" s="756">
        <f t="shared" si="4"/>
        <v>0</v>
      </c>
    </row>
    <row r="14" spans="1:13" ht="57.75" customHeight="1" x14ac:dyDescent="0.5">
      <c r="A14" s="965" t="s">
        <v>454</v>
      </c>
      <c r="B14" s="910" t="s">
        <v>1030</v>
      </c>
      <c r="C14" s="821" t="s">
        <v>1031</v>
      </c>
      <c r="D14" s="753">
        <v>1567000</v>
      </c>
      <c r="E14" s="753">
        <v>0</v>
      </c>
      <c r="F14" s="753">
        <v>783500</v>
      </c>
      <c r="G14" s="753">
        <v>0</v>
      </c>
      <c r="H14" s="753">
        <v>0</v>
      </c>
      <c r="I14" s="753">
        <f t="shared" si="0"/>
        <v>1567000</v>
      </c>
      <c r="J14" s="753">
        <f t="shared" si="1"/>
        <v>783500</v>
      </c>
      <c r="K14" s="964">
        <f t="shared" si="2"/>
        <v>0</v>
      </c>
      <c r="L14" s="964">
        <f t="shared" si="3"/>
        <v>0</v>
      </c>
      <c r="M14" s="756">
        <f t="shared" si="4"/>
        <v>0</v>
      </c>
    </row>
    <row r="15" spans="1:13" ht="55.5" customHeight="1" x14ac:dyDescent="0.5">
      <c r="A15" s="965" t="s">
        <v>455</v>
      </c>
      <c r="B15" s="910" t="s">
        <v>1032</v>
      </c>
      <c r="C15" s="821" t="s">
        <v>1033</v>
      </c>
      <c r="D15" s="753">
        <v>2630600</v>
      </c>
      <c r="E15" s="753">
        <v>0</v>
      </c>
      <c r="F15" s="753">
        <v>1315300</v>
      </c>
      <c r="G15" s="753">
        <v>0</v>
      </c>
      <c r="H15" s="753">
        <v>0</v>
      </c>
      <c r="I15" s="753">
        <f t="shared" si="0"/>
        <v>2630600</v>
      </c>
      <c r="J15" s="753">
        <f t="shared" si="1"/>
        <v>1315300</v>
      </c>
      <c r="K15" s="964">
        <f t="shared" si="2"/>
        <v>0</v>
      </c>
      <c r="L15" s="964">
        <f t="shared" si="3"/>
        <v>0</v>
      </c>
      <c r="M15" s="756">
        <f t="shared" si="4"/>
        <v>0</v>
      </c>
    </row>
    <row r="16" spans="1:13" ht="55.5" customHeight="1" x14ac:dyDescent="0.5">
      <c r="A16" s="965" t="s">
        <v>456</v>
      </c>
      <c r="B16" s="910" t="s">
        <v>1034</v>
      </c>
      <c r="C16" s="821" t="s">
        <v>1035</v>
      </c>
      <c r="D16" s="753">
        <v>545000</v>
      </c>
      <c r="E16" s="753">
        <v>0</v>
      </c>
      <c r="F16" s="753">
        <v>272500</v>
      </c>
      <c r="G16" s="753">
        <v>0</v>
      </c>
      <c r="H16" s="753">
        <v>0</v>
      </c>
      <c r="I16" s="753">
        <f t="shared" si="0"/>
        <v>545000</v>
      </c>
      <c r="J16" s="753">
        <f t="shared" si="1"/>
        <v>272500</v>
      </c>
      <c r="K16" s="964">
        <f t="shared" si="2"/>
        <v>0</v>
      </c>
      <c r="L16" s="964">
        <f t="shared" si="3"/>
        <v>0</v>
      </c>
      <c r="M16" s="756">
        <f t="shared" si="4"/>
        <v>0</v>
      </c>
    </row>
    <row r="17" spans="1:38" ht="78.75" customHeight="1" x14ac:dyDescent="0.5">
      <c r="A17" s="965" t="s">
        <v>457</v>
      </c>
      <c r="B17" s="910" t="s">
        <v>1036</v>
      </c>
      <c r="C17" s="821" t="s">
        <v>700</v>
      </c>
      <c r="D17" s="753">
        <v>1449000</v>
      </c>
      <c r="E17" s="753">
        <v>0</v>
      </c>
      <c r="F17" s="753">
        <v>724500</v>
      </c>
      <c r="G17" s="753">
        <v>0</v>
      </c>
      <c r="H17" s="753">
        <v>0</v>
      </c>
      <c r="I17" s="753">
        <f t="shared" si="0"/>
        <v>1449000</v>
      </c>
      <c r="J17" s="753">
        <f t="shared" si="1"/>
        <v>724500</v>
      </c>
      <c r="K17" s="964">
        <f t="shared" si="2"/>
        <v>0</v>
      </c>
      <c r="L17" s="964">
        <f t="shared" si="3"/>
        <v>0</v>
      </c>
      <c r="M17" s="756">
        <f t="shared" si="4"/>
        <v>0</v>
      </c>
    </row>
    <row r="18" spans="1:38" ht="54.75" customHeight="1" x14ac:dyDescent="0.5">
      <c r="A18" s="965" t="s">
        <v>458</v>
      </c>
      <c r="B18" s="910" t="s">
        <v>701</v>
      </c>
      <c r="C18" s="821" t="s">
        <v>425</v>
      </c>
      <c r="D18" s="753">
        <v>750000</v>
      </c>
      <c r="E18" s="753">
        <v>0</v>
      </c>
      <c r="F18" s="753">
        <v>375000</v>
      </c>
      <c r="G18" s="753">
        <v>0</v>
      </c>
      <c r="H18" s="753">
        <v>0</v>
      </c>
      <c r="I18" s="753">
        <f t="shared" si="0"/>
        <v>750000</v>
      </c>
      <c r="J18" s="753">
        <f t="shared" si="1"/>
        <v>375000</v>
      </c>
      <c r="K18" s="964">
        <f t="shared" si="2"/>
        <v>0</v>
      </c>
      <c r="L18" s="964">
        <f t="shared" si="3"/>
        <v>0</v>
      </c>
      <c r="M18" s="756">
        <f t="shared" si="4"/>
        <v>0</v>
      </c>
    </row>
    <row r="19" spans="1:38" ht="54" customHeight="1" x14ac:dyDescent="0.5">
      <c r="A19" s="965" t="s">
        <v>459</v>
      </c>
      <c r="B19" s="910" t="s">
        <v>702</v>
      </c>
      <c r="C19" s="821" t="s">
        <v>1037</v>
      </c>
      <c r="D19" s="753">
        <v>4366200</v>
      </c>
      <c r="E19" s="753">
        <v>0</v>
      </c>
      <c r="F19" s="753">
        <v>2183100</v>
      </c>
      <c r="G19" s="753">
        <v>0</v>
      </c>
      <c r="H19" s="753">
        <v>0</v>
      </c>
      <c r="I19" s="753">
        <f t="shared" si="0"/>
        <v>4366200</v>
      </c>
      <c r="J19" s="753">
        <f t="shared" si="1"/>
        <v>2183100</v>
      </c>
      <c r="K19" s="964">
        <f t="shared" si="2"/>
        <v>0</v>
      </c>
      <c r="L19" s="964">
        <f t="shared" si="3"/>
        <v>0</v>
      </c>
      <c r="M19" s="756">
        <f t="shared" si="4"/>
        <v>0</v>
      </c>
    </row>
    <row r="20" spans="1:38" ht="77.25" customHeight="1" x14ac:dyDescent="0.5">
      <c r="A20" s="965" t="s">
        <v>460</v>
      </c>
      <c r="B20" s="910" t="s">
        <v>703</v>
      </c>
      <c r="C20" s="821" t="s">
        <v>793</v>
      </c>
      <c r="D20" s="753">
        <v>523700</v>
      </c>
      <c r="E20" s="753">
        <v>0</v>
      </c>
      <c r="F20" s="753">
        <v>261800</v>
      </c>
      <c r="G20" s="753">
        <v>0</v>
      </c>
      <c r="H20" s="753">
        <v>0</v>
      </c>
      <c r="I20" s="753">
        <f t="shared" si="0"/>
        <v>523700</v>
      </c>
      <c r="J20" s="753">
        <f t="shared" si="1"/>
        <v>261800</v>
      </c>
      <c r="K20" s="964">
        <f t="shared" si="2"/>
        <v>0</v>
      </c>
      <c r="L20" s="964">
        <f t="shared" si="3"/>
        <v>0</v>
      </c>
      <c r="M20" s="756">
        <f t="shared" si="4"/>
        <v>0</v>
      </c>
      <c r="AK20" s="756"/>
    </row>
    <row r="21" spans="1:38" s="940" customFormat="1" ht="33.75" customHeight="1" x14ac:dyDescent="0.5">
      <c r="A21" s="1087" t="s">
        <v>488</v>
      </c>
      <c r="B21" s="1087"/>
      <c r="C21" s="1087"/>
      <c r="D21" s="945">
        <f t="shared" ref="D21:J21" si="5">SUM(D8:D20)</f>
        <v>28793900</v>
      </c>
      <c r="E21" s="945">
        <f t="shared" si="5"/>
        <v>0</v>
      </c>
      <c r="F21" s="945">
        <f t="shared" si="5"/>
        <v>14396800</v>
      </c>
      <c r="G21" s="945">
        <f t="shared" si="5"/>
        <v>0</v>
      </c>
      <c r="H21" s="945">
        <f t="shared" si="5"/>
        <v>0</v>
      </c>
      <c r="I21" s="945">
        <f t="shared" si="5"/>
        <v>28793900</v>
      </c>
      <c r="J21" s="945">
        <f t="shared" si="5"/>
        <v>14396800</v>
      </c>
      <c r="K21" s="964">
        <f t="shared" si="2"/>
        <v>0</v>
      </c>
      <c r="L21" s="964">
        <f t="shared" si="3"/>
        <v>0</v>
      </c>
      <c r="M21" s="756">
        <f t="shared" si="4"/>
        <v>0</v>
      </c>
      <c r="AL21" s="941" t="e">
        <f>+#REF!-#REF!</f>
        <v>#REF!</v>
      </c>
    </row>
    <row r="22" spans="1:38" s="987" customFormat="1" ht="30.75" x14ac:dyDescent="0.5">
      <c r="A22" s="1086" t="s">
        <v>1079</v>
      </c>
      <c r="B22" s="1086"/>
      <c r="C22" s="1086"/>
      <c r="D22" s="1086"/>
      <c r="E22" s="1086"/>
      <c r="F22" s="1086"/>
      <c r="G22" s="1086"/>
      <c r="H22" s="1086"/>
      <c r="I22" s="1086"/>
      <c r="J22" s="1086"/>
      <c r="K22" s="1086"/>
      <c r="L22" s="1086"/>
      <c r="M22" s="986">
        <f t="shared" si="4"/>
        <v>0</v>
      </c>
      <c r="AL22" s="988" t="e">
        <f>+AL21*100/31733400</f>
        <v>#REF!</v>
      </c>
    </row>
    <row r="23" spans="1:38" s="675" customFormat="1" hidden="1" x14ac:dyDescent="0.5">
      <c r="A23" s="966"/>
      <c r="B23" s="1091" t="s">
        <v>1039</v>
      </c>
      <c r="C23" s="1091"/>
      <c r="D23" s="1091"/>
      <c r="E23" s="1091"/>
      <c r="F23" s="1091"/>
      <c r="G23" s="1091"/>
      <c r="H23" s="1091"/>
      <c r="I23" s="1091"/>
      <c r="J23" s="1091"/>
      <c r="K23" s="1091"/>
      <c r="L23" s="1091"/>
      <c r="AL23" s="766"/>
    </row>
    <row r="24" spans="1:38" s="675" customFormat="1" hidden="1" x14ac:dyDescent="0.5">
      <c r="A24" s="966"/>
      <c r="B24" s="1085" t="s">
        <v>879</v>
      </c>
      <c r="C24" s="1085"/>
      <c r="D24" s="1085"/>
      <c r="E24" s="1085"/>
      <c r="F24" s="1085"/>
      <c r="G24" s="1085"/>
      <c r="H24" s="1085"/>
      <c r="I24" s="1085"/>
      <c r="J24" s="1085"/>
      <c r="K24" s="1085"/>
    </row>
    <row r="25" spans="1:38" s="675" customFormat="1" hidden="1" x14ac:dyDescent="0.5">
      <c r="A25" s="966"/>
      <c r="B25" s="1085" t="s">
        <v>885</v>
      </c>
      <c r="C25" s="1085"/>
      <c r="D25" s="1085"/>
      <c r="E25" s="1085"/>
      <c r="F25" s="1085"/>
      <c r="G25" s="1085"/>
      <c r="H25" s="1085"/>
      <c r="I25" s="1085"/>
      <c r="J25" s="1085"/>
      <c r="K25" s="1085"/>
    </row>
    <row r="26" spans="1:38" s="675" customFormat="1" hidden="1" x14ac:dyDescent="0.5">
      <c r="A26" s="966"/>
      <c r="B26" s="1085" t="s">
        <v>884</v>
      </c>
      <c r="C26" s="1085"/>
      <c r="D26" s="1085"/>
      <c r="E26" s="1085"/>
      <c r="F26" s="1085"/>
      <c r="G26" s="1085"/>
      <c r="H26" s="1085"/>
      <c r="I26" s="1085"/>
      <c r="J26" s="1085"/>
      <c r="K26" s="1085"/>
    </row>
    <row r="27" spans="1:38" s="675" customFormat="1" hidden="1" x14ac:dyDescent="0.5">
      <c r="A27" s="966"/>
      <c r="B27" s="1085" t="s">
        <v>886</v>
      </c>
      <c r="C27" s="1085"/>
      <c r="D27" s="1085"/>
      <c r="E27" s="1085"/>
      <c r="F27" s="1085"/>
      <c r="G27" s="1085"/>
      <c r="H27" s="1085"/>
      <c r="I27" s="1085"/>
      <c r="J27" s="1085"/>
      <c r="K27" s="1085"/>
    </row>
    <row r="28" spans="1:38" s="675" customFormat="1" hidden="1" x14ac:dyDescent="0.5">
      <c r="A28" s="966"/>
      <c r="B28" s="1085" t="s">
        <v>875</v>
      </c>
      <c r="C28" s="1085"/>
      <c r="D28" s="1085"/>
      <c r="E28" s="1085"/>
      <c r="F28" s="1085"/>
      <c r="G28" s="1085"/>
      <c r="H28" s="1085"/>
      <c r="I28" s="1085"/>
      <c r="J28" s="1085"/>
      <c r="K28" s="1085"/>
    </row>
    <row r="29" spans="1:38" s="675" customFormat="1" hidden="1" x14ac:dyDescent="0.5">
      <c r="A29" s="966"/>
      <c r="B29" s="942"/>
      <c r="C29" s="943"/>
      <c r="D29" s="942"/>
      <c r="E29" s="942"/>
      <c r="F29" s="942"/>
      <c r="G29" s="942"/>
      <c r="H29" s="942"/>
      <c r="I29" s="942"/>
      <c r="J29" s="944">
        <f>SUM(D8:D20)</f>
        <v>28793900</v>
      </c>
      <c r="K29" s="944" t="e">
        <f>SUM(#REF!)</f>
        <v>#REF!</v>
      </c>
    </row>
    <row r="30" spans="1:38" s="675" customFormat="1" hidden="1" x14ac:dyDescent="0.5">
      <c r="A30" s="966"/>
      <c r="B30" s="942"/>
      <c r="C30" s="943"/>
      <c r="D30" s="942"/>
      <c r="E30" s="942"/>
      <c r="F30" s="942"/>
      <c r="G30" s="942"/>
      <c r="H30" s="942"/>
      <c r="I30" s="942"/>
      <c r="J30" s="944" t="e">
        <f>+#REF!-#REF!-#REF!-#REF!-#REF!</f>
        <v>#REF!</v>
      </c>
      <c r="K30" s="944"/>
    </row>
    <row r="31" spans="1:38" s="675" customFormat="1" hidden="1" x14ac:dyDescent="0.5">
      <c r="A31" s="966"/>
      <c r="B31" s="942"/>
      <c r="C31" s="943"/>
      <c r="D31" s="942"/>
      <c r="E31" s="942"/>
      <c r="F31" s="942"/>
      <c r="G31" s="942"/>
      <c r="H31" s="942"/>
      <c r="I31" s="942"/>
      <c r="J31" s="944" t="e">
        <f>+#REF!-#REF!-#REF!-#REF!-#REF!</f>
        <v>#REF!</v>
      </c>
      <c r="K31" s="944"/>
    </row>
    <row r="32" spans="1:38" hidden="1" x14ac:dyDescent="0.5">
      <c r="A32" s="967" t="s">
        <v>476</v>
      </c>
      <c r="J32" s="944" t="e">
        <f>+#REF!-#REF!-#REF!-#REF!-#REF!</f>
        <v>#REF!</v>
      </c>
      <c r="K32" s="758"/>
    </row>
    <row r="33" spans="1:12" s="759" customFormat="1" hidden="1" x14ac:dyDescent="0.5">
      <c r="A33" s="967" t="s">
        <v>492</v>
      </c>
      <c r="B33" s="862"/>
      <c r="C33" s="864"/>
      <c r="F33" s="913"/>
      <c r="J33" s="944" t="e">
        <f>+#REF!-#REF!-#REF!-#REF!-#REF!</f>
        <v>#REF!</v>
      </c>
      <c r="K33" s="761"/>
      <c r="L33" s="913"/>
    </row>
    <row r="34" spans="1:12" s="759" customFormat="1" hidden="1" x14ac:dyDescent="0.5">
      <c r="A34" s="967" t="s">
        <v>497</v>
      </c>
      <c r="B34" s="862"/>
      <c r="C34" s="864"/>
      <c r="F34" s="913"/>
      <c r="J34" s="944" t="e">
        <f>+#REF!-#REF!-#REF!-#REF!-#REF!</f>
        <v>#REF!</v>
      </c>
      <c r="K34" s="761"/>
      <c r="L34" s="913"/>
    </row>
    <row r="35" spans="1:12" hidden="1" x14ac:dyDescent="0.5">
      <c r="A35" s="967" t="s">
        <v>494</v>
      </c>
      <c r="J35" s="944" t="e">
        <f>+#REF!-#REF!-#REF!-#REF!-#REF!</f>
        <v>#REF!</v>
      </c>
      <c r="K35" s="758"/>
    </row>
    <row r="36" spans="1:12" hidden="1" x14ac:dyDescent="0.5">
      <c r="J36" s="944" t="e">
        <f>+#REF!-#REF!-#REF!-#REF!-#REF!</f>
        <v>#REF!</v>
      </c>
      <c r="K36" s="758"/>
    </row>
    <row r="37" spans="1:12" hidden="1" x14ac:dyDescent="0.5">
      <c r="G37" s="755" t="e">
        <f>+#REF!*100/31733400</f>
        <v>#REF!</v>
      </c>
      <c r="H37" s="762"/>
      <c r="J37" s="944" t="e">
        <f>+#REF!-#REF!-#REF!-#REF!-#REF!</f>
        <v>#REF!</v>
      </c>
      <c r="K37" s="758"/>
    </row>
    <row r="38" spans="1:12" hidden="1" x14ac:dyDescent="0.5">
      <c r="J38" s="944"/>
      <c r="K38" s="763" t="e">
        <f>+K29*100/J29</f>
        <v>#REF!</v>
      </c>
    </row>
    <row r="39" spans="1:12" hidden="1" x14ac:dyDescent="0.5">
      <c r="G39" s="754"/>
    </row>
    <row r="40" spans="1:12" hidden="1" x14ac:dyDescent="0.5"/>
    <row r="41" spans="1:12" hidden="1" x14ac:dyDescent="0.5"/>
    <row r="42" spans="1:12" hidden="1" x14ac:dyDescent="0.5"/>
    <row r="43" spans="1:12" hidden="1" x14ac:dyDescent="0.5"/>
    <row r="44" spans="1:12" hidden="1" x14ac:dyDescent="0.5"/>
    <row r="45" spans="1:12" hidden="1" x14ac:dyDescent="0.5"/>
    <row r="46" spans="1:12" hidden="1" x14ac:dyDescent="0.5"/>
    <row r="47" spans="1:12" hidden="1" x14ac:dyDescent="0.5"/>
    <row r="48" spans="1:12" hidden="1" x14ac:dyDescent="0.5"/>
    <row r="49" hidden="1" x14ac:dyDescent="0.5"/>
    <row r="50" hidden="1" x14ac:dyDescent="0.5"/>
    <row r="51" hidden="1" x14ac:dyDescent="0.5"/>
    <row r="52" hidden="1" x14ac:dyDescent="0.5"/>
    <row r="53" hidden="1" x14ac:dyDescent="0.5"/>
    <row r="54" hidden="1" x14ac:dyDescent="0.5"/>
    <row r="55" hidden="1" x14ac:dyDescent="0.5"/>
    <row r="56" hidden="1" x14ac:dyDescent="0.5"/>
    <row r="57" hidden="1" x14ac:dyDescent="0.5"/>
    <row r="58" hidden="1" x14ac:dyDescent="0.5"/>
    <row r="59" hidden="1" x14ac:dyDescent="0.5"/>
    <row r="60" hidden="1" x14ac:dyDescent="0.5"/>
    <row r="61" hidden="1" x14ac:dyDescent="0.5"/>
    <row r="62" hidden="1" x14ac:dyDescent="0.5"/>
    <row r="63" hidden="1" x14ac:dyDescent="0.5"/>
    <row r="64" hidden="1" x14ac:dyDescent="0.5"/>
    <row r="65" hidden="1" x14ac:dyDescent="0.5"/>
    <row r="66" hidden="1" x14ac:dyDescent="0.5"/>
    <row r="67" hidden="1" x14ac:dyDescent="0.5"/>
    <row r="68" hidden="1" x14ac:dyDescent="0.5"/>
    <row r="69" hidden="1" x14ac:dyDescent="0.5"/>
    <row r="70" hidden="1" x14ac:dyDescent="0.5"/>
    <row r="71" hidden="1" x14ac:dyDescent="0.5"/>
    <row r="72" hidden="1" x14ac:dyDescent="0.5"/>
    <row r="73" hidden="1" x14ac:dyDescent="0.5"/>
    <row r="74" hidden="1" x14ac:dyDescent="0.5"/>
    <row r="75" hidden="1" x14ac:dyDescent="0.5"/>
    <row r="76" hidden="1" x14ac:dyDescent="0.5"/>
    <row r="77" hidden="1" x14ac:dyDescent="0.5"/>
    <row r="78" hidden="1" x14ac:dyDescent="0.5"/>
    <row r="79" hidden="1" x14ac:dyDescent="0.5"/>
    <row r="80" hidden="1" x14ac:dyDescent="0.5"/>
    <row r="81" hidden="1" x14ac:dyDescent="0.5"/>
    <row r="82" hidden="1" x14ac:dyDescent="0.5"/>
    <row r="83" hidden="1" x14ac:dyDescent="0.5"/>
    <row r="84" hidden="1" x14ac:dyDescent="0.5"/>
    <row r="85" hidden="1" x14ac:dyDescent="0.5"/>
    <row r="86" hidden="1" x14ac:dyDescent="0.5"/>
    <row r="87" hidden="1" x14ac:dyDescent="0.5"/>
    <row r="88" hidden="1" x14ac:dyDescent="0.5"/>
    <row r="89" hidden="1" x14ac:dyDescent="0.5"/>
    <row r="90" hidden="1" x14ac:dyDescent="0.5"/>
    <row r="91" hidden="1" x14ac:dyDescent="0.5"/>
    <row r="92" hidden="1" x14ac:dyDescent="0.5"/>
    <row r="93" hidden="1" x14ac:dyDescent="0.5"/>
    <row r="94" hidden="1" x14ac:dyDescent="0.5"/>
    <row r="95" hidden="1" x14ac:dyDescent="0.5"/>
    <row r="96" hidden="1" x14ac:dyDescent="0.5"/>
    <row r="97" hidden="1" x14ac:dyDescent="0.5"/>
    <row r="98" hidden="1" x14ac:dyDescent="0.5"/>
    <row r="99" hidden="1" x14ac:dyDescent="0.5"/>
    <row r="100" hidden="1" x14ac:dyDescent="0.5"/>
    <row r="101" hidden="1" x14ac:dyDescent="0.5"/>
    <row r="102" hidden="1" x14ac:dyDescent="0.5"/>
    <row r="103" hidden="1" x14ac:dyDescent="0.5"/>
    <row r="104" hidden="1" x14ac:dyDescent="0.5"/>
    <row r="105" hidden="1" x14ac:dyDescent="0.5"/>
    <row r="106" hidden="1" x14ac:dyDescent="0.5"/>
    <row r="107" hidden="1" x14ac:dyDescent="0.5"/>
    <row r="108" hidden="1" x14ac:dyDescent="0.5"/>
    <row r="109" hidden="1" x14ac:dyDescent="0.5"/>
    <row r="110" hidden="1" x14ac:dyDescent="0.5"/>
    <row r="111" hidden="1" x14ac:dyDescent="0.5"/>
    <row r="112" hidden="1" x14ac:dyDescent="0.5"/>
    <row r="113" hidden="1" x14ac:dyDescent="0.5"/>
    <row r="114" hidden="1" x14ac:dyDescent="0.5"/>
    <row r="115" hidden="1" x14ac:dyDescent="0.5"/>
    <row r="116" hidden="1" x14ac:dyDescent="0.5"/>
    <row r="117" hidden="1" x14ac:dyDescent="0.5"/>
    <row r="118" hidden="1" x14ac:dyDescent="0.5"/>
    <row r="119" hidden="1" x14ac:dyDescent="0.5"/>
    <row r="120" hidden="1" x14ac:dyDescent="0.5"/>
    <row r="121" hidden="1" x14ac:dyDescent="0.5"/>
    <row r="122" hidden="1" x14ac:dyDescent="0.5"/>
    <row r="123" hidden="1" x14ac:dyDescent="0.5"/>
    <row r="124" hidden="1" x14ac:dyDescent="0.5"/>
    <row r="125" hidden="1" x14ac:dyDescent="0.5"/>
    <row r="126" hidden="1" x14ac:dyDescent="0.5"/>
    <row r="127" hidden="1" x14ac:dyDescent="0.5"/>
    <row r="128" hidden="1" x14ac:dyDescent="0.5"/>
    <row r="129" hidden="1" x14ac:dyDescent="0.5"/>
    <row r="130" hidden="1" x14ac:dyDescent="0.5"/>
    <row r="131" hidden="1" x14ac:dyDescent="0.5"/>
    <row r="132" hidden="1" x14ac:dyDescent="0.5"/>
    <row r="133" hidden="1" x14ac:dyDescent="0.5"/>
    <row r="134" hidden="1" x14ac:dyDescent="0.5"/>
    <row r="135" hidden="1" x14ac:dyDescent="0.5"/>
    <row r="136" hidden="1" x14ac:dyDescent="0.5"/>
    <row r="137" hidden="1" x14ac:dyDescent="0.5"/>
    <row r="138" hidden="1" x14ac:dyDescent="0.5"/>
    <row r="139" hidden="1" x14ac:dyDescent="0.5"/>
    <row r="140" hidden="1" x14ac:dyDescent="0.5"/>
    <row r="141" hidden="1" x14ac:dyDescent="0.5"/>
    <row r="142" hidden="1" x14ac:dyDescent="0.5"/>
    <row r="143" hidden="1" x14ac:dyDescent="0.5"/>
    <row r="144" hidden="1" x14ac:dyDescent="0.5"/>
    <row r="145" hidden="1" x14ac:dyDescent="0.5"/>
    <row r="146" hidden="1" x14ac:dyDescent="0.5"/>
    <row r="147" hidden="1" x14ac:dyDescent="0.5"/>
    <row r="148" hidden="1" x14ac:dyDescent="0.5"/>
    <row r="149" hidden="1" x14ac:dyDescent="0.5"/>
    <row r="150" hidden="1" x14ac:dyDescent="0.5"/>
    <row r="151" hidden="1" x14ac:dyDescent="0.5"/>
    <row r="152" hidden="1" x14ac:dyDescent="0.5"/>
    <row r="153" hidden="1" x14ac:dyDescent="0.5"/>
    <row r="154" hidden="1" x14ac:dyDescent="0.5"/>
    <row r="155" hidden="1" x14ac:dyDescent="0.5"/>
    <row r="156" hidden="1" x14ac:dyDescent="0.5"/>
    <row r="157" hidden="1" x14ac:dyDescent="0.5"/>
    <row r="158" hidden="1" x14ac:dyDescent="0.5"/>
    <row r="159" hidden="1" x14ac:dyDescent="0.5"/>
    <row r="160" hidden="1" x14ac:dyDescent="0.5"/>
    <row r="161" hidden="1" x14ac:dyDescent="0.5"/>
    <row r="162" hidden="1" x14ac:dyDescent="0.5"/>
    <row r="163" hidden="1" x14ac:dyDescent="0.5"/>
    <row r="164" hidden="1" x14ac:dyDescent="0.5"/>
    <row r="165" hidden="1" x14ac:dyDescent="0.5"/>
    <row r="166" hidden="1" x14ac:dyDescent="0.5"/>
    <row r="167" hidden="1" x14ac:dyDescent="0.5"/>
    <row r="168" hidden="1" x14ac:dyDescent="0.5"/>
    <row r="169" hidden="1" x14ac:dyDescent="0.5"/>
    <row r="170" hidden="1" x14ac:dyDescent="0.5"/>
    <row r="171" hidden="1" x14ac:dyDescent="0.5"/>
    <row r="172" hidden="1" x14ac:dyDescent="0.5"/>
    <row r="173" hidden="1" x14ac:dyDescent="0.5"/>
    <row r="174" hidden="1" x14ac:dyDescent="0.5"/>
    <row r="175" hidden="1" x14ac:dyDescent="0.5"/>
    <row r="176" hidden="1" x14ac:dyDescent="0.5"/>
    <row r="177" hidden="1" x14ac:dyDescent="0.5"/>
    <row r="178" hidden="1" x14ac:dyDescent="0.5"/>
    <row r="179" hidden="1" x14ac:dyDescent="0.5"/>
    <row r="180" hidden="1" x14ac:dyDescent="0.5"/>
    <row r="181" hidden="1" x14ac:dyDescent="0.5"/>
    <row r="182" hidden="1" x14ac:dyDescent="0.5"/>
    <row r="183" hidden="1" x14ac:dyDescent="0.5"/>
    <row r="184" hidden="1" x14ac:dyDescent="0.5"/>
    <row r="185" hidden="1" x14ac:dyDescent="0.5"/>
    <row r="186" hidden="1" x14ac:dyDescent="0.5"/>
    <row r="187" hidden="1" x14ac:dyDescent="0.5"/>
    <row r="188" hidden="1" x14ac:dyDescent="0.5"/>
    <row r="189" hidden="1" x14ac:dyDescent="0.5"/>
    <row r="190" hidden="1" x14ac:dyDescent="0.5"/>
    <row r="191" hidden="1" x14ac:dyDescent="0.5"/>
    <row r="192" hidden="1" x14ac:dyDescent="0.5"/>
    <row r="193" hidden="1" x14ac:dyDescent="0.5"/>
    <row r="194" hidden="1" x14ac:dyDescent="0.5"/>
    <row r="195" hidden="1" x14ac:dyDescent="0.5"/>
    <row r="196" hidden="1" x14ac:dyDescent="0.5"/>
    <row r="197" hidden="1" x14ac:dyDescent="0.5"/>
    <row r="198" hidden="1" x14ac:dyDescent="0.5"/>
    <row r="199" hidden="1" x14ac:dyDescent="0.5"/>
    <row r="200" hidden="1" x14ac:dyDescent="0.5"/>
    <row r="201" hidden="1" x14ac:dyDescent="0.5"/>
    <row r="202" hidden="1" x14ac:dyDescent="0.5"/>
    <row r="203" hidden="1" x14ac:dyDescent="0.5"/>
    <row r="204" hidden="1" x14ac:dyDescent="0.5"/>
    <row r="205" hidden="1" x14ac:dyDescent="0.5"/>
    <row r="206" hidden="1" x14ac:dyDescent="0.5"/>
    <row r="207" hidden="1" x14ac:dyDescent="0.5"/>
    <row r="208" hidden="1" x14ac:dyDescent="0.5"/>
    <row r="209" hidden="1" x14ac:dyDescent="0.5"/>
    <row r="210" hidden="1" x14ac:dyDescent="0.5"/>
    <row r="211" hidden="1" x14ac:dyDescent="0.5"/>
    <row r="212" hidden="1" x14ac:dyDescent="0.5"/>
    <row r="213" hidden="1" x14ac:dyDescent="0.5"/>
    <row r="214" hidden="1" x14ac:dyDescent="0.5"/>
    <row r="215" hidden="1" x14ac:dyDescent="0.5"/>
    <row r="216" hidden="1" x14ac:dyDescent="0.5"/>
    <row r="217" hidden="1" x14ac:dyDescent="0.5"/>
    <row r="218" hidden="1" x14ac:dyDescent="0.5"/>
    <row r="219" hidden="1" x14ac:dyDescent="0.5"/>
    <row r="220" hidden="1" x14ac:dyDescent="0.5"/>
    <row r="221" hidden="1" x14ac:dyDescent="0.5"/>
    <row r="222" hidden="1" x14ac:dyDescent="0.5"/>
    <row r="223" hidden="1" x14ac:dyDescent="0.5"/>
    <row r="224" hidden="1" x14ac:dyDescent="0.5"/>
    <row r="225" hidden="1" x14ac:dyDescent="0.5"/>
    <row r="226" hidden="1" x14ac:dyDescent="0.5"/>
    <row r="227" hidden="1" x14ac:dyDescent="0.5"/>
    <row r="228" hidden="1" x14ac:dyDescent="0.5"/>
    <row r="229" hidden="1" x14ac:dyDescent="0.5"/>
    <row r="230" hidden="1" x14ac:dyDescent="0.5"/>
    <row r="231" hidden="1" x14ac:dyDescent="0.5"/>
    <row r="232" hidden="1" x14ac:dyDescent="0.5"/>
    <row r="233" hidden="1" x14ac:dyDescent="0.5"/>
    <row r="234" hidden="1" x14ac:dyDescent="0.5"/>
    <row r="235" hidden="1" x14ac:dyDescent="0.5"/>
    <row r="236" hidden="1" x14ac:dyDescent="0.5"/>
    <row r="237" hidden="1" x14ac:dyDescent="0.5"/>
    <row r="238" hidden="1" x14ac:dyDescent="0.5"/>
    <row r="239" hidden="1" x14ac:dyDescent="0.5"/>
    <row r="240" hidden="1" x14ac:dyDescent="0.5"/>
    <row r="241" hidden="1" x14ac:dyDescent="0.5"/>
    <row r="242" hidden="1" x14ac:dyDescent="0.5"/>
    <row r="243" hidden="1" x14ac:dyDescent="0.5"/>
    <row r="244" hidden="1" x14ac:dyDescent="0.5"/>
    <row r="245" hidden="1" x14ac:dyDescent="0.5"/>
    <row r="246" hidden="1" x14ac:dyDescent="0.5"/>
    <row r="247" hidden="1" x14ac:dyDescent="0.5"/>
    <row r="248" hidden="1" x14ac:dyDescent="0.5"/>
    <row r="249" hidden="1" x14ac:dyDescent="0.5"/>
    <row r="250" hidden="1" x14ac:dyDescent="0.5"/>
    <row r="251" hidden="1" x14ac:dyDescent="0.5"/>
    <row r="252" hidden="1" x14ac:dyDescent="0.5"/>
    <row r="253" hidden="1" x14ac:dyDescent="0.5"/>
    <row r="254" hidden="1" x14ac:dyDescent="0.5"/>
    <row r="255" hidden="1" x14ac:dyDescent="0.5"/>
    <row r="256" hidden="1" x14ac:dyDescent="0.5"/>
    <row r="257" hidden="1" x14ac:dyDescent="0.5"/>
    <row r="258" hidden="1" x14ac:dyDescent="0.5"/>
    <row r="259" hidden="1" x14ac:dyDescent="0.5"/>
    <row r="260" hidden="1" x14ac:dyDescent="0.5"/>
    <row r="261" hidden="1" x14ac:dyDescent="0.5"/>
    <row r="262" hidden="1" x14ac:dyDescent="0.5"/>
    <row r="263" hidden="1" x14ac:dyDescent="0.5"/>
    <row r="264" hidden="1" x14ac:dyDescent="0.5"/>
    <row r="265" hidden="1" x14ac:dyDescent="0.5"/>
    <row r="266" hidden="1" x14ac:dyDescent="0.5"/>
    <row r="267" hidden="1" x14ac:dyDescent="0.5"/>
    <row r="268" hidden="1" x14ac:dyDescent="0.5"/>
    <row r="269" hidden="1" x14ac:dyDescent="0.5"/>
    <row r="270" hidden="1" x14ac:dyDescent="0.5"/>
    <row r="271" hidden="1" x14ac:dyDescent="0.5"/>
    <row r="272" hidden="1" x14ac:dyDescent="0.5"/>
    <row r="273" hidden="1" x14ac:dyDescent="0.5"/>
    <row r="274" hidden="1" x14ac:dyDescent="0.5"/>
    <row r="275" hidden="1" x14ac:dyDescent="0.5"/>
    <row r="276" hidden="1" x14ac:dyDescent="0.5"/>
    <row r="277" hidden="1" x14ac:dyDescent="0.5"/>
    <row r="278" hidden="1" x14ac:dyDescent="0.5"/>
    <row r="279" hidden="1" x14ac:dyDescent="0.5"/>
    <row r="280" hidden="1" x14ac:dyDescent="0.5"/>
    <row r="281" hidden="1" x14ac:dyDescent="0.5"/>
    <row r="282" hidden="1" x14ac:dyDescent="0.5"/>
    <row r="283" hidden="1" x14ac:dyDescent="0.5"/>
    <row r="284" hidden="1" x14ac:dyDescent="0.5"/>
    <row r="285" hidden="1" x14ac:dyDescent="0.5"/>
    <row r="286" hidden="1" x14ac:dyDescent="0.5"/>
    <row r="287" hidden="1" x14ac:dyDescent="0.5"/>
    <row r="288" hidden="1" x14ac:dyDescent="0.5"/>
    <row r="289" hidden="1" x14ac:dyDescent="0.5"/>
    <row r="290" hidden="1" x14ac:dyDescent="0.5"/>
    <row r="291" hidden="1" x14ac:dyDescent="0.5"/>
    <row r="292" hidden="1" x14ac:dyDescent="0.5"/>
    <row r="293" hidden="1" x14ac:dyDescent="0.5"/>
    <row r="294" hidden="1" x14ac:dyDescent="0.5"/>
    <row r="295" hidden="1" x14ac:dyDescent="0.5"/>
    <row r="296" hidden="1" x14ac:dyDescent="0.5"/>
    <row r="297" hidden="1" x14ac:dyDescent="0.5"/>
    <row r="298" hidden="1" x14ac:dyDescent="0.5"/>
    <row r="299" hidden="1" x14ac:dyDescent="0.5"/>
    <row r="300" hidden="1" x14ac:dyDescent="0.5"/>
    <row r="301" hidden="1" x14ac:dyDescent="0.5"/>
    <row r="302" hidden="1" x14ac:dyDescent="0.5"/>
    <row r="303" hidden="1" x14ac:dyDescent="0.5"/>
    <row r="304" hidden="1" x14ac:dyDescent="0.5"/>
    <row r="305" hidden="1" x14ac:dyDescent="0.5"/>
    <row r="306" hidden="1" x14ac:dyDescent="0.5"/>
    <row r="307" hidden="1" x14ac:dyDescent="0.5"/>
    <row r="308" hidden="1" x14ac:dyDescent="0.5"/>
    <row r="309" hidden="1" x14ac:dyDescent="0.5"/>
    <row r="310" hidden="1" x14ac:dyDescent="0.5"/>
    <row r="311" hidden="1" x14ac:dyDescent="0.5"/>
    <row r="312" hidden="1" x14ac:dyDescent="0.5"/>
    <row r="313" hidden="1" x14ac:dyDescent="0.5"/>
    <row r="314" hidden="1" x14ac:dyDescent="0.5"/>
    <row r="315" hidden="1" x14ac:dyDescent="0.5"/>
    <row r="316" hidden="1" x14ac:dyDescent="0.5"/>
    <row r="317" hidden="1" x14ac:dyDescent="0.5"/>
    <row r="318" hidden="1" x14ac:dyDescent="0.5"/>
    <row r="319" hidden="1" x14ac:dyDescent="0.5"/>
    <row r="320" hidden="1" x14ac:dyDescent="0.5"/>
    <row r="321" hidden="1" x14ac:dyDescent="0.5"/>
    <row r="322" hidden="1" x14ac:dyDescent="0.5"/>
    <row r="323" hidden="1" x14ac:dyDescent="0.5"/>
    <row r="324" hidden="1" x14ac:dyDescent="0.5"/>
    <row r="325" hidden="1" x14ac:dyDescent="0.5"/>
    <row r="326" hidden="1" x14ac:dyDescent="0.5"/>
    <row r="327" hidden="1" x14ac:dyDescent="0.5"/>
    <row r="328" hidden="1" x14ac:dyDescent="0.5"/>
    <row r="329" hidden="1" x14ac:dyDescent="0.5"/>
    <row r="330" hidden="1" x14ac:dyDescent="0.5"/>
    <row r="331" hidden="1" x14ac:dyDescent="0.5"/>
    <row r="332" hidden="1" x14ac:dyDescent="0.5"/>
    <row r="333" hidden="1" x14ac:dyDescent="0.5"/>
    <row r="334" hidden="1" x14ac:dyDescent="0.5"/>
    <row r="335" hidden="1" x14ac:dyDescent="0.5"/>
    <row r="336" hidden="1" x14ac:dyDescent="0.5"/>
    <row r="337" hidden="1" x14ac:dyDescent="0.5"/>
    <row r="338" hidden="1" x14ac:dyDescent="0.5"/>
    <row r="339" hidden="1" x14ac:dyDescent="0.5"/>
    <row r="340" hidden="1" x14ac:dyDescent="0.5"/>
    <row r="341" hidden="1" x14ac:dyDescent="0.5"/>
    <row r="342" hidden="1" x14ac:dyDescent="0.5"/>
    <row r="343" hidden="1" x14ac:dyDescent="0.5"/>
    <row r="344" hidden="1" x14ac:dyDescent="0.5"/>
    <row r="345" hidden="1" x14ac:dyDescent="0.5"/>
    <row r="346" hidden="1" x14ac:dyDescent="0.5"/>
    <row r="347" hidden="1" x14ac:dyDescent="0.5"/>
    <row r="348" hidden="1" x14ac:dyDescent="0.5"/>
    <row r="349" hidden="1" x14ac:dyDescent="0.5"/>
    <row r="350" hidden="1" x14ac:dyDescent="0.5"/>
    <row r="351" hidden="1" x14ac:dyDescent="0.5"/>
    <row r="352" hidden="1" x14ac:dyDescent="0.5"/>
    <row r="353" hidden="1" x14ac:dyDescent="0.5"/>
    <row r="354" hidden="1" x14ac:dyDescent="0.5"/>
    <row r="355" hidden="1" x14ac:dyDescent="0.5"/>
    <row r="356" hidden="1" x14ac:dyDescent="0.5"/>
    <row r="357" hidden="1" x14ac:dyDescent="0.5"/>
    <row r="358" hidden="1" x14ac:dyDescent="0.5"/>
    <row r="359" hidden="1" x14ac:dyDescent="0.5"/>
    <row r="360" hidden="1" x14ac:dyDescent="0.5"/>
    <row r="361" hidden="1" x14ac:dyDescent="0.5"/>
    <row r="362" hidden="1" x14ac:dyDescent="0.5"/>
    <row r="363" hidden="1" x14ac:dyDescent="0.5"/>
    <row r="364" hidden="1" x14ac:dyDescent="0.5"/>
    <row r="365" hidden="1" x14ac:dyDescent="0.5"/>
    <row r="366" hidden="1" x14ac:dyDescent="0.5"/>
    <row r="367" hidden="1" x14ac:dyDescent="0.5"/>
    <row r="368" hidden="1" x14ac:dyDescent="0.5"/>
    <row r="369" hidden="1" x14ac:dyDescent="0.5"/>
    <row r="370" hidden="1" x14ac:dyDescent="0.5"/>
    <row r="371" hidden="1" x14ac:dyDescent="0.5"/>
    <row r="372" hidden="1" x14ac:dyDescent="0.5"/>
    <row r="373" hidden="1" x14ac:dyDescent="0.5"/>
    <row r="374" hidden="1" x14ac:dyDescent="0.5"/>
    <row r="375" hidden="1" x14ac:dyDescent="0.5"/>
    <row r="376" hidden="1" x14ac:dyDescent="0.5"/>
    <row r="377" hidden="1" x14ac:dyDescent="0.5"/>
    <row r="378" hidden="1" x14ac:dyDescent="0.5"/>
    <row r="379" hidden="1" x14ac:dyDescent="0.5"/>
    <row r="380" hidden="1" x14ac:dyDescent="0.5"/>
    <row r="381" hidden="1" x14ac:dyDescent="0.5"/>
    <row r="382" hidden="1" x14ac:dyDescent="0.5"/>
    <row r="383" hidden="1" x14ac:dyDescent="0.5"/>
    <row r="384" hidden="1" x14ac:dyDescent="0.5"/>
    <row r="385" spans="6:7" hidden="1" x14ac:dyDescent="0.5"/>
    <row r="386" spans="6:7" hidden="1" x14ac:dyDescent="0.5"/>
    <row r="387" spans="6:7" hidden="1" x14ac:dyDescent="0.5"/>
    <row r="388" spans="6:7" hidden="1" x14ac:dyDescent="0.5"/>
    <row r="389" spans="6:7" hidden="1" x14ac:dyDescent="0.5"/>
    <row r="390" spans="6:7" hidden="1" x14ac:dyDescent="0.5">
      <c r="F390" s="870">
        <v>32136900</v>
      </c>
    </row>
    <row r="391" spans="6:7" hidden="1" x14ac:dyDescent="0.5">
      <c r="F391" s="870">
        <v>5000000</v>
      </c>
    </row>
    <row r="392" spans="6:7" hidden="1" x14ac:dyDescent="0.5">
      <c r="F392" s="871">
        <f>SUM(F390:F391)</f>
        <v>37136900</v>
      </c>
      <c r="G392" s="756"/>
    </row>
    <row r="393" spans="6:7" hidden="1" x14ac:dyDescent="0.5"/>
    <row r="394" spans="6:7" hidden="1" x14ac:dyDescent="0.5">
      <c r="F394" s="871"/>
    </row>
    <row r="395" spans="6:7" hidden="1" x14ac:dyDescent="0.5"/>
    <row r="396" spans="6:7" hidden="1" x14ac:dyDescent="0.5"/>
    <row r="397" spans="6:7" hidden="1" x14ac:dyDescent="0.5"/>
    <row r="398" spans="6:7" hidden="1" x14ac:dyDescent="0.5"/>
    <row r="399" spans="6:7" hidden="1" x14ac:dyDescent="0.5"/>
    <row r="400" spans="6:7" hidden="1" x14ac:dyDescent="0.5"/>
    <row r="401" hidden="1" x14ac:dyDescent="0.5"/>
    <row r="402" hidden="1" x14ac:dyDescent="0.5"/>
    <row r="403" hidden="1" x14ac:dyDescent="0.5"/>
    <row r="404" hidden="1" x14ac:dyDescent="0.5"/>
    <row r="405" hidden="1" x14ac:dyDescent="0.5"/>
    <row r="406" hidden="1" x14ac:dyDescent="0.5"/>
    <row r="407" hidden="1" x14ac:dyDescent="0.5"/>
    <row r="408" hidden="1" x14ac:dyDescent="0.5"/>
    <row r="409" hidden="1" x14ac:dyDescent="0.5"/>
    <row r="410" hidden="1" x14ac:dyDescent="0.5"/>
    <row r="411" hidden="1" x14ac:dyDescent="0.5"/>
    <row r="412" hidden="1" x14ac:dyDescent="0.5"/>
    <row r="413" hidden="1" x14ac:dyDescent="0.5"/>
    <row r="414" hidden="1" x14ac:dyDescent="0.5"/>
    <row r="415" hidden="1" x14ac:dyDescent="0.5"/>
    <row r="416" hidden="1" x14ac:dyDescent="0.5"/>
    <row r="417" hidden="1" x14ac:dyDescent="0.5"/>
    <row r="418" hidden="1" x14ac:dyDescent="0.5"/>
    <row r="419" hidden="1" x14ac:dyDescent="0.5"/>
    <row r="420" hidden="1" x14ac:dyDescent="0.5"/>
    <row r="421" hidden="1" x14ac:dyDescent="0.5"/>
    <row r="422" hidden="1" x14ac:dyDescent="0.5"/>
    <row r="423" hidden="1" x14ac:dyDescent="0.5"/>
    <row r="424" hidden="1" x14ac:dyDescent="0.5"/>
    <row r="425" hidden="1" x14ac:dyDescent="0.5"/>
    <row r="426" hidden="1" x14ac:dyDescent="0.5"/>
    <row r="427" hidden="1" x14ac:dyDescent="0.5"/>
    <row r="428" hidden="1" x14ac:dyDescent="0.5"/>
    <row r="429" hidden="1" x14ac:dyDescent="0.5"/>
    <row r="430" hidden="1" x14ac:dyDescent="0.5"/>
    <row r="431" hidden="1" x14ac:dyDescent="0.5"/>
    <row r="432" hidden="1" x14ac:dyDescent="0.5"/>
    <row r="433" hidden="1" x14ac:dyDescent="0.5"/>
    <row r="434" hidden="1" x14ac:dyDescent="0.5"/>
    <row r="435" hidden="1" x14ac:dyDescent="0.5"/>
    <row r="436" hidden="1" x14ac:dyDescent="0.5"/>
    <row r="437" hidden="1" x14ac:dyDescent="0.5"/>
    <row r="438" hidden="1" x14ac:dyDescent="0.5"/>
    <row r="439" hidden="1" x14ac:dyDescent="0.5"/>
    <row r="440" hidden="1" x14ac:dyDescent="0.5"/>
    <row r="441" hidden="1" x14ac:dyDescent="0.5"/>
    <row r="442" hidden="1" x14ac:dyDescent="0.5"/>
    <row r="443" hidden="1" x14ac:dyDescent="0.5"/>
    <row r="444" hidden="1" x14ac:dyDescent="0.5"/>
    <row r="445" hidden="1" x14ac:dyDescent="0.5"/>
    <row r="446" hidden="1" x14ac:dyDescent="0.5"/>
    <row r="447" hidden="1" x14ac:dyDescent="0.5"/>
    <row r="448" hidden="1" x14ac:dyDescent="0.5"/>
    <row r="449" hidden="1" x14ac:dyDescent="0.5"/>
    <row r="450" hidden="1" x14ac:dyDescent="0.5"/>
    <row r="451" hidden="1" x14ac:dyDescent="0.5"/>
    <row r="452" hidden="1" x14ac:dyDescent="0.5"/>
    <row r="453" hidden="1" x14ac:dyDescent="0.5"/>
    <row r="454" hidden="1" x14ac:dyDescent="0.5"/>
    <row r="455" hidden="1" x14ac:dyDescent="0.5"/>
    <row r="456" hidden="1" x14ac:dyDescent="0.5"/>
    <row r="457" hidden="1" x14ac:dyDescent="0.5"/>
    <row r="458" hidden="1" x14ac:dyDescent="0.5"/>
    <row r="459" hidden="1" x14ac:dyDescent="0.5"/>
    <row r="460" hidden="1" x14ac:dyDescent="0.5"/>
    <row r="461" hidden="1" x14ac:dyDescent="0.5"/>
    <row r="462" hidden="1" x14ac:dyDescent="0.5"/>
    <row r="463" hidden="1" x14ac:dyDescent="0.5"/>
    <row r="464" hidden="1" x14ac:dyDescent="0.5"/>
    <row r="465" hidden="1" x14ac:dyDescent="0.5"/>
    <row r="466" hidden="1" x14ac:dyDescent="0.5"/>
    <row r="467" hidden="1" x14ac:dyDescent="0.5"/>
    <row r="468" hidden="1" x14ac:dyDescent="0.5"/>
    <row r="469" hidden="1" x14ac:dyDescent="0.5"/>
    <row r="470" hidden="1" x14ac:dyDescent="0.5"/>
    <row r="471" hidden="1" x14ac:dyDescent="0.5"/>
    <row r="472" hidden="1" x14ac:dyDescent="0.5"/>
    <row r="473" hidden="1" x14ac:dyDescent="0.5"/>
    <row r="474" hidden="1" x14ac:dyDescent="0.5"/>
    <row r="475" hidden="1" x14ac:dyDescent="0.5"/>
    <row r="476" hidden="1" x14ac:dyDescent="0.5"/>
    <row r="477" hidden="1" x14ac:dyDescent="0.5"/>
    <row r="478" hidden="1" x14ac:dyDescent="0.5"/>
    <row r="479" hidden="1" x14ac:dyDescent="0.5"/>
    <row r="480" hidden="1" x14ac:dyDescent="0.5"/>
    <row r="481" hidden="1" x14ac:dyDescent="0.5"/>
    <row r="482" hidden="1" x14ac:dyDescent="0.5"/>
    <row r="483" hidden="1" x14ac:dyDescent="0.5"/>
    <row r="484" hidden="1" x14ac:dyDescent="0.5"/>
    <row r="485" hidden="1" x14ac:dyDescent="0.5"/>
    <row r="486" hidden="1" x14ac:dyDescent="0.5"/>
    <row r="487" hidden="1" x14ac:dyDescent="0.5"/>
    <row r="488" hidden="1" x14ac:dyDescent="0.5"/>
    <row r="489" hidden="1" x14ac:dyDescent="0.5"/>
    <row r="490" hidden="1" x14ac:dyDescent="0.5"/>
    <row r="491" hidden="1" x14ac:dyDescent="0.5"/>
    <row r="492" hidden="1" x14ac:dyDescent="0.5"/>
    <row r="493" hidden="1" x14ac:dyDescent="0.5"/>
    <row r="494" hidden="1" x14ac:dyDescent="0.5"/>
    <row r="495" hidden="1" x14ac:dyDescent="0.5"/>
    <row r="496" hidden="1" x14ac:dyDescent="0.5"/>
    <row r="497" hidden="1" x14ac:dyDescent="0.5"/>
    <row r="498" hidden="1" x14ac:dyDescent="0.5"/>
    <row r="499" hidden="1" x14ac:dyDescent="0.5"/>
    <row r="500" hidden="1" x14ac:dyDescent="0.5"/>
    <row r="501" hidden="1" x14ac:dyDescent="0.5"/>
    <row r="502" hidden="1" x14ac:dyDescent="0.5"/>
    <row r="503" hidden="1" x14ac:dyDescent="0.5"/>
    <row r="504" hidden="1" x14ac:dyDescent="0.5"/>
    <row r="505" hidden="1" x14ac:dyDescent="0.5"/>
    <row r="506" hidden="1" x14ac:dyDescent="0.5"/>
    <row r="507" hidden="1" x14ac:dyDescent="0.5"/>
    <row r="508" hidden="1" x14ac:dyDescent="0.5"/>
    <row r="509" hidden="1" x14ac:dyDescent="0.5"/>
    <row r="510" hidden="1" x14ac:dyDescent="0.5"/>
    <row r="511" hidden="1" x14ac:dyDescent="0.5"/>
    <row r="512" hidden="1" x14ac:dyDescent="0.5"/>
    <row r="513" hidden="1" x14ac:dyDescent="0.5"/>
    <row r="514" hidden="1" x14ac:dyDescent="0.5"/>
    <row r="515" hidden="1" x14ac:dyDescent="0.5"/>
    <row r="516" hidden="1" x14ac:dyDescent="0.5"/>
    <row r="517" hidden="1" x14ac:dyDescent="0.5"/>
    <row r="518" hidden="1" x14ac:dyDescent="0.5"/>
    <row r="519" hidden="1" x14ac:dyDescent="0.5"/>
    <row r="520" hidden="1" x14ac:dyDescent="0.5"/>
    <row r="521" hidden="1" x14ac:dyDescent="0.5"/>
    <row r="522" hidden="1" x14ac:dyDescent="0.5"/>
    <row r="523" hidden="1" x14ac:dyDescent="0.5"/>
    <row r="524" hidden="1" x14ac:dyDescent="0.5"/>
    <row r="525" hidden="1" x14ac:dyDescent="0.5"/>
    <row r="526" hidden="1" x14ac:dyDescent="0.5"/>
    <row r="527" hidden="1" x14ac:dyDescent="0.5"/>
    <row r="528" hidden="1" x14ac:dyDescent="0.5"/>
    <row r="529" hidden="1" x14ac:dyDescent="0.5"/>
    <row r="530" hidden="1" x14ac:dyDescent="0.5"/>
    <row r="531" hidden="1" x14ac:dyDescent="0.5"/>
    <row r="532" hidden="1" x14ac:dyDescent="0.5"/>
    <row r="533" hidden="1" x14ac:dyDescent="0.5"/>
    <row r="534" hidden="1" x14ac:dyDescent="0.5"/>
    <row r="535" hidden="1" x14ac:dyDescent="0.5"/>
    <row r="536" hidden="1" x14ac:dyDescent="0.5"/>
    <row r="537" hidden="1" x14ac:dyDescent="0.5"/>
    <row r="538" hidden="1" x14ac:dyDescent="0.5"/>
    <row r="539" hidden="1" x14ac:dyDescent="0.5"/>
    <row r="540" hidden="1" x14ac:dyDescent="0.5"/>
    <row r="541" hidden="1" x14ac:dyDescent="0.5"/>
    <row r="542" hidden="1" x14ac:dyDescent="0.5"/>
    <row r="543" hidden="1" x14ac:dyDescent="0.5"/>
    <row r="544" hidden="1" x14ac:dyDescent="0.5"/>
    <row r="545" hidden="1" x14ac:dyDescent="0.5"/>
    <row r="546" hidden="1" x14ac:dyDescent="0.5"/>
    <row r="547" hidden="1" x14ac:dyDescent="0.5"/>
    <row r="548" hidden="1" x14ac:dyDescent="0.5"/>
    <row r="549" hidden="1" x14ac:dyDescent="0.5"/>
    <row r="550" hidden="1" x14ac:dyDescent="0.5"/>
    <row r="551" hidden="1" x14ac:dyDescent="0.5"/>
    <row r="552" hidden="1" x14ac:dyDescent="0.5"/>
    <row r="553" hidden="1" x14ac:dyDescent="0.5"/>
    <row r="554" hidden="1" x14ac:dyDescent="0.5"/>
    <row r="555" hidden="1" x14ac:dyDescent="0.5"/>
    <row r="556" hidden="1" x14ac:dyDescent="0.5"/>
    <row r="557" hidden="1" x14ac:dyDescent="0.5"/>
    <row r="558" hidden="1" x14ac:dyDescent="0.5"/>
    <row r="559" hidden="1" x14ac:dyDescent="0.5"/>
    <row r="560" hidden="1" x14ac:dyDescent="0.5"/>
    <row r="561" hidden="1" x14ac:dyDescent="0.5"/>
    <row r="562" hidden="1" x14ac:dyDescent="0.5"/>
    <row r="563" hidden="1" x14ac:dyDescent="0.5"/>
    <row r="564" hidden="1" x14ac:dyDescent="0.5"/>
    <row r="565" hidden="1" x14ac:dyDescent="0.5"/>
    <row r="566" hidden="1" x14ac:dyDescent="0.5"/>
    <row r="567" hidden="1" x14ac:dyDescent="0.5"/>
    <row r="568" hidden="1" x14ac:dyDescent="0.5"/>
    <row r="569" hidden="1" x14ac:dyDescent="0.5"/>
    <row r="570" hidden="1" x14ac:dyDescent="0.5"/>
    <row r="571" hidden="1" x14ac:dyDescent="0.5"/>
    <row r="572" hidden="1" x14ac:dyDescent="0.5"/>
    <row r="573" hidden="1" x14ac:dyDescent="0.5"/>
    <row r="574" hidden="1" x14ac:dyDescent="0.5"/>
    <row r="575" hidden="1" x14ac:dyDescent="0.5"/>
    <row r="576" hidden="1" x14ac:dyDescent="0.5"/>
    <row r="577" hidden="1" x14ac:dyDescent="0.5"/>
    <row r="578" hidden="1" x14ac:dyDescent="0.5"/>
    <row r="579" hidden="1" x14ac:dyDescent="0.5"/>
    <row r="580" hidden="1" x14ac:dyDescent="0.5"/>
    <row r="581" hidden="1" x14ac:dyDescent="0.5"/>
    <row r="582" hidden="1" x14ac:dyDescent="0.5"/>
    <row r="583" hidden="1" x14ac:dyDescent="0.5"/>
    <row r="584" hidden="1" x14ac:dyDescent="0.5"/>
    <row r="585" hidden="1" x14ac:dyDescent="0.5"/>
    <row r="586" hidden="1" x14ac:dyDescent="0.5"/>
    <row r="587" hidden="1" x14ac:dyDescent="0.5"/>
    <row r="588" hidden="1" x14ac:dyDescent="0.5"/>
    <row r="589" hidden="1" x14ac:dyDescent="0.5"/>
    <row r="590" hidden="1" x14ac:dyDescent="0.5"/>
    <row r="591" hidden="1" x14ac:dyDescent="0.5"/>
    <row r="592" hidden="1" x14ac:dyDescent="0.5"/>
    <row r="593" hidden="1" x14ac:dyDescent="0.5"/>
    <row r="594" hidden="1" x14ac:dyDescent="0.5"/>
    <row r="595" hidden="1" x14ac:dyDescent="0.5"/>
    <row r="596" hidden="1" x14ac:dyDescent="0.5"/>
    <row r="597" hidden="1" x14ac:dyDescent="0.5"/>
    <row r="598" hidden="1" x14ac:dyDescent="0.5"/>
    <row r="599" hidden="1" x14ac:dyDescent="0.5"/>
    <row r="600" hidden="1" x14ac:dyDescent="0.5"/>
    <row r="601" hidden="1" x14ac:dyDescent="0.5"/>
    <row r="602" hidden="1" x14ac:dyDescent="0.5"/>
    <row r="603" hidden="1" x14ac:dyDescent="0.5"/>
    <row r="604" hidden="1" x14ac:dyDescent="0.5"/>
    <row r="605" hidden="1" x14ac:dyDescent="0.5"/>
    <row r="606" hidden="1" x14ac:dyDescent="0.5"/>
    <row r="607" hidden="1" x14ac:dyDescent="0.5"/>
    <row r="608" hidden="1" x14ac:dyDescent="0.5"/>
    <row r="609" hidden="1" x14ac:dyDescent="0.5"/>
    <row r="610" hidden="1" x14ac:dyDescent="0.5"/>
    <row r="611" hidden="1" x14ac:dyDescent="0.5"/>
    <row r="612" hidden="1" x14ac:dyDescent="0.5"/>
    <row r="613" hidden="1" x14ac:dyDescent="0.5"/>
    <row r="614" hidden="1" x14ac:dyDescent="0.5"/>
    <row r="615" hidden="1" x14ac:dyDescent="0.5"/>
    <row r="616" hidden="1" x14ac:dyDescent="0.5"/>
    <row r="617" hidden="1" x14ac:dyDescent="0.5"/>
    <row r="618" hidden="1" x14ac:dyDescent="0.5"/>
    <row r="619" hidden="1" x14ac:dyDescent="0.5"/>
    <row r="620" hidden="1" x14ac:dyDescent="0.5"/>
    <row r="621" hidden="1" x14ac:dyDescent="0.5"/>
    <row r="622" hidden="1" x14ac:dyDescent="0.5"/>
    <row r="623" hidden="1" x14ac:dyDescent="0.5"/>
    <row r="624" hidden="1" x14ac:dyDescent="0.5"/>
    <row r="625" hidden="1" x14ac:dyDescent="0.5"/>
    <row r="626" hidden="1" x14ac:dyDescent="0.5"/>
    <row r="627" hidden="1" x14ac:dyDescent="0.5"/>
    <row r="628" hidden="1" x14ac:dyDescent="0.5"/>
    <row r="629" hidden="1" x14ac:dyDescent="0.5"/>
    <row r="630" hidden="1" x14ac:dyDescent="0.5"/>
    <row r="631" hidden="1" x14ac:dyDescent="0.5"/>
    <row r="632" hidden="1" x14ac:dyDescent="0.5"/>
    <row r="633" hidden="1" x14ac:dyDescent="0.5"/>
    <row r="634" hidden="1" x14ac:dyDescent="0.5"/>
    <row r="635" hidden="1" x14ac:dyDescent="0.5"/>
    <row r="636" hidden="1" x14ac:dyDescent="0.5"/>
    <row r="637" hidden="1" x14ac:dyDescent="0.5"/>
    <row r="638" hidden="1" x14ac:dyDescent="0.5"/>
    <row r="639" hidden="1" x14ac:dyDescent="0.5"/>
    <row r="640" hidden="1" x14ac:dyDescent="0.5"/>
    <row r="641" hidden="1" x14ac:dyDescent="0.5"/>
    <row r="642" hidden="1" x14ac:dyDescent="0.5"/>
    <row r="643" hidden="1" x14ac:dyDescent="0.5"/>
    <row r="644" hidden="1" x14ac:dyDescent="0.5"/>
    <row r="645" hidden="1" x14ac:dyDescent="0.5"/>
    <row r="646" hidden="1" x14ac:dyDescent="0.5"/>
    <row r="647" hidden="1" x14ac:dyDescent="0.5"/>
    <row r="648" hidden="1" x14ac:dyDescent="0.5"/>
    <row r="649" hidden="1" x14ac:dyDescent="0.5"/>
    <row r="650" hidden="1" x14ac:dyDescent="0.5"/>
    <row r="651" hidden="1" x14ac:dyDescent="0.5"/>
    <row r="652" hidden="1" x14ac:dyDescent="0.5"/>
    <row r="653" hidden="1" x14ac:dyDescent="0.5"/>
    <row r="654" hidden="1" x14ac:dyDescent="0.5"/>
    <row r="655" hidden="1" x14ac:dyDescent="0.5"/>
    <row r="656" hidden="1" x14ac:dyDescent="0.5"/>
    <row r="657" hidden="1" x14ac:dyDescent="0.5"/>
    <row r="658" hidden="1" x14ac:dyDescent="0.5"/>
    <row r="659" hidden="1" x14ac:dyDescent="0.5"/>
    <row r="660" hidden="1" x14ac:dyDescent="0.5"/>
    <row r="661" hidden="1" x14ac:dyDescent="0.5"/>
    <row r="662" hidden="1" x14ac:dyDescent="0.5"/>
    <row r="663" hidden="1" x14ac:dyDescent="0.5"/>
    <row r="664" hidden="1" x14ac:dyDescent="0.5"/>
    <row r="665" hidden="1" x14ac:dyDescent="0.5"/>
    <row r="666" hidden="1" x14ac:dyDescent="0.5"/>
    <row r="667" hidden="1" x14ac:dyDescent="0.5"/>
    <row r="668" hidden="1" x14ac:dyDescent="0.5"/>
    <row r="669" hidden="1" x14ac:dyDescent="0.5"/>
  </sheetData>
  <mergeCells count="16">
    <mergeCell ref="A1:L1"/>
    <mergeCell ref="A2:L2"/>
    <mergeCell ref="A3:L3"/>
    <mergeCell ref="A4:L4"/>
    <mergeCell ref="B28:K28"/>
    <mergeCell ref="A22:L22"/>
    <mergeCell ref="A21:C21"/>
    <mergeCell ref="B5:B7"/>
    <mergeCell ref="A5:A7"/>
    <mergeCell ref="C5:C7"/>
    <mergeCell ref="B24:K24"/>
    <mergeCell ref="B26:K26"/>
    <mergeCell ref="B23:L23"/>
    <mergeCell ref="B27:K27"/>
    <mergeCell ref="B25:K25"/>
    <mergeCell ref="D5:F5"/>
  </mergeCells>
  <phoneticPr fontId="107" type="noConversion"/>
  <pageMargins left="0.35433070866141736" right="0" top="0.74803149606299213" bottom="0.39370078740157483" header="0.31496062992125984" footer="0.27559055118110237"/>
  <pageSetup paperSize="9" scale="69" orientation="landscape" r:id="rId1"/>
  <headerFooter>
    <oddHeader>&amp;R&amp;"Agency FB,ตัวหนา"&amp;20งบรายจ่ายอื่น</oddHeader>
    <oddFooter>&amp;Lกลุ่มบริหารงานบัญชีและงบประมาณ&amp;Rหน้าที่ &amp;P จาก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C983A-5174-4096-B4CB-AFBAF2E0F6E5}">
  <sheetPr>
    <tabColor rgb="FF00B050"/>
  </sheetPr>
  <dimension ref="A1:L68"/>
  <sheetViews>
    <sheetView topLeftCell="A58" zoomScale="90" zoomScaleNormal="90" workbookViewId="0">
      <selection activeCell="I63" sqref="I63"/>
    </sheetView>
  </sheetViews>
  <sheetFormatPr defaultRowHeight="24" x14ac:dyDescent="0.5"/>
  <cols>
    <col min="1" max="1" width="8" style="896" bestFit="1" customWidth="1"/>
    <col min="2" max="2" width="28.140625" style="884" bestFit="1" customWidth="1"/>
    <col min="3" max="3" width="12.7109375" style="896" bestFit="1" customWidth="1"/>
    <col min="4" max="4" width="11.85546875" style="896" bestFit="1" customWidth="1"/>
    <col min="5" max="5" width="21.42578125" style="971" bestFit="1" customWidth="1"/>
    <col min="6" max="6" width="12.42578125" style="896" bestFit="1" customWidth="1"/>
    <col min="7" max="7" width="36.140625" style="897" customWidth="1"/>
    <col min="8" max="8" width="18.85546875" style="884" customWidth="1"/>
    <col min="9" max="9" width="18.140625" style="884" customWidth="1"/>
    <col min="10" max="10" width="16.85546875" style="898" bestFit="1" customWidth="1"/>
    <col min="11" max="11" width="8.7109375" style="886" bestFit="1" customWidth="1"/>
    <col min="12" max="12" width="24.85546875" style="973" bestFit="1" customWidth="1"/>
    <col min="13" max="79" width="9.140625" style="884"/>
    <col min="80" max="80" width="6.42578125" style="884" bestFit="1" customWidth="1"/>
    <col min="81" max="81" width="32" style="884" bestFit="1" customWidth="1"/>
    <col min="82" max="82" width="14.5703125" style="884" bestFit="1" customWidth="1"/>
    <col min="83" max="83" width="12.42578125" style="884" bestFit="1" customWidth="1"/>
    <col min="84" max="84" width="51.28515625" style="884" bestFit="1" customWidth="1"/>
    <col min="85" max="85" width="14.85546875" style="884" bestFit="1" customWidth="1"/>
    <col min="86" max="86" width="25" style="884" bestFit="1" customWidth="1"/>
    <col min="87" max="88" width="12.28515625" style="884" bestFit="1" customWidth="1"/>
    <col min="89" max="89" width="24.7109375" style="884" bestFit="1" customWidth="1"/>
    <col min="90" max="90" width="15" style="884" bestFit="1" customWidth="1"/>
    <col min="91" max="335" width="9.140625" style="884"/>
    <col min="336" max="336" width="6.42578125" style="884" bestFit="1" customWidth="1"/>
    <col min="337" max="337" width="32" style="884" bestFit="1" customWidth="1"/>
    <col min="338" max="338" width="14.5703125" style="884" bestFit="1" customWidth="1"/>
    <col min="339" max="339" width="12.42578125" style="884" bestFit="1" customWidth="1"/>
    <col min="340" max="340" width="51.28515625" style="884" bestFit="1" customWidth="1"/>
    <col min="341" max="341" width="14.85546875" style="884" bestFit="1" customWidth="1"/>
    <col min="342" max="342" width="25" style="884" bestFit="1" customWidth="1"/>
    <col min="343" max="344" width="12.28515625" style="884" bestFit="1" customWidth="1"/>
    <col min="345" max="345" width="24.7109375" style="884" bestFit="1" customWidth="1"/>
    <col min="346" max="346" width="15" style="884" bestFit="1" customWidth="1"/>
    <col min="347" max="591" width="9.140625" style="884"/>
    <col min="592" max="592" width="6.42578125" style="884" bestFit="1" customWidth="1"/>
    <col min="593" max="593" width="32" style="884" bestFit="1" customWidth="1"/>
    <col min="594" max="594" width="14.5703125" style="884" bestFit="1" customWidth="1"/>
    <col min="595" max="595" width="12.42578125" style="884" bestFit="1" customWidth="1"/>
    <col min="596" max="596" width="51.28515625" style="884" bestFit="1" customWidth="1"/>
    <col min="597" max="597" width="14.85546875" style="884" bestFit="1" customWidth="1"/>
    <col min="598" max="598" width="25" style="884" bestFit="1" customWidth="1"/>
    <col min="599" max="600" width="12.28515625" style="884" bestFit="1" customWidth="1"/>
    <col min="601" max="601" width="24.7109375" style="884" bestFit="1" customWidth="1"/>
    <col min="602" max="602" width="15" style="884" bestFit="1" customWidth="1"/>
    <col min="603" max="847" width="9.140625" style="884"/>
    <col min="848" max="848" width="6.42578125" style="884" bestFit="1" customWidth="1"/>
    <col min="849" max="849" width="32" style="884" bestFit="1" customWidth="1"/>
    <col min="850" max="850" width="14.5703125" style="884" bestFit="1" customWidth="1"/>
    <col min="851" max="851" width="12.42578125" style="884" bestFit="1" customWidth="1"/>
    <col min="852" max="852" width="51.28515625" style="884" bestFit="1" customWidth="1"/>
    <col min="853" max="853" width="14.85546875" style="884" bestFit="1" customWidth="1"/>
    <col min="854" max="854" width="25" style="884" bestFit="1" customWidth="1"/>
    <col min="855" max="856" width="12.28515625" style="884" bestFit="1" customWidth="1"/>
    <col min="857" max="857" width="24.7109375" style="884" bestFit="1" customWidth="1"/>
    <col min="858" max="858" width="15" style="884" bestFit="1" customWidth="1"/>
    <col min="859" max="1103" width="9.140625" style="884"/>
    <col min="1104" max="1104" width="6.42578125" style="884" bestFit="1" customWidth="1"/>
    <col min="1105" max="1105" width="32" style="884" bestFit="1" customWidth="1"/>
    <col min="1106" max="1106" width="14.5703125" style="884" bestFit="1" customWidth="1"/>
    <col min="1107" max="1107" width="12.42578125" style="884" bestFit="1" customWidth="1"/>
    <col min="1108" max="1108" width="51.28515625" style="884" bestFit="1" customWidth="1"/>
    <col min="1109" max="1109" width="14.85546875" style="884" bestFit="1" customWidth="1"/>
    <col min="1110" max="1110" width="25" style="884" bestFit="1" customWidth="1"/>
    <col min="1111" max="1112" width="12.28515625" style="884" bestFit="1" customWidth="1"/>
    <col min="1113" max="1113" width="24.7109375" style="884" bestFit="1" customWidth="1"/>
    <col min="1114" max="1114" width="15" style="884" bestFit="1" customWidth="1"/>
    <col min="1115" max="1359" width="9.140625" style="884"/>
    <col min="1360" max="1360" width="6.42578125" style="884" bestFit="1" customWidth="1"/>
    <col min="1361" max="1361" width="32" style="884" bestFit="1" customWidth="1"/>
    <col min="1362" max="1362" width="14.5703125" style="884" bestFit="1" customWidth="1"/>
    <col min="1363" max="1363" width="12.42578125" style="884" bestFit="1" customWidth="1"/>
    <col min="1364" max="1364" width="51.28515625" style="884" bestFit="1" customWidth="1"/>
    <col min="1365" max="1365" width="14.85546875" style="884" bestFit="1" customWidth="1"/>
    <col min="1366" max="1366" width="25" style="884" bestFit="1" customWidth="1"/>
    <col min="1367" max="1368" width="12.28515625" style="884" bestFit="1" customWidth="1"/>
    <col min="1369" max="1369" width="24.7109375" style="884" bestFit="1" customWidth="1"/>
    <col min="1370" max="1370" width="15" style="884" bestFit="1" customWidth="1"/>
    <col min="1371" max="1615" width="9.140625" style="884"/>
    <col min="1616" max="1616" width="6.42578125" style="884" bestFit="1" customWidth="1"/>
    <col min="1617" max="1617" width="32" style="884" bestFit="1" customWidth="1"/>
    <col min="1618" max="1618" width="14.5703125" style="884" bestFit="1" customWidth="1"/>
    <col min="1619" max="1619" width="12.42578125" style="884" bestFit="1" customWidth="1"/>
    <col min="1620" max="1620" width="51.28515625" style="884" bestFit="1" customWidth="1"/>
    <col min="1621" max="1621" width="14.85546875" style="884" bestFit="1" customWidth="1"/>
    <col min="1622" max="1622" width="25" style="884" bestFit="1" customWidth="1"/>
    <col min="1623" max="1624" width="12.28515625" style="884" bestFit="1" customWidth="1"/>
    <col min="1625" max="1625" width="24.7109375" style="884" bestFit="1" customWidth="1"/>
    <col min="1626" max="1626" width="15" style="884" bestFit="1" customWidth="1"/>
    <col min="1627" max="1871" width="9.140625" style="884"/>
    <col min="1872" max="1872" width="6.42578125" style="884" bestFit="1" customWidth="1"/>
    <col min="1873" max="1873" width="32" style="884" bestFit="1" customWidth="1"/>
    <col min="1874" max="1874" width="14.5703125" style="884" bestFit="1" customWidth="1"/>
    <col min="1875" max="1875" width="12.42578125" style="884" bestFit="1" customWidth="1"/>
    <col min="1876" max="1876" width="51.28515625" style="884" bestFit="1" customWidth="1"/>
    <col min="1877" max="1877" width="14.85546875" style="884" bestFit="1" customWidth="1"/>
    <col min="1878" max="1878" width="25" style="884" bestFit="1" customWidth="1"/>
    <col min="1879" max="1880" width="12.28515625" style="884" bestFit="1" customWidth="1"/>
    <col min="1881" max="1881" width="24.7109375" style="884" bestFit="1" customWidth="1"/>
    <col min="1882" max="1882" width="15" style="884" bestFit="1" customWidth="1"/>
    <col min="1883" max="2127" width="9.140625" style="884"/>
    <col min="2128" max="2128" width="6.42578125" style="884" bestFit="1" customWidth="1"/>
    <col min="2129" max="2129" width="32" style="884" bestFit="1" customWidth="1"/>
    <col min="2130" max="2130" width="14.5703125" style="884" bestFit="1" customWidth="1"/>
    <col min="2131" max="2131" width="12.42578125" style="884" bestFit="1" customWidth="1"/>
    <col min="2132" max="2132" width="51.28515625" style="884" bestFit="1" customWidth="1"/>
    <col min="2133" max="2133" width="14.85546875" style="884" bestFit="1" customWidth="1"/>
    <col min="2134" max="2134" width="25" style="884" bestFit="1" customWidth="1"/>
    <col min="2135" max="2136" width="12.28515625" style="884" bestFit="1" customWidth="1"/>
    <col min="2137" max="2137" width="24.7109375" style="884" bestFit="1" customWidth="1"/>
    <col min="2138" max="2138" width="15" style="884" bestFit="1" customWidth="1"/>
    <col min="2139" max="2383" width="9.140625" style="884"/>
    <col min="2384" max="2384" width="6.42578125" style="884" bestFit="1" customWidth="1"/>
    <col min="2385" max="2385" width="32" style="884" bestFit="1" customWidth="1"/>
    <col min="2386" max="2386" width="14.5703125" style="884" bestFit="1" customWidth="1"/>
    <col min="2387" max="2387" width="12.42578125" style="884" bestFit="1" customWidth="1"/>
    <col min="2388" max="2388" width="51.28515625" style="884" bestFit="1" customWidth="1"/>
    <col min="2389" max="2389" width="14.85546875" style="884" bestFit="1" customWidth="1"/>
    <col min="2390" max="2390" width="25" style="884" bestFit="1" customWidth="1"/>
    <col min="2391" max="2392" width="12.28515625" style="884" bestFit="1" customWidth="1"/>
    <col min="2393" max="2393" width="24.7109375" style="884" bestFit="1" customWidth="1"/>
    <col min="2394" max="2394" width="15" style="884" bestFit="1" customWidth="1"/>
    <col min="2395" max="2639" width="9.140625" style="884"/>
    <col min="2640" max="2640" width="6.42578125" style="884" bestFit="1" customWidth="1"/>
    <col min="2641" max="2641" width="32" style="884" bestFit="1" customWidth="1"/>
    <col min="2642" max="2642" width="14.5703125" style="884" bestFit="1" customWidth="1"/>
    <col min="2643" max="2643" width="12.42578125" style="884" bestFit="1" customWidth="1"/>
    <col min="2644" max="2644" width="51.28515625" style="884" bestFit="1" customWidth="1"/>
    <col min="2645" max="2645" width="14.85546875" style="884" bestFit="1" customWidth="1"/>
    <col min="2646" max="2646" width="25" style="884" bestFit="1" customWidth="1"/>
    <col min="2647" max="2648" width="12.28515625" style="884" bestFit="1" customWidth="1"/>
    <col min="2649" max="2649" width="24.7109375" style="884" bestFit="1" customWidth="1"/>
    <col min="2650" max="2650" width="15" style="884" bestFit="1" customWidth="1"/>
    <col min="2651" max="2895" width="9.140625" style="884"/>
    <col min="2896" max="2896" width="6.42578125" style="884" bestFit="1" customWidth="1"/>
    <col min="2897" max="2897" width="32" style="884" bestFit="1" customWidth="1"/>
    <col min="2898" max="2898" width="14.5703125" style="884" bestFit="1" customWidth="1"/>
    <col min="2899" max="2899" width="12.42578125" style="884" bestFit="1" customWidth="1"/>
    <col min="2900" max="2900" width="51.28515625" style="884" bestFit="1" customWidth="1"/>
    <col min="2901" max="2901" width="14.85546875" style="884" bestFit="1" customWidth="1"/>
    <col min="2902" max="2902" width="25" style="884" bestFit="1" customWidth="1"/>
    <col min="2903" max="2904" width="12.28515625" style="884" bestFit="1" customWidth="1"/>
    <col min="2905" max="2905" width="24.7109375" style="884" bestFit="1" customWidth="1"/>
    <col min="2906" max="2906" width="15" style="884" bestFit="1" customWidth="1"/>
    <col min="2907" max="3151" width="9.140625" style="884"/>
    <col min="3152" max="3152" width="6.42578125" style="884" bestFit="1" customWidth="1"/>
    <col min="3153" max="3153" width="32" style="884" bestFit="1" customWidth="1"/>
    <col min="3154" max="3154" width="14.5703125" style="884" bestFit="1" customWidth="1"/>
    <col min="3155" max="3155" width="12.42578125" style="884" bestFit="1" customWidth="1"/>
    <col min="3156" max="3156" width="51.28515625" style="884" bestFit="1" customWidth="1"/>
    <col min="3157" max="3157" width="14.85546875" style="884" bestFit="1" customWidth="1"/>
    <col min="3158" max="3158" width="25" style="884" bestFit="1" customWidth="1"/>
    <col min="3159" max="3160" width="12.28515625" style="884" bestFit="1" customWidth="1"/>
    <col min="3161" max="3161" width="24.7109375" style="884" bestFit="1" customWidth="1"/>
    <col min="3162" max="3162" width="15" style="884" bestFit="1" customWidth="1"/>
    <col min="3163" max="3407" width="9.140625" style="884"/>
    <col min="3408" max="3408" width="6.42578125" style="884" bestFit="1" customWidth="1"/>
    <col min="3409" max="3409" width="32" style="884" bestFit="1" customWidth="1"/>
    <col min="3410" max="3410" width="14.5703125" style="884" bestFit="1" customWidth="1"/>
    <col min="3411" max="3411" width="12.42578125" style="884" bestFit="1" customWidth="1"/>
    <col min="3412" max="3412" width="51.28515625" style="884" bestFit="1" customWidth="1"/>
    <col min="3413" max="3413" width="14.85546875" style="884" bestFit="1" customWidth="1"/>
    <col min="3414" max="3414" width="25" style="884" bestFit="1" customWidth="1"/>
    <col min="3415" max="3416" width="12.28515625" style="884" bestFit="1" customWidth="1"/>
    <col min="3417" max="3417" width="24.7109375" style="884" bestFit="1" customWidth="1"/>
    <col min="3418" max="3418" width="15" style="884" bestFit="1" customWidth="1"/>
    <col min="3419" max="3663" width="9.140625" style="884"/>
    <col min="3664" max="3664" width="6.42578125" style="884" bestFit="1" customWidth="1"/>
    <col min="3665" max="3665" width="32" style="884" bestFit="1" customWidth="1"/>
    <col min="3666" max="3666" width="14.5703125" style="884" bestFit="1" customWidth="1"/>
    <col min="3667" max="3667" width="12.42578125" style="884" bestFit="1" customWidth="1"/>
    <col min="3668" max="3668" width="51.28515625" style="884" bestFit="1" customWidth="1"/>
    <col min="3669" max="3669" width="14.85546875" style="884" bestFit="1" customWidth="1"/>
    <col min="3670" max="3670" width="25" style="884" bestFit="1" customWidth="1"/>
    <col min="3671" max="3672" width="12.28515625" style="884" bestFit="1" customWidth="1"/>
    <col min="3673" max="3673" width="24.7109375" style="884" bestFit="1" customWidth="1"/>
    <col min="3674" max="3674" width="15" style="884" bestFit="1" customWidth="1"/>
    <col min="3675" max="3919" width="9.140625" style="884"/>
    <col min="3920" max="3920" width="6.42578125" style="884" bestFit="1" customWidth="1"/>
    <col min="3921" max="3921" width="32" style="884" bestFit="1" customWidth="1"/>
    <col min="3922" max="3922" width="14.5703125" style="884" bestFit="1" customWidth="1"/>
    <col min="3923" max="3923" width="12.42578125" style="884" bestFit="1" customWidth="1"/>
    <col min="3924" max="3924" width="51.28515625" style="884" bestFit="1" customWidth="1"/>
    <col min="3925" max="3925" width="14.85546875" style="884" bestFit="1" customWidth="1"/>
    <col min="3926" max="3926" width="25" style="884" bestFit="1" customWidth="1"/>
    <col min="3927" max="3928" width="12.28515625" style="884" bestFit="1" customWidth="1"/>
    <col min="3929" max="3929" width="24.7109375" style="884" bestFit="1" customWidth="1"/>
    <col min="3930" max="3930" width="15" style="884" bestFit="1" customWidth="1"/>
    <col min="3931" max="4175" width="9.140625" style="884"/>
    <col min="4176" max="4176" width="6.42578125" style="884" bestFit="1" customWidth="1"/>
    <col min="4177" max="4177" width="32" style="884" bestFit="1" customWidth="1"/>
    <col min="4178" max="4178" width="14.5703125" style="884" bestFit="1" customWidth="1"/>
    <col min="4179" max="4179" width="12.42578125" style="884" bestFit="1" customWidth="1"/>
    <col min="4180" max="4180" width="51.28515625" style="884" bestFit="1" customWidth="1"/>
    <col min="4181" max="4181" width="14.85546875" style="884" bestFit="1" customWidth="1"/>
    <col min="4182" max="4182" width="25" style="884" bestFit="1" customWidth="1"/>
    <col min="4183" max="4184" width="12.28515625" style="884" bestFit="1" customWidth="1"/>
    <col min="4185" max="4185" width="24.7109375" style="884" bestFit="1" customWidth="1"/>
    <col min="4186" max="4186" width="15" style="884" bestFit="1" customWidth="1"/>
    <col min="4187" max="4431" width="9.140625" style="884"/>
    <col min="4432" max="4432" width="6.42578125" style="884" bestFit="1" customWidth="1"/>
    <col min="4433" max="4433" width="32" style="884" bestFit="1" customWidth="1"/>
    <col min="4434" max="4434" width="14.5703125" style="884" bestFit="1" customWidth="1"/>
    <col min="4435" max="4435" width="12.42578125" style="884" bestFit="1" customWidth="1"/>
    <col min="4436" max="4436" width="51.28515625" style="884" bestFit="1" customWidth="1"/>
    <col min="4437" max="4437" width="14.85546875" style="884" bestFit="1" customWidth="1"/>
    <col min="4438" max="4438" width="25" style="884" bestFit="1" customWidth="1"/>
    <col min="4439" max="4440" width="12.28515625" style="884" bestFit="1" customWidth="1"/>
    <col min="4441" max="4441" width="24.7109375" style="884" bestFit="1" customWidth="1"/>
    <col min="4442" max="4442" width="15" style="884" bestFit="1" customWidth="1"/>
    <col min="4443" max="4687" width="9.140625" style="884"/>
    <col min="4688" max="4688" width="6.42578125" style="884" bestFit="1" customWidth="1"/>
    <col min="4689" max="4689" width="32" style="884" bestFit="1" customWidth="1"/>
    <col min="4690" max="4690" width="14.5703125" style="884" bestFit="1" customWidth="1"/>
    <col min="4691" max="4691" width="12.42578125" style="884" bestFit="1" customWidth="1"/>
    <col min="4692" max="4692" width="51.28515625" style="884" bestFit="1" customWidth="1"/>
    <col min="4693" max="4693" width="14.85546875" style="884" bestFit="1" customWidth="1"/>
    <col min="4694" max="4694" width="25" style="884" bestFit="1" customWidth="1"/>
    <col min="4695" max="4696" width="12.28515625" style="884" bestFit="1" customWidth="1"/>
    <col min="4697" max="4697" width="24.7109375" style="884" bestFit="1" customWidth="1"/>
    <col min="4698" max="4698" width="15" style="884" bestFit="1" customWidth="1"/>
    <col min="4699" max="4943" width="9.140625" style="884"/>
    <col min="4944" max="4944" width="6.42578125" style="884" bestFit="1" customWidth="1"/>
    <col min="4945" max="4945" width="32" style="884" bestFit="1" customWidth="1"/>
    <col min="4946" max="4946" width="14.5703125" style="884" bestFit="1" customWidth="1"/>
    <col min="4947" max="4947" width="12.42578125" style="884" bestFit="1" customWidth="1"/>
    <col min="4948" max="4948" width="51.28515625" style="884" bestFit="1" customWidth="1"/>
    <col min="4949" max="4949" width="14.85546875" style="884" bestFit="1" customWidth="1"/>
    <col min="4950" max="4950" width="25" style="884" bestFit="1" customWidth="1"/>
    <col min="4951" max="4952" width="12.28515625" style="884" bestFit="1" customWidth="1"/>
    <col min="4953" max="4953" width="24.7109375" style="884" bestFit="1" customWidth="1"/>
    <col min="4954" max="4954" width="15" style="884" bestFit="1" customWidth="1"/>
    <col min="4955" max="5199" width="9.140625" style="884"/>
    <col min="5200" max="5200" width="6.42578125" style="884" bestFit="1" customWidth="1"/>
    <col min="5201" max="5201" width="32" style="884" bestFit="1" customWidth="1"/>
    <col min="5202" max="5202" width="14.5703125" style="884" bestFit="1" customWidth="1"/>
    <col min="5203" max="5203" width="12.42578125" style="884" bestFit="1" customWidth="1"/>
    <col min="5204" max="5204" width="51.28515625" style="884" bestFit="1" customWidth="1"/>
    <col min="5205" max="5205" width="14.85546875" style="884" bestFit="1" customWidth="1"/>
    <col min="5206" max="5206" width="25" style="884" bestFit="1" customWidth="1"/>
    <col min="5207" max="5208" width="12.28515625" style="884" bestFit="1" customWidth="1"/>
    <col min="5209" max="5209" width="24.7109375" style="884" bestFit="1" customWidth="1"/>
    <col min="5210" max="5210" width="15" style="884" bestFit="1" customWidth="1"/>
    <col min="5211" max="5455" width="9.140625" style="884"/>
    <col min="5456" max="5456" width="6.42578125" style="884" bestFit="1" customWidth="1"/>
    <col min="5457" max="5457" width="32" style="884" bestFit="1" customWidth="1"/>
    <col min="5458" max="5458" width="14.5703125" style="884" bestFit="1" customWidth="1"/>
    <col min="5459" max="5459" width="12.42578125" style="884" bestFit="1" customWidth="1"/>
    <col min="5460" max="5460" width="51.28515625" style="884" bestFit="1" customWidth="1"/>
    <col min="5461" max="5461" width="14.85546875" style="884" bestFit="1" customWidth="1"/>
    <col min="5462" max="5462" width="25" style="884" bestFit="1" customWidth="1"/>
    <col min="5463" max="5464" width="12.28515625" style="884" bestFit="1" customWidth="1"/>
    <col min="5465" max="5465" width="24.7109375" style="884" bestFit="1" customWidth="1"/>
    <col min="5466" max="5466" width="15" style="884" bestFit="1" customWidth="1"/>
    <col min="5467" max="5711" width="9.140625" style="884"/>
    <col min="5712" max="5712" width="6.42578125" style="884" bestFit="1" customWidth="1"/>
    <col min="5713" max="5713" width="32" style="884" bestFit="1" customWidth="1"/>
    <col min="5714" max="5714" width="14.5703125" style="884" bestFit="1" customWidth="1"/>
    <col min="5715" max="5715" width="12.42578125" style="884" bestFit="1" customWidth="1"/>
    <col min="5716" max="5716" width="51.28515625" style="884" bestFit="1" customWidth="1"/>
    <col min="5717" max="5717" width="14.85546875" style="884" bestFit="1" customWidth="1"/>
    <col min="5718" max="5718" width="25" style="884" bestFit="1" customWidth="1"/>
    <col min="5719" max="5720" width="12.28515625" style="884" bestFit="1" customWidth="1"/>
    <col min="5721" max="5721" width="24.7109375" style="884" bestFit="1" customWidth="1"/>
    <col min="5722" max="5722" width="15" style="884" bestFit="1" customWidth="1"/>
    <col min="5723" max="5967" width="9.140625" style="884"/>
    <col min="5968" max="5968" width="6.42578125" style="884" bestFit="1" customWidth="1"/>
    <col min="5969" max="5969" width="32" style="884" bestFit="1" customWidth="1"/>
    <col min="5970" max="5970" width="14.5703125" style="884" bestFit="1" customWidth="1"/>
    <col min="5971" max="5971" width="12.42578125" style="884" bestFit="1" customWidth="1"/>
    <col min="5972" max="5972" width="51.28515625" style="884" bestFit="1" customWidth="1"/>
    <col min="5973" max="5973" width="14.85546875" style="884" bestFit="1" customWidth="1"/>
    <col min="5974" max="5974" width="25" style="884" bestFit="1" customWidth="1"/>
    <col min="5975" max="5976" width="12.28515625" style="884" bestFit="1" customWidth="1"/>
    <col min="5977" max="5977" width="24.7109375" style="884" bestFit="1" customWidth="1"/>
    <col min="5978" max="5978" width="15" style="884" bestFit="1" customWidth="1"/>
    <col min="5979" max="6223" width="9.140625" style="884"/>
    <col min="6224" max="6224" width="6.42578125" style="884" bestFit="1" customWidth="1"/>
    <col min="6225" max="6225" width="32" style="884" bestFit="1" customWidth="1"/>
    <col min="6226" max="6226" width="14.5703125" style="884" bestFit="1" customWidth="1"/>
    <col min="6227" max="6227" width="12.42578125" style="884" bestFit="1" customWidth="1"/>
    <col min="6228" max="6228" width="51.28515625" style="884" bestFit="1" customWidth="1"/>
    <col min="6229" max="6229" width="14.85546875" style="884" bestFit="1" customWidth="1"/>
    <col min="6230" max="6230" width="25" style="884" bestFit="1" customWidth="1"/>
    <col min="6231" max="6232" width="12.28515625" style="884" bestFit="1" customWidth="1"/>
    <col min="6233" max="6233" width="24.7109375" style="884" bestFit="1" customWidth="1"/>
    <col min="6234" max="6234" width="15" style="884" bestFit="1" customWidth="1"/>
    <col min="6235" max="6479" width="9.140625" style="884"/>
    <col min="6480" max="6480" width="6.42578125" style="884" bestFit="1" customWidth="1"/>
    <col min="6481" max="6481" width="32" style="884" bestFit="1" customWidth="1"/>
    <col min="6482" max="6482" width="14.5703125" style="884" bestFit="1" customWidth="1"/>
    <col min="6483" max="6483" width="12.42578125" style="884" bestFit="1" customWidth="1"/>
    <col min="6484" max="6484" width="51.28515625" style="884" bestFit="1" customWidth="1"/>
    <col min="6485" max="6485" width="14.85546875" style="884" bestFit="1" customWidth="1"/>
    <col min="6486" max="6486" width="25" style="884" bestFit="1" customWidth="1"/>
    <col min="6487" max="6488" width="12.28515625" style="884" bestFit="1" customWidth="1"/>
    <col min="6489" max="6489" width="24.7109375" style="884" bestFit="1" customWidth="1"/>
    <col min="6490" max="6490" width="15" style="884" bestFit="1" customWidth="1"/>
    <col min="6491" max="6735" width="9.140625" style="884"/>
    <col min="6736" max="6736" width="6.42578125" style="884" bestFit="1" customWidth="1"/>
    <col min="6737" max="6737" width="32" style="884" bestFit="1" customWidth="1"/>
    <col min="6738" max="6738" width="14.5703125" style="884" bestFit="1" customWidth="1"/>
    <col min="6739" max="6739" width="12.42578125" style="884" bestFit="1" customWidth="1"/>
    <col min="6740" max="6740" width="51.28515625" style="884" bestFit="1" customWidth="1"/>
    <col min="6741" max="6741" width="14.85546875" style="884" bestFit="1" customWidth="1"/>
    <col min="6742" max="6742" width="25" style="884" bestFit="1" customWidth="1"/>
    <col min="6743" max="6744" width="12.28515625" style="884" bestFit="1" customWidth="1"/>
    <col min="6745" max="6745" width="24.7109375" style="884" bestFit="1" customWidth="1"/>
    <col min="6746" max="6746" width="15" style="884" bestFit="1" customWidth="1"/>
    <col min="6747" max="6991" width="9.140625" style="884"/>
    <col min="6992" max="6992" width="6.42578125" style="884" bestFit="1" customWidth="1"/>
    <col min="6993" max="6993" width="32" style="884" bestFit="1" customWidth="1"/>
    <col min="6994" max="6994" width="14.5703125" style="884" bestFit="1" customWidth="1"/>
    <col min="6995" max="6995" width="12.42578125" style="884" bestFit="1" customWidth="1"/>
    <col min="6996" max="6996" width="51.28515625" style="884" bestFit="1" customWidth="1"/>
    <col min="6997" max="6997" width="14.85546875" style="884" bestFit="1" customWidth="1"/>
    <col min="6998" max="6998" width="25" style="884" bestFit="1" customWidth="1"/>
    <col min="6999" max="7000" width="12.28515625" style="884" bestFit="1" customWidth="1"/>
    <col min="7001" max="7001" width="24.7109375" style="884" bestFit="1" customWidth="1"/>
    <col min="7002" max="7002" width="15" style="884" bestFit="1" customWidth="1"/>
    <col min="7003" max="7247" width="9.140625" style="884"/>
    <col min="7248" max="7248" width="6.42578125" style="884" bestFit="1" customWidth="1"/>
    <col min="7249" max="7249" width="32" style="884" bestFit="1" customWidth="1"/>
    <col min="7250" max="7250" width="14.5703125" style="884" bestFit="1" customWidth="1"/>
    <col min="7251" max="7251" width="12.42578125" style="884" bestFit="1" customWidth="1"/>
    <col min="7252" max="7252" width="51.28515625" style="884" bestFit="1" customWidth="1"/>
    <col min="7253" max="7253" width="14.85546875" style="884" bestFit="1" customWidth="1"/>
    <col min="7254" max="7254" width="25" style="884" bestFit="1" customWidth="1"/>
    <col min="7255" max="7256" width="12.28515625" style="884" bestFit="1" customWidth="1"/>
    <col min="7257" max="7257" width="24.7109375" style="884" bestFit="1" customWidth="1"/>
    <col min="7258" max="7258" width="15" style="884" bestFit="1" customWidth="1"/>
    <col min="7259" max="7503" width="9.140625" style="884"/>
    <col min="7504" max="7504" width="6.42578125" style="884" bestFit="1" customWidth="1"/>
    <col min="7505" max="7505" width="32" style="884" bestFit="1" customWidth="1"/>
    <col min="7506" max="7506" width="14.5703125" style="884" bestFit="1" customWidth="1"/>
    <col min="7507" max="7507" width="12.42578125" style="884" bestFit="1" customWidth="1"/>
    <col min="7508" max="7508" width="51.28515625" style="884" bestFit="1" customWidth="1"/>
    <col min="7509" max="7509" width="14.85546875" style="884" bestFit="1" customWidth="1"/>
    <col min="7510" max="7510" width="25" style="884" bestFit="1" customWidth="1"/>
    <col min="7511" max="7512" width="12.28515625" style="884" bestFit="1" customWidth="1"/>
    <col min="7513" max="7513" width="24.7109375" style="884" bestFit="1" customWidth="1"/>
    <col min="7514" max="7514" width="15" style="884" bestFit="1" customWidth="1"/>
    <col min="7515" max="7759" width="9.140625" style="884"/>
    <col min="7760" max="7760" width="6.42578125" style="884" bestFit="1" customWidth="1"/>
    <col min="7761" max="7761" width="32" style="884" bestFit="1" customWidth="1"/>
    <col min="7762" max="7762" width="14.5703125" style="884" bestFit="1" customWidth="1"/>
    <col min="7763" max="7763" width="12.42578125" style="884" bestFit="1" customWidth="1"/>
    <col min="7764" max="7764" width="51.28515625" style="884" bestFit="1" customWidth="1"/>
    <col min="7765" max="7765" width="14.85546875" style="884" bestFit="1" customWidth="1"/>
    <col min="7766" max="7766" width="25" style="884" bestFit="1" customWidth="1"/>
    <col min="7767" max="7768" width="12.28515625" style="884" bestFit="1" customWidth="1"/>
    <col min="7769" max="7769" width="24.7109375" style="884" bestFit="1" customWidth="1"/>
    <col min="7770" max="7770" width="15" style="884" bestFit="1" customWidth="1"/>
    <col min="7771" max="8015" width="9.140625" style="884"/>
    <col min="8016" max="8016" width="6.42578125" style="884" bestFit="1" customWidth="1"/>
    <col min="8017" max="8017" width="32" style="884" bestFit="1" customWidth="1"/>
    <col min="8018" max="8018" width="14.5703125" style="884" bestFit="1" customWidth="1"/>
    <col min="8019" max="8019" width="12.42578125" style="884" bestFit="1" customWidth="1"/>
    <col min="8020" max="8020" width="51.28515625" style="884" bestFit="1" customWidth="1"/>
    <col min="8021" max="8021" width="14.85546875" style="884" bestFit="1" customWidth="1"/>
    <col min="8022" max="8022" width="25" style="884" bestFit="1" customWidth="1"/>
    <col min="8023" max="8024" width="12.28515625" style="884" bestFit="1" customWidth="1"/>
    <col min="8025" max="8025" width="24.7109375" style="884" bestFit="1" customWidth="1"/>
    <col min="8026" max="8026" width="15" style="884" bestFit="1" customWidth="1"/>
    <col min="8027" max="8271" width="9.140625" style="884"/>
    <col min="8272" max="8272" width="6.42578125" style="884" bestFit="1" customWidth="1"/>
    <col min="8273" max="8273" width="32" style="884" bestFit="1" customWidth="1"/>
    <col min="8274" max="8274" width="14.5703125" style="884" bestFit="1" customWidth="1"/>
    <col min="8275" max="8275" width="12.42578125" style="884" bestFit="1" customWidth="1"/>
    <col min="8276" max="8276" width="51.28515625" style="884" bestFit="1" customWidth="1"/>
    <col min="8277" max="8277" width="14.85546875" style="884" bestFit="1" customWidth="1"/>
    <col min="8278" max="8278" width="25" style="884" bestFit="1" customWidth="1"/>
    <col min="8279" max="8280" width="12.28515625" style="884" bestFit="1" customWidth="1"/>
    <col min="8281" max="8281" width="24.7109375" style="884" bestFit="1" customWidth="1"/>
    <col min="8282" max="8282" width="15" style="884" bestFit="1" customWidth="1"/>
    <col min="8283" max="8527" width="9.140625" style="884"/>
    <col min="8528" max="8528" width="6.42578125" style="884" bestFit="1" customWidth="1"/>
    <col min="8529" max="8529" width="32" style="884" bestFit="1" customWidth="1"/>
    <col min="8530" max="8530" width="14.5703125" style="884" bestFit="1" customWidth="1"/>
    <col min="8531" max="8531" width="12.42578125" style="884" bestFit="1" customWidth="1"/>
    <col min="8532" max="8532" width="51.28515625" style="884" bestFit="1" customWidth="1"/>
    <col min="8533" max="8533" width="14.85546875" style="884" bestFit="1" customWidth="1"/>
    <col min="8534" max="8534" width="25" style="884" bestFit="1" customWidth="1"/>
    <col min="8535" max="8536" width="12.28515625" style="884" bestFit="1" customWidth="1"/>
    <col min="8537" max="8537" width="24.7109375" style="884" bestFit="1" customWidth="1"/>
    <col min="8538" max="8538" width="15" style="884" bestFit="1" customWidth="1"/>
    <col min="8539" max="8783" width="9.140625" style="884"/>
    <col min="8784" max="8784" width="6.42578125" style="884" bestFit="1" customWidth="1"/>
    <col min="8785" max="8785" width="32" style="884" bestFit="1" customWidth="1"/>
    <col min="8786" max="8786" width="14.5703125" style="884" bestFit="1" customWidth="1"/>
    <col min="8787" max="8787" width="12.42578125" style="884" bestFit="1" customWidth="1"/>
    <col min="8788" max="8788" width="51.28515625" style="884" bestFit="1" customWidth="1"/>
    <col min="8789" max="8789" width="14.85546875" style="884" bestFit="1" customWidth="1"/>
    <col min="8790" max="8790" width="25" style="884" bestFit="1" customWidth="1"/>
    <col min="8791" max="8792" width="12.28515625" style="884" bestFit="1" customWidth="1"/>
    <col min="8793" max="8793" width="24.7109375" style="884" bestFit="1" customWidth="1"/>
    <col min="8794" max="8794" width="15" style="884" bestFit="1" customWidth="1"/>
    <col min="8795" max="9039" width="9.140625" style="884"/>
    <col min="9040" max="9040" width="6.42578125" style="884" bestFit="1" customWidth="1"/>
    <col min="9041" max="9041" width="32" style="884" bestFit="1" customWidth="1"/>
    <col min="9042" max="9042" width="14.5703125" style="884" bestFit="1" customWidth="1"/>
    <col min="9043" max="9043" width="12.42578125" style="884" bestFit="1" customWidth="1"/>
    <col min="9044" max="9044" width="51.28515625" style="884" bestFit="1" customWidth="1"/>
    <col min="9045" max="9045" width="14.85546875" style="884" bestFit="1" customWidth="1"/>
    <col min="9046" max="9046" width="25" style="884" bestFit="1" customWidth="1"/>
    <col min="9047" max="9048" width="12.28515625" style="884" bestFit="1" customWidth="1"/>
    <col min="9049" max="9049" width="24.7109375" style="884" bestFit="1" customWidth="1"/>
    <col min="9050" max="9050" width="15" style="884" bestFit="1" customWidth="1"/>
    <col min="9051" max="9295" width="9.140625" style="884"/>
    <col min="9296" max="9296" width="6.42578125" style="884" bestFit="1" customWidth="1"/>
    <col min="9297" max="9297" width="32" style="884" bestFit="1" customWidth="1"/>
    <col min="9298" max="9298" width="14.5703125" style="884" bestFit="1" customWidth="1"/>
    <col min="9299" max="9299" width="12.42578125" style="884" bestFit="1" customWidth="1"/>
    <col min="9300" max="9300" width="51.28515625" style="884" bestFit="1" customWidth="1"/>
    <col min="9301" max="9301" width="14.85546875" style="884" bestFit="1" customWidth="1"/>
    <col min="9302" max="9302" width="25" style="884" bestFit="1" customWidth="1"/>
    <col min="9303" max="9304" width="12.28515625" style="884" bestFit="1" customWidth="1"/>
    <col min="9305" max="9305" width="24.7109375" style="884" bestFit="1" customWidth="1"/>
    <col min="9306" max="9306" width="15" style="884" bestFit="1" customWidth="1"/>
    <col min="9307" max="9551" width="9.140625" style="884"/>
    <col min="9552" max="9552" width="6.42578125" style="884" bestFit="1" customWidth="1"/>
    <col min="9553" max="9553" width="32" style="884" bestFit="1" customWidth="1"/>
    <col min="9554" max="9554" width="14.5703125" style="884" bestFit="1" customWidth="1"/>
    <col min="9555" max="9555" width="12.42578125" style="884" bestFit="1" customWidth="1"/>
    <col min="9556" max="9556" width="51.28515625" style="884" bestFit="1" customWidth="1"/>
    <col min="9557" max="9557" width="14.85546875" style="884" bestFit="1" customWidth="1"/>
    <col min="9558" max="9558" width="25" style="884" bestFit="1" customWidth="1"/>
    <col min="9559" max="9560" width="12.28515625" style="884" bestFit="1" customWidth="1"/>
    <col min="9561" max="9561" width="24.7109375" style="884" bestFit="1" customWidth="1"/>
    <col min="9562" max="9562" width="15" style="884" bestFit="1" customWidth="1"/>
    <col min="9563" max="9807" width="9.140625" style="884"/>
    <col min="9808" max="9808" width="6.42578125" style="884" bestFit="1" customWidth="1"/>
    <col min="9809" max="9809" width="32" style="884" bestFit="1" customWidth="1"/>
    <col min="9810" max="9810" width="14.5703125" style="884" bestFit="1" customWidth="1"/>
    <col min="9811" max="9811" width="12.42578125" style="884" bestFit="1" customWidth="1"/>
    <col min="9812" max="9812" width="51.28515625" style="884" bestFit="1" customWidth="1"/>
    <col min="9813" max="9813" width="14.85546875" style="884" bestFit="1" customWidth="1"/>
    <col min="9814" max="9814" width="25" style="884" bestFit="1" customWidth="1"/>
    <col min="9815" max="9816" width="12.28515625" style="884" bestFit="1" customWidth="1"/>
    <col min="9817" max="9817" width="24.7109375" style="884" bestFit="1" customWidth="1"/>
    <col min="9818" max="9818" width="15" style="884" bestFit="1" customWidth="1"/>
    <col min="9819" max="10063" width="9.140625" style="884"/>
    <col min="10064" max="10064" width="6.42578125" style="884" bestFit="1" customWidth="1"/>
    <col min="10065" max="10065" width="32" style="884" bestFit="1" customWidth="1"/>
    <col min="10066" max="10066" width="14.5703125" style="884" bestFit="1" customWidth="1"/>
    <col min="10067" max="10067" width="12.42578125" style="884" bestFit="1" customWidth="1"/>
    <col min="10068" max="10068" width="51.28515625" style="884" bestFit="1" customWidth="1"/>
    <col min="10069" max="10069" width="14.85546875" style="884" bestFit="1" customWidth="1"/>
    <col min="10070" max="10070" width="25" style="884" bestFit="1" customWidth="1"/>
    <col min="10071" max="10072" width="12.28515625" style="884" bestFit="1" customWidth="1"/>
    <col min="10073" max="10073" width="24.7109375" style="884" bestFit="1" customWidth="1"/>
    <col min="10074" max="10074" width="15" style="884" bestFit="1" customWidth="1"/>
    <col min="10075" max="10319" width="9.140625" style="884"/>
    <col min="10320" max="10320" width="6.42578125" style="884" bestFit="1" customWidth="1"/>
    <col min="10321" max="10321" width="32" style="884" bestFit="1" customWidth="1"/>
    <col min="10322" max="10322" width="14.5703125" style="884" bestFit="1" customWidth="1"/>
    <col min="10323" max="10323" width="12.42578125" style="884" bestFit="1" customWidth="1"/>
    <col min="10324" max="10324" width="51.28515625" style="884" bestFit="1" customWidth="1"/>
    <col min="10325" max="10325" width="14.85546875" style="884" bestFit="1" customWidth="1"/>
    <col min="10326" max="10326" width="25" style="884" bestFit="1" customWidth="1"/>
    <col min="10327" max="10328" width="12.28515625" style="884" bestFit="1" customWidth="1"/>
    <col min="10329" max="10329" width="24.7109375" style="884" bestFit="1" customWidth="1"/>
    <col min="10330" max="10330" width="15" style="884" bestFit="1" customWidth="1"/>
    <col min="10331" max="10575" width="9.140625" style="884"/>
    <col min="10576" max="10576" width="6.42578125" style="884" bestFit="1" customWidth="1"/>
    <col min="10577" max="10577" width="32" style="884" bestFit="1" customWidth="1"/>
    <col min="10578" max="10578" width="14.5703125" style="884" bestFit="1" customWidth="1"/>
    <col min="10579" max="10579" width="12.42578125" style="884" bestFit="1" customWidth="1"/>
    <col min="10580" max="10580" width="51.28515625" style="884" bestFit="1" customWidth="1"/>
    <col min="10581" max="10581" width="14.85546875" style="884" bestFit="1" customWidth="1"/>
    <col min="10582" max="10582" width="25" style="884" bestFit="1" customWidth="1"/>
    <col min="10583" max="10584" width="12.28515625" style="884" bestFit="1" customWidth="1"/>
    <col min="10585" max="10585" width="24.7109375" style="884" bestFit="1" customWidth="1"/>
    <col min="10586" max="10586" width="15" style="884" bestFit="1" customWidth="1"/>
    <col min="10587" max="10831" width="9.140625" style="884"/>
    <col min="10832" max="10832" width="6.42578125" style="884" bestFit="1" customWidth="1"/>
    <col min="10833" max="10833" width="32" style="884" bestFit="1" customWidth="1"/>
    <col min="10834" max="10834" width="14.5703125" style="884" bestFit="1" customWidth="1"/>
    <col min="10835" max="10835" width="12.42578125" style="884" bestFit="1" customWidth="1"/>
    <col min="10836" max="10836" width="51.28515625" style="884" bestFit="1" customWidth="1"/>
    <col min="10837" max="10837" width="14.85546875" style="884" bestFit="1" customWidth="1"/>
    <col min="10838" max="10838" width="25" style="884" bestFit="1" customWidth="1"/>
    <col min="10839" max="10840" width="12.28515625" style="884" bestFit="1" customWidth="1"/>
    <col min="10841" max="10841" width="24.7109375" style="884" bestFit="1" customWidth="1"/>
    <col min="10842" max="10842" width="15" style="884" bestFit="1" customWidth="1"/>
    <col min="10843" max="11087" width="9.140625" style="884"/>
    <col min="11088" max="11088" width="6.42578125" style="884" bestFit="1" customWidth="1"/>
    <col min="11089" max="11089" width="32" style="884" bestFit="1" customWidth="1"/>
    <col min="11090" max="11090" width="14.5703125" style="884" bestFit="1" customWidth="1"/>
    <col min="11091" max="11091" width="12.42578125" style="884" bestFit="1" customWidth="1"/>
    <col min="11092" max="11092" width="51.28515625" style="884" bestFit="1" customWidth="1"/>
    <col min="11093" max="11093" width="14.85546875" style="884" bestFit="1" customWidth="1"/>
    <col min="11094" max="11094" width="25" style="884" bestFit="1" customWidth="1"/>
    <col min="11095" max="11096" width="12.28515625" style="884" bestFit="1" customWidth="1"/>
    <col min="11097" max="11097" width="24.7109375" style="884" bestFit="1" customWidth="1"/>
    <col min="11098" max="11098" width="15" style="884" bestFit="1" customWidth="1"/>
    <col min="11099" max="11343" width="9.140625" style="884"/>
    <col min="11344" max="11344" width="6.42578125" style="884" bestFit="1" customWidth="1"/>
    <col min="11345" max="11345" width="32" style="884" bestFit="1" customWidth="1"/>
    <col min="11346" max="11346" width="14.5703125" style="884" bestFit="1" customWidth="1"/>
    <col min="11347" max="11347" width="12.42578125" style="884" bestFit="1" customWidth="1"/>
    <col min="11348" max="11348" width="51.28515625" style="884" bestFit="1" customWidth="1"/>
    <col min="11349" max="11349" width="14.85546875" style="884" bestFit="1" customWidth="1"/>
    <col min="11350" max="11350" width="25" style="884" bestFit="1" customWidth="1"/>
    <col min="11351" max="11352" width="12.28515625" style="884" bestFit="1" customWidth="1"/>
    <col min="11353" max="11353" width="24.7109375" style="884" bestFit="1" customWidth="1"/>
    <col min="11354" max="11354" width="15" style="884" bestFit="1" customWidth="1"/>
    <col min="11355" max="11599" width="9.140625" style="884"/>
    <col min="11600" max="11600" width="6.42578125" style="884" bestFit="1" customWidth="1"/>
    <col min="11601" max="11601" width="32" style="884" bestFit="1" customWidth="1"/>
    <col min="11602" max="11602" width="14.5703125" style="884" bestFit="1" customWidth="1"/>
    <col min="11603" max="11603" width="12.42578125" style="884" bestFit="1" customWidth="1"/>
    <col min="11604" max="11604" width="51.28515625" style="884" bestFit="1" customWidth="1"/>
    <col min="11605" max="11605" width="14.85546875" style="884" bestFit="1" customWidth="1"/>
    <col min="11606" max="11606" width="25" style="884" bestFit="1" customWidth="1"/>
    <col min="11607" max="11608" width="12.28515625" style="884" bestFit="1" customWidth="1"/>
    <col min="11609" max="11609" width="24.7109375" style="884" bestFit="1" customWidth="1"/>
    <col min="11610" max="11610" width="15" style="884" bestFit="1" customWidth="1"/>
    <col min="11611" max="11855" width="9.140625" style="884"/>
    <col min="11856" max="11856" width="6.42578125" style="884" bestFit="1" customWidth="1"/>
    <col min="11857" max="11857" width="32" style="884" bestFit="1" customWidth="1"/>
    <col min="11858" max="11858" width="14.5703125" style="884" bestFit="1" customWidth="1"/>
    <col min="11859" max="11859" width="12.42578125" style="884" bestFit="1" customWidth="1"/>
    <col min="11860" max="11860" width="51.28515625" style="884" bestFit="1" customWidth="1"/>
    <col min="11861" max="11861" width="14.85546875" style="884" bestFit="1" customWidth="1"/>
    <col min="11862" max="11862" width="25" style="884" bestFit="1" customWidth="1"/>
    <col min="11863" max="11864" width="12.28515625" style="884" bestFit="1" customWidth="1"/>
    <col min="11865" max="11865" width="24.7109375" style="884" bestFit="1" customWidth="1"/>
    <col min="11866" max="11866" width="15" style="884" bestFit="1" customWidth="1"/>
    <col min="11867" max="12111" width="9.140625" style="884"/>
    <col min="12112" max="12112" width="6.42578125" style="884" bestFit="1" customWidth="1"/>
    <col min="12113" max="12113" width="32" style="884" bestFit="1" customWidth="1"/>
    <col min="12114" max="12114" width="14.5703125" style="884" bestFit="1" customWidth="1"/>
    <col min="12115" max="12115" width="12.42578125" style="884" bestFit="1" customWidth="1"/>
    <col min="12116" max="12116" width="51.28515625" style="884" bestFit="1" customWidth="1"/>
    <col min="12117" max="12117" width="14.85546875" style="884" bestFit="1" customWidth="1"/>
    <col min="12118" max="12118" width="25" style="884" bestFit="1" customWidth="1"/>
    <col min="12119" max="12120" width="12.28515625" style="884" bestFit="1" customWidth="1"/>
    <col min="12121" max="12121" width="24.7109375" style="884" bestFit="1" customWidth="1"/>
    <col min="12122" max="12122" width="15" style="884" bestFit="1" customWidth="1"/>
    <col min="12123" max="12367" width="9.140625" style="884"/>
    <col min="12368" max="12368" width="6.42578125" style="884" bestFit="1" customWidth="1"/>
    <col min="12369" max="12369" width="32" style="884" bestFit="1" customWidth="1"/>
    <col min="12370" max="12370" width="14.5703125" style="884" bestFit="1" customWidth="1"/>
    <col min="12371" max="12371" width="12.42578125" style="884" bestFit="1" customWidth="1"/>
    <col min="12372" max="12372" width="51.28515625" style="884" bestFit="1" customWidth="1"/>
    <col min="12373" max="12373" width="14.85546875" style="884" bestFit="1" customWidth="1"/>
    <col min="12374" max="12374" width="25" style="884" bestFit="1" customWidth="1"/>
    <col min="12375" max="12376" width="12.28515625" style="884" bestFit="1" customWidth="1"/>
    <col min="12377" max="12377" width="24.7109375" style="884" bestFit="1" customWidth="1"/>
    <col min="12378" max="12378" width="15" style="884" bestFit="1" customWidth="1"/>
    <col min="12379" max="12623" width="9.140625" style="884"/>
    <col min="12624" max="12624" width="6.42578125" style="884" bestFit="1" customWidth="1"/>
    <col min="12625" max="12625" width="32" style="884" bestFit="1" customWidth="1"/>
    <col min="12626" max="12626" width="14.5703125" style="884" bestFit="1" customWidth="1"/>
    <col min="12627" max="12627" width="12.42578125" style="884" bestFit="1" customWidth="1"/>
    <col min="12628" max="12628" width="51.28515625" style="884" bestFit="1" customWidth="1"/>
    <col min="12629" max="12629" width="14.85546875" style="884" bestFit="1" customWidth="1"/>
    <col min="12630" max="12630" width="25" style="884" bestFit="1" customWidth="1"/>
    <col min="12631" max="12632" width="12.28515625" style="884" bestFit="1" customWidth="1"/>
    <col min="12633" max="12633" width="24.7109375" style="884" bestFit="1" customWidth="1"/>
    <col min="12634" max="12634" width="15" style="884" bestFit="1" customWidth="1"/>
    <col min="12635" max="12879" width="9.140625" style="884"/>
    <col min="12880" max="12880" width="6.42578125" style="884" bestFit="1" customWidth="1"/>
    <col min="12881" max="12881" width="32" style="884" bestFit="1" customWidth="1"/>
    <col min="12882" max="12882" width="14.5703125" style="884" bestFit="1" customWidth="1"/>
    <col min="12883" max="12883" width="12.42578125" style="884" bestFit="1" customWidth="1"/>
    <col min="12884" max="12884" width="51.28515625" style="884" bestFit="1" customWidth="1"/>
    <col min="12885" max="12885" width="14.85546875" style="884" bestFit="1" customWidth="1"/>
    <col min="12886" max="12886" width="25" style="884" bestFit="1" customWidth="1"/>
    <col min="12887" max="12888" width="12.28515625" style="884" bestFit="1" customWidth="1"/>
    <col min="12889" max="12889" width="24.7109375" style="884" bestFit="1" customWidth="1"/>
    <col min="12890" max="12890" width="15" style="884" bestFit="1" customWidth="1"/>
    <col min="12891" max="13135" width="9.140625" style="884"/>
    <col min="13136" max="13136" width="6.42578125" style="884" bestFit="1" customWidth="1"/>
    <col min="13137" max="13137" width="32" style="884" bestFit="1" customWidth="1"/>
    <col min="13138" max="13138" width="14.5703125" style="884" bestFit="1" customWidth="1"/>
    <col min="13139" max="13139" width="12.42578125" style="884" bestFit="1" customWidth="1"/>
    <col min="13140" max="13140" width="51.28515625" style="884" bestFit="1" customWidth="1"/>
    <col min="13141" max="13141" width="14.85546875" style="884" bestFit="1" customWidth="1"/>
    <col min="13142" max="13142" width="25" style="884" bestFit="1" customWidth="1"/>
    <col min="13143" max="13144" width="12.28515625" style="884" bestFit="1" customWidth="1"/>
    <col min="13145" max="13145" width="24.7109375" style="884" bestFit="1" customWidth="1"/>
    <col min="13146" max="13146" width="15" style="884" bestFit="1" customWidth="1"/>
    <col min="13147" max="13391" width="9.140625" style="884"/>
    <col min="13392" max="13392" width="6.42578125" style="884" bestFit="1" customWidth="1"/>
    <col min="13393" max="13393" width="32" style="884" bestFit="1" customWidth="1"/>
    <col min="13394" max="13394" width="14.5703125" style="884" bestFit="1" customWidth="1"/>
    <col min="13395" max="13395" width="12.42578125" style="884" bestFit="1" customWidth="1"/>
    <col min="13396" max="13396" width="51.28515625" style="884" bestFit="1" customWidth="1"/>
    <col min="13397" max="13397" width="14.85546875" style="884" bestFit="1" customWidth="1"/>
    <col min="13398" max="13398" width="25" style="884" bestFit="1" customWidth="1"/>
    <col min="13399" max="13400" width="12.28515625" style="884" bestFit="1" customWidth="1"/>
    <col min="13401" max="13401" width="24.7109375" style="884" bestFit="1" customWidth="1"/>
    <col min="13402" max="13402" width="15" style="884" bestFit="1" customWidth="1"/>
    <col min="13403" max="13647" width="9.140625" style="884"/>
    <col min="13648" max="13648" width="6.42578125" style="884" bestFit="1" customWidth="1"/>
    <col min="13649" max="13649" width="32" style="884" bestFit="1" customWidth="1"/>
    <col min="13650" max="13650" width="14.5703125" style="884" bestFit="1" customWidth="1"/>
    <col min="13651" max="13651" width="12.42578125" style="884" bestFit="1" customWidth="1"/>
    <col min="13652" max="13652" width="51.28515625" style="884" bestFit="1" customWidth="1"/>
    <col min="13653" max="13653" width="14.85546875" style="884" bestFit="1" customWidth="1"/>
    <col min="13654" max="13654" width="25" style="884" bestFit="1" customWidth="1"/>
    <col min="13655" max="13656" width="12.28515625" style="884" bestFit="1" customWidth="1"/>
    <col min="13657" max="13657" width="24.7109375" style="884" bestFit="1" customWidth="1"/>
    <col min="13658" max="13658" width="15" style="884" bestFit="1" customWidth="1"/>
    <col min="13659" max="13903" width="9.140625" style="884"/>
    <col min="13904" max="13904" width="6.42578125" style="884" bestFit="1" customWidth="1"/>
    <col min="13905" max="13905" width="32" style="884" bestFit="1" customWidth="1"/>
    <col min="13906" max="13906" width="14.5703125" style="884" bestFit="1" customWidth="1"/>
    <col min="13907" max="13907" width="12.42578125" style="884" bestFit="1" customWidth="1"/>
    <col min="13908" max="13908" width="51.28515625" style="884" bestFit="1" customWidth="1"/>
    <col min="13909" max="13909" width="14.85546875" style="884" bestFit="1" customWidth="1"/>
    <col min="13910" max="13910" width="25" style="884" bestFit="1" customWidth="1"/>
    <col min="13911" max="13912" width="12.28515625" style="884" bestFit="1" customWidth="1"/>
    <col min="13913" max="13913" width="24.7109375" style="884" bestFit="1" customWidth="1"/>
    <col min="13914" max="13914" width="15" style="884" bestFit="1" customWidth="1"/>
    <col min="13915" max="14159" width="9.140625" style="884"/>
    <col min="14160" max="14160" width="6.42578125" style="884" bestFit="1" customWidth="1"/>
    <col min="14161" max="14161" width="32" style="884" bestFit="1" customWidth="1"/>
    <col min="14162" max="14162" width="14.5703125" style="884" bestFit="1" customWidth="1"/>
    <col min="14163" max="14163" width="12.42578125" style="884" bestFit="1" customWidth="1"/>
    <col min="14164" max="14164" width="51.28515625" style="884" bestFit="1" customWidth="1"/>
    <col min="14165" max="14165" width="14.85546875" style="884" bestFit="1" customWidth="1"/>
    <col min="14166" max="14166" width="25" style="884" bestFit="1" customWidth="1"/>
    <col min="14167" max="14168" width="12.28515625" style="884" bestFit="1" customWidth="1"/>
    <col min="14169" max="14169" width="24.7109375" style="884" bestFit="1" customWidth="1"/>
    <col min="14170" max="14170" width="15" style="884" bestFit="1" customWidth="1"/>
    <col min="14171" max="14415" width="9.140625" style="884"/>
    <col min="14416" max="14416" width="6.42578125" style="884" bestFit="1" customWidth="1"/>
    <col min="14417" max="14417" width="32" style="884" bestFit="1" customWidth="1"/>
    <col min="14418" max="14418" width="14.5703125" style="884" bestFit="1" customWidth="1"/>
    <col min="14419" max="14419" width="12.42578125" style="884" bestFit="1" customWidth="1"/>
    <col min="14420" max="14420" width="51.28515625" style="884" bestFit="1" customWidth="1"/>
    <col min="14421" max="14421" width="14.85546875" style="884" bestFit="1" customWidth="1"/>
    <col min="14422" max="14422" width="25" style="884" bestFit="1" customWidth="1"/>
    <col min="14423" max="14424" width="12.28515625" style="884" bestFit="1" customWidth="1"/>
    <col min="14425" max="14425" width="24.7109375" style="884" bestFit="1" customWidth="1"/>
    <col min="14426" max="14426" width="15" style="884" bestFit="1" customWidth="1"/>
    <col min="14427" max="14671" width="9.140625" style="884"/>
    <col min="14672" max="14672" width="6.42578125" style="884" bestFit="1" customWidth="1"/>
    <col min="14673" max="14673" width="32" style="884" bestFit="1" customWidth="1"/>
    <col min="14674" max="14674" width="14.5703125" style="884" bestFit="1" customWidth="1"/>
    <col min="14675" max="14675" width="12.42578125" style="884" bestFit="1" customWidth="1"/>
    <col min="14676" max="14676" width="51.28515625" style="884" bestFit="1" customWidth="1"/>
    <col min="14677" max="14677" width="14.85546875" style="884" bestFit="1" customWidth="1"/>
    <col min="14678" max="14678" width="25" style="884" bestFit="1" customWidth="1"/>
    <col min="14679" max="14680" width="12.28515625" style="884" bestFit="1" customWidth="1"/>
    <col min="14681" max="14681" width="24.7109375" style="884" bestFit="1" customWidth="1"/>
    <col min="14682" max="14682" width="15" style="884" bestFit="1" customWidth="1"/>
    <col min="14683" max="14927" width="9.140625" style="884"/>
    <col min="14928" max="14928" width="6.42578125" style="884" bestFit="1" customWidth="1"/>
    <col min="14929" max="14929" width="32" style="884" bestFit="1" customWidth="1"/>
    <col min="14930" max="14930" width="14.5703125" style="884" bestFit="1" customWidth="1"/>
    <col min="14931" max="14931" width="12.42578125" style="884" bestFit="1" customWidth="1"/>
    <col min="14932" max="14932" width="51.28515625" style="884" bestFit="1" customWidth="1"/>
    <col min="14933" max="14933" width="14.85546875" style="884" bestFit="1" customWidth="1"/>
    <col min="14934" max="14934" width="25" style="884" bestFit="1" customWidth="1"/>
    <col min="14935" max="14936" width="12.28515625" style="884" bestFit="1" customWidth="1"/>
    <col min="14937" max="14937" width="24.7109375" style="884" bestFit="1" customWidth="1"/>
    <col min="14938" max="14938" width="15" style="884" bestFit="1" customWidth="1"/>
    <col min="14939" max="15183" width="9.140625" style="884"/>
    <col min="15184" max="15184" width="6.42578125" style="884" bestFit="1" customWidth="1"/>
    <col min="15185" max="15185" width="32" style="884" bestFit="1" customWidth="1"/>
    <col min="15186" max="15186" width="14.5703125" style="884" bestFit="1" customWidth="1"/>
    <col min="15187" max="15187" width="12.42578125" style="884" bestFit="1" customWidth="1"/>
    <col min="15188" max="15188" width="51.28515625" style="884" bestFit="1" customWidth="1"/>
    <col min="15189" max="15189" width="14.85546875" style="884" bestFit="1" customWidth="1"/>
    <col min="15190" max="15190" width="25" style="884" bestFit="1" customWidth="1"/>
    <col min="15191" max="15192" width="12.28515625" style="884" bestFit="1" customWidth="1"/>
    <col min="15193" max="15193" width="24.7109375" style="884" bestFit="1" customWidth="1"/>
    <col min="15194" max="15194" width="15" style="884" bestFit="1" customWidth="1"/>
    <col min="15195" max="15439" width="9.140625" style="884"/>
    <col min="15440" max="15440" width="6.42578125" style="884" bestFit="1" customWidth="1"/>
    <col min="15441" max="15441" width="32" style="884" bestFit="1" customWidth="1"/>
    <col min="15442" max="15442" width="14.5703125" style="884" bestFit="1" customWidth="1"/>
    <col min="15443" max="15443" width="12.42578125" style="884" bestFit="1" customWidth="1"/>
    <col min="15444" max="15444" width="51.28515625" style="884" bestFit="1" customWidth="1"/>
    <col min="15445" max="15445" width="14.85546875" style="884" bestFit="1" customWidth="1"/>
    <col min="15446" max="15446" width="25" style="884" bestFit="1" customWidth="1"/>
    <col min="15447" max="15448" width="12.28515625" style="884" bestFit="1" customWidth="1"/>
    <col min="15449" max="15449" width="24.7109375" style="884" bestFit="1" customWidth="1"/>
    <col min="15450" max="15450" width="15" style="884" bestFit="1" customWidth="1"/>
    <col min="15451" max="15695" width="9.140625" style="884"/>
    <col min="15696" max="15696" width="6.42578125" style="884" bestFit="1" customWidth="1"/>
    <col min="15697" max="15697" width="32" style="884" bestFit="1" customWidth="1"/>
    <col min="15698" max="15698" width="14.5703125" style="884" bestFit="1" customWidth="1"/>
    <col min="15699" max="15699" width="12.42578125" style="884" bestFit="1" customWidth="1"/>
    <col min="15700" max="15700" width="51.28515625" style="884" bestFit="1" customWidth="1"/>
    <col min="15701" max="15701" width="14.85546875" style="884" bestFit="1" customWidth="1"/>
    <col min="15702" max="15702" width="25" style="884" bestFit="1" customWidth="1"/>
    <col min="15703" max="15704" width="12.28515625" style="884" bestFit="1" customWidth="1"/>
    <col min="15705" max="15705" width="24.7109375" style="884" bestFit="1" customWidth="1"/>
    <col min="15706" max="15706" width="15" style="884" bestFit="1" customWidth="1"/>
    <col min="15707" max="15951" width="9.140625" style="884"/>
    <col min="15952" max="15952" width="6.42578125" style="884" bestFit="1" customWidth="1"/>
    <col min="15953" max="15953" width="32" style="884" bestFit="1" customWidth="1"/>
    <col min="15954" max="15954" width="14.5703125" style="884" bestFit="1" customWidth="1"/>
    <col min="15955" max="15955" width="12.42578125" style="884" bestFit="1" customWidth="1"/>
    <col min="15956" max="15956" width="51.28515625" style="884" bestFit="1" customWidth="1"/>
    <col min="15957" max="15957" width="14.85546875" style="884" bestFit="1" customWidth="1"/>
    <col min="15958" max="15958" width="25" style="884" bestFit="1" customWidth="1"/>
    <col min="15959" max="15960" width="12.28515625" style="884" bestFit="1" customWidth="1"/>
    <col min="15961" max="15961" width="24.7109375" style="884" bestFit="1" customWidth="1"/>
    <col min="15962" max="15962" width="15" style="884" bestFit="1" customWidth="1"/>
    <col min="15963" max="16384" width="9.140625" style="884"/>
  </cols>
  <sheetData>
    <row r="1" spans="1:12" s="879" customFormat="1" ht="27.75" x14ac:dyDescent="0.5">
      <c r="A1" s="1101" t="s">
        <v>82</v>
      </c>
      <c r="B1" s="1101"/>
      <c r="C1" s="1101"/>
      <c r="D1" s="1101"/>
      <c r="E1" s="1101"/>
      <c r="F1" s="1101"/>
      <c r="G1" s="1101"/>
      <c r="H1" s="1101"/>
      <c r="I1" s="1101"/>
      <c r="J1" s="1101"/>
      <c r="K1" s="1101"/>
      <c r="L1" s="1101"/>
    </row>
    <row r="2" spans="1:12" s="879" customFormat="1" ht="27.75" x14ac:dyDescent="0.5">
      <c r="A2" s="1101" t="s">
        <v>892</v>
      </c>
      <c r="B2" s="1101"/>
      <c r="C2" s="1101"/>
      <c r="D2" s="1101"/>
      <c r="E2" s="1101"/>
      <c r="F2" s="1101"/>
      <c r="G2" s="1101"/>
      <c r="H2" s="1101"/>
      <c r="I2" s="1101"/>
      <c r="J2" s="1101"/>
      <c r="K2" s="1101"/>
      <c r="L2" s="1101"/>
    </row>
    <row r="3" spans="1:12" s="879" customFormat="1" ht="27.75" x14ac:dyDescent="0.5">
      <c r="A3" s="1102" t="str">
        <f>+งบรายจ่ายอื่น!A4</f>
        <v>ตั้งแต่วันที่ 1  ตุลาคม 2564 ถึงวันที่ 31 ตุลาคม 2564</v>
      </c>
      <c r="B3" s="1103"/>
      <c r="C3" s="1103"/>
      <c r="D3" s="1103"/>
      <c r="E3" s="1103"/>
      <c r="F3" s="1103"/>
      <c r="G3" s="1103"/>
      <c r="H3" s="1103"/>
      <c r="I3" s="1103"/>
      <c r="J3" s="1103"/>
      <c r="K3" s="1103"/>
      <c r="L3" s="1103"/>
    </row>
    <row r="4" spans="1:12" s="752" customFormat="1" x14ac:dyDescent="0.5">
      <c r="A4" s="899" t="s">
        <v>0</v>
      </c>
      <c r="B4" s="1104" t="s">
        <v>500</v>
      </c>
      <c r="C4" s="1106" t="s">
        <v>501</v>
      </c>
      <c r="D4" s="1106" t="s">
        <v>651</v>
      </c>
      <c r="E4" s="1108" t="s">
        <v>179</v>
      </c>
      <c r="F4" s="1104" t="s">
        <v>502</v>
      </c>
      <c r="G4" s="1110" t="s">
        <v>426</v>
      </c>
      <c r="H4" s="1104" t="s">
        <v>503</v>
      </c>
      <c r="I4" s="899" t="s">
        <v>17</v>
      </c>
      <c r="J4" s="1096" t="s">
        <v>661</v>
      </c>
      <c r="K4" s="923" t="s">
        <v>662</v>
      </c>
      <c r="L4" s="925" t="s">
        <v>757</v>
      </c>
    </row>
    <row r="5" spans="1:12" s="752" customFormat="1" x14ac:dyDescent="0.5">
      <c r="A5" s="900" t="s">
        <v>58</v>
      </c>
      <c r="B5" s="1105"/>
      <c r="C5" s="1107"/>
      <c r="D5" s="1107"/>
      <c r="E5" s="1109"/>
      <c r="F5" s="1105"/>
      <c r="G5" s="1111"/>
      <c r="H5" s="1105"/>
      <c r="I5" s="900" t="s">
        <v>660</v>
      </c>
      <c r="J5" s="1097"/>
      <c r="K5" s="924" t="s">
        <v>83</v>
      </c>
      <c r="L5" s="926" t="s">
        <v>745</v>
      </c>
    </row>
    <row r="6" spans="1:12" ht="35.25" customHeight="1" x14ac:dyDescent="0.5">
      <c r="A6" s="722">
        <v>1</v>
      </c>
      <c r="B6" s="723" t="s">
        <v>926</v>
      </c>
      <c r="C6" s="883">
        <v>1600600001</v>
      </c>
      <c r="D6" s="883">
        <v>6411220</v>
      </c>
      <c r="E6" s="969" t="s">
        <v>974</v>
      </c>
      <c r="F6" s="880">
        <v>7015339724</v>
      </c>
      <c r="G6" s="881" t="s">
        <v>934</v>
      </c>
      <c r="H6" s="882">
        <v>5000</v>
      </c>
      <c r="I6" s="670">
        <v>5000</v>
      </c>
      <c r="J6" s="670">
        <f t="shared" ref="J6:J61" si="0">+H6-I6</f>
        <v>0</v>
      </c>
      <c r="K6" s="672">
        <f t="shared" ref="K6:K65" si="1">+I6*100/H6</f>
        <v>100</v>
      </c>
      <c r="L6" s="972" t="s">
        <v>894</v>
      </c>
    </row>
    <row r="7" spans="1:12" ht="35.25" customHeight="1" x14ac:dyDescent="0.5">
      <c r="A7" s="722">
        <v>2</v>
      </c>
      <c r="B7" s="723" t="s">
        <v>926</v>
      </c>
      <c r="C7" s="883">
        <v>1600600001</v>
      </c>
      <c r="D7" s="883">
        <v>6411220</v>
      </c>
      <c r="E7" s="969" t="s">
        <v>974</v>
      </c>
      <c r="F7" s="880">
        <v>7015357622</v>
      </c>
      <c r="G7" s="881" t="s">
        <v>935</v>
      </c>
      <c r="H7" s="882">
        <v>2000</v>
      </c>
      <c r="I7" s="670">
        <v>2000</v>
      </c>
      <c r="J7" s="670">
        <f t="shared" si="0"/>
        <v>0</v>
      </c>
      <c r="K7" s="672">
        <f t="shared" si="1"/>
        <v>100</v>
      </c>
      <c r="L7" s="972" t="s">
        <v>894</v>
      </c>
    </row>
    <row r="8" spans="1:12" ht="35.25" customHeight="1" x14ac:dyDescent="0.5">
      <c r="A8" s="722">
        <v>3</v>
      </c>
      <c r="B8" s="723" t="s">
        <v>926</v>
      </c>
      <c r="C8" s="883">
        <v>1600600001</v>
      </c>
      <c r="D8" s="883">
        <v>6411220</v>
      </c>
      <c r="E8" s="969" t="s">
        <v>971</v>
      </c>
      <c r="F8" s="880">
        <v>7015387887</v>
      </c>
      <c r="G8" s="881" t="s">
        <v>936</v>
      </c>
      <c r="H8" s="882">
        <v>1471200</v>
      </c>
      <c r="I8" s="670">
        <v>0</v>
      </c>
      <c r="J8" s="670">
        <f t="shared" si="0"/>
        <v>1471200</v>
      </c>
      <c r="K8" s="672">
        <f t="shared" si="1"/>
        <v>0</v>
      </c>
      <c r="L8" s="972" t="s">
        <v>895</v>
      </c>
    </row>
    <row r="9" spans="1:12" ht="35.25" customHeight="1" x14ac:dyDescent="0.5">
      <c r="A9" s="722">
        <v>4</v>
      </c>
      <c r="B9" s="723" t="s">
        <v>926</v>
      </c>
      <c r="C9" s="883">
        <v>1600600001</v>
      </c>
      <c r="D9" s="883">
        <v>6411220</v>
      </c>
      <c r="E9" s="969" t="s">
        <v>974</v>
      </c>
      <c r="F9" s="880">
        <v>7016230039</v>
      </c>
      <c r="G9" s="881" t="s">
        <v>937</v>
      </c>
      <c r="H9" s="882">
        <v>499904</v>
      </c>
      <c r="I9" s="670">
        <v>0</v>
      </c>
      <c r="J9" s="670">
        <f t="shared" si="0"/>
        <v>499904</v>
      </c>
      <c r="K9" s="672">
        <f t="shared" si="1"/>
        <v>0</v>
      </c>
      <c r="L9" s="972" t="s">
        <v>896</v>
      </c>
    </row>
    <row r="10" spans="1:12" ht="35.25" customHeight="1" x14ac:dyDescent="0.5">
      <c r="A10" s="722">
        <v>5</v>
      </c>
      <c r="B10" s="723" t="s">
        <v>926</v>
      </c>
      <c r="C10" s="883">
        <v>1600600001</v>
      </c>
      <c r="D10" s="883">
        <v>6411220</v>
      </c>
      <c r="E10" s="969" t="s">
        <v>974</v>
      </c>
      <c r="F10" s="880">
        <v>7016308766</v>
      </c>
      <c r="G10" s="881" t="s">
        <v>1078</v>
      </c>
      <c r="H10" s="882">
        <v>490000</v>
      </c>
      <c r="I10" s="670">
        <v>0</v>
      </c>
      <c r="J10" s="670">
        <f t="shared" si="0"/>
        <v>490000</v>
      </c>
      <c r="K10" s="672">
        <f t="shared" si="1"/>
        <v>0</v>
      </c>
      <c r="L10" s="972" t="s">
        <v>897</v>
      </c>
    </row>
    <row r="11" spans="1:12" ht="35.25" customHeight="1" x14ac:dyDescent="0.5">
      <c r="A11" s="722">
        <v>6</v>
      </c>
      <c r="B11" s="723" t="s">
        <v>926</v>
      </c>
      <c r="C11" s="883">
        <v>1600600001</v>
      </c>
      <c r="D11" s="883">
        <v>6411220</v>
      </c>
      <c r="E11" s="969" t="s">
        <v>971</v>
      </c>
      <c r="F11" s="880">
        <v>7016478163</v>
      </c>
      <c r="G11" s="881" t="s">
        <v>624</v>
      </c>
      <c r="H11" s="882">
        <v>2163700.5</v>
      </c>
      <c r="I11" s="670">
        <v>0</v>
      </c>
      <c r="J11" s="670">
        <f t="shared" si="0"/>
        <v>2163700.5</v>
      </c>
      <c r="K11" s="672">
        <f t="shared" si="1"/>
        <v>0</v>
      </c>
      <c r="L11" s="972" t="s">
        <v>898</v>
      </c>
    </row>
    <row r="12" spans="1:12" ht="35.25" customHeight="1" x14ac:dyDescent="0.5">
      <c r="A12" s="722">
        <v>7</v>
      </c>
      <c r="B12" s="723" t="s">
        <v>926</v>
      </c>
      <c r="C12" s="883">
        <v>1600600001</v>
      </c>
      <c r="D12" s="883">
        <v>6411220</v>
      </c>
      <c r="E12" s="969" t="s">
        <v>974</v>
      </c>
      <c r="F12" s="880">
        <v>7016531079</v>
      </c>
      <c r="G12" s="881" t="s">
        <v>938</v>
      </c>
      <c r="H12" s="882">
        <v>98975</v>
      </c>
      <c r="I12" s="670">
        <f>+H12-49487.5</f>
        <v>49487.5</v>
      </c>
      <c r="J12" s="670">
        <f t="shared" si="0"/>
        <v>49487.5</v>
      </c>
      <c r="K12" s="672">
        <f t="shared" si="1"/>
        <v>50</v>
      </c>
      <c r="L12" s="972" t="s">
        <v>899</v>
      </c>
    </row>
    <row r="13" spans="1:12" ht="35.25" customHeight="1" x14ac:dyDescent="0.5">
      <c r="A13" s="722">
        <v>8</v>
      </c>
      <c r="B13" s="723" t="s">
        <v>926</v>
      </c>
      <c r="C13" s="883">
        <v>1600600001</v>
      </c>
      <c r="D13" s="883">
        <v>6411220</v>
      </c>
      <c r="E13" s="969" t="s">
        <v>974</v>
      </c>
      <c r="F13" s="880">
        <v>7016714610</v>
      </c>
      <c r="G13" s="881" t="s">
        <v>939</v>
      </c>
      <c r="H13" s="882">
        <v>460000</v>
      </c>
      <c r="I13" s="670">
        <v>460000</v>
      </c>
      <c r="J13" s="670">
        <f t="shared" si="0"/>
        <v>0</v>
      </c>
      <c r="K13" s="672">
        <f t="shared" si="1"/>
        <v>100</v>
      </c>
      <c r="L13" s="972" t="s">
        <v>900</v>
      </c>
    </row>
    <row r="14" spans="1:12" ht="35.25" customHeight="1" x14ac:dyDescent="0.5">
      <c r="A14" s="722">
        <v>9</v>
      </c>
      <c r="B14" s="723" t="s">
        <v>926</v>
      </c>
      <c r="C14" s="883">
        <v>1600600001</v>
      </c>
      <c r="D14" s="883">
        <v>6411220</v>
      </c>
      <c r="E14" s="969" t="s">
        <v>974</v>
      </c>
      <c r="F14" s="880">
        <v>7016974568</v>
      </c>
      <c r="G14" s="881" t="s">
        <v>975</v>
      </c>
      <c r="H14" s="882">
        <v>140000</v>
      </c>
      <c r="I14" s="670">
        <v>0</v>
      </c>
      <c r="J14" s="670">
        <f t="shared" si="0"/>
        <v>140000</v>
      </c>
      <c r="K14" s="672">
        <f t="shared" si="1"/>
        <v>0</v>
      </c>
      <c r="L14" s="972" t="s">
        <v>901</v>
      </c>
    </row>
    <row r="15" spans="1:12" ht="35.25" customHeight="1" x14ac:dyDescent="0.5">
      <c r="A15" s="722">
        <v>10</v>
      </c>
      <c r="B15" s="723" t="s">
        <v>926</v>
      </c>
      <c r="C15" s="883">
        <v>1600600001</v>
      </c>
      <c r="D15" s="883">
        <v>6411220</v>
      </c>
      <c r="E15" s="969" t="s">
        <v>974</v>
      </c>
      <c r="F15" s="880">
        <v>7016979517</v>
      </c>
      <c r="G15" s="881" t="s">
        <v>940</v>
      </c>
      <c r="H15" s="882">
        <v>498620</v>
      </c>
      <c r="I15" s="670">
        <v>0</v>
      </c>
      <c r="J15" s="670">
        <f t="shared" si="0"/>
        <v>498620</v>
      </c>
      <c r="K15" s="672">
        <f t="shared" si="1"/>
        <v>0</v>
      </c>
      <c r="L15" s="972" t="s">
        <v>901</v>
      </c>
    </row>
    <row r="16" spans="1:12" ht="35.25" customHeight="1" x14ac:dyDescent="0.5">
      <c r="A16" s="722">
        <v>11</v>
      </c>
      <c r="B16" s="723" t="s">
        <v>927</v>
      </c>
      <c r="C16" s="883">
        <v>1600600520</v>
      </c>
      <c r="D16" s="883">
        <v>6411220</v>
      </c>
      <c r="E16" s="969" t="s">
        <v>971</v>
      </c>
      <c r="F16" s="880">
        <v>7016982739</v>
      </c>
      <c r="G16" s="881" t="s">
        <v>983</v>
      </c>
      <c r="H16" s="882">
        <v>27100</v>
      </c>
      <c r="I16" s="670">
        <v>27100</v>
      </c>
      <c r="J16" s="670">
        <f t="shared" si="0"/>
        <v>0</v>
      </c>
      <c r="K16" s="672">
        <f t="shared" si="1"/>
        <v>100</v>
      </c>
      <c r="L16" s="972" t="s">
        <v>902</v>
      </c>
    </row>
    <row r="17" spans="1:12" ht="35.25" customHeight="1" x14ac:dyDescent="0.5">
      <c r="A17" s="722">
        <v>12</v>
      </c>
      <c r="B17" s="723" t="s">
        <v>926</v>
      </c>
      <c r="C17" s="883">
        <v>1600600001</v>
      </c>
      <c r="D17" s="883">
        <v>6411230</v>
      </c>
      <c r="E17" s="969" t="s">
        <v>973</v>
      </c>
      <c r="F17" s="880">
        <v>7016662308</v>
      </c>
      <c r="G17" s="881" t="s">
        <v>941</v>
      </c>
      <c r="H17" s="882">
        <v>122000</v>
      </c>
      <c r="I17" s="670">
        <v>0</v>
      </c>
      <c r="J17" s="670">
        <f t="shared" si="0"/>
        <v>122000</v>
      </c>
      <c r="K17" s="672">
        <f t="shared" si="1"/>
        <v>0</v>
      </c>
      <c r="L17" s="972" t="s">
        <v>894</v>
      </c>
    </row>
    <row r="18" spans="1:12" ht="35.25" customHeight="1" x14ac:dyDescent="0.5">
      <c r="A18" s="722">
        <v>13</v>
      </c>
      <c r="B18" s="723" t="s">
        <v>926</v>
      </c>
      <c r="C18" s="883">
        <v>1600600001</v>
      </c>
      <c r="D18" s="883">
        <v>6411230</v>
      </c>
      <c r="E18" s="969" t="s">
        <v>973</v>
      </c>
      <c r="F18" s="880">
        <v>7016822238</v>
      </c>
      <c r="G18" s="881" t="s">
        <v>942</v>
      </c>
      <c r="H18" s="882">
        <v>24984.5</v>
      </c>
      <c r="I18" s="670">
        <v>24984.5</v>
      </c>
      <c r="J18" s="670">
        <f t="shared" si="0"/>
        <v>0</v>
      </c>
      <c r="K18" s="672">
        <f t="shared" si="1"/>
        <v>100</v>
      </c>
      <c r="L18" s="972" t="s">
        <v>899</v>
      </c>
    </row>
    <row r="19" spans="1:12" ht="35.25" customHeight="1" x14ac:dyDescent="0.5">
      <c r="A19" s="722">
        <v>14</v>
      </c>
      <c r="B19" s="723" t="s">
        <v>926</v>
      </c>
      <c r="C19" s="883">
        <v>1600600001</v>
      </c>
      <c r="D19" s="883">
        <v>6411230</v>
      </c>
      <c r="E19" s="969" t="s">
        <v>971</v>
      </c>
      <c r="F19" s="880">
        <v>7016970257</v>
      </c>
      <c r="G19" s="881" t="s">
        <v>972</v>
      </c>
      <c r="H19" s="882">
        <v>2986406</v>
      </c>
      <c r="I19" s="670">
        <v>0</v>
      </c>
      <c r="J19" s="670">
        <f t="shared" si="0"/>
        <v>2986406</v>
      </c>
      <c r="K19" s="672">
        <f t="shared" si="1"/>
        <v>0</v>
      </c>
      <c r="L19" s="972" t="s">
        <v>901</v>
      </c>
    </row>
    <row r="20" spans="1:12" ht="35.25" customHeight="1" x14ac:dyDescent="0.5">
      <c r="A20" s="722">
        <v>15</v>
      </c>
      <c r="B20" s="723" t="s">
        <v>928</v>
      </c>
      <c r="C20" s="883">
        <v>1600600204</v>
      </c>
      <c r="D20" s="883">
        <v>6411230</v>
      </c>
      <c r="E20" s="969" t="s">
        <v>971</v>
      </c>
      <c r="F20" s="880">
        <v>7016957818</v>
      </c>
      <c r="G20" s="881" t="s">
        <v>970</v>
      </c>
      <c r="H20" s="882">
        <v>32500</v>
      </c>
      <c r="I20" s="670">
        <v>32500</v>
      </c>
      <c r="J20" s="670">
        <f t="shared" si="0"/>
        <v>0</v>
      </c>
      <c r="K20" s="672">
        <f t="shared" si="1"/>
        <v>100</v>
      </c>
      <c r="L20" s="972" t="s">
        <v>903</v>
      </c>
    </row>
    <row r="21" spans="1:12" ht="35.25" customHeight="1" x14ac:dyDescent="0.5">
      <c r="A21" s="722">
        <v>16</v>
      </c>
      <c r="B21" s="723" t="s">
        <v>926</v>
      </c>
      <c r="C21" s="883">
        <v>1600600001</v>
      </c>
      <c r="D21" s="883">
        <v>6411240</v>
      </c>
      <c r="E21" s="969" t="s">
        <v>971</v>
      </c>
      <c r="F21" s="880">
        <v>7015636698</v>
      </c>
      <c r="G21" s="881" t="s">
        <v>648</v>
      </c>
      <c r="H21" s="882">
        <v>218000</v>
      </c>
      <c r="I21" s="670">
        <v>218000</v>
      </c>
      <c r="J21" s="670">
        <f t="shared" si="0"/>
        <v>0</v>
      </c>
      <c r="K21" s="672">
        <f t="shared" si="1"/>
        <v>100</v>
      </c>
      <c r="L21" s="972" t="s">
        <v>894</v>
      </c>
    </row>
    <row r="22" spans="1:12" s="886" customFormat="1" ht="35.25" customHeight="1" x14ac:dyDescent="0.5">
      <c r="A22" s="1095" t="s">
        <v>658</v>
      </c>
      <c r="B22" s="1095"/>
      <c r="C22" s="1095"/>
      <c r="D22" s="1095"/>
      <c r="E22" s="1095"/>
      <c r="F22" s="1095"/>
      <c r="G22" s="1095"/>
      <c r="H22" s="741">
        <f>SUM(H6:H21)</f>
        <v>9240390</v>
      </c>
      <c r="I22" s="672">
        <f t="shared" ref="I22:J22" si="2">SUM(I6:I21)</f>
        <v>819072</v>
      </c>
      <c r="J22" s="741">
        <f t="shared" si="2"/>
        <v>8421318</v>
      </c>
      <c r="K22" s="672"/>
      <c r="L22" s="885"/>
    </row>
    <row r="23" spans="1:12" ht="96" x14ac:dyDescent="0.5">
      <c r="A23" s="722">
        <v>17</v>
      </c>
      <c r="B23" s="723" t="s">
        <v>926</v>
      </c>
      <c r="C23" s="883">
        <v>1600600001</v>
      </c>
      <c r="D23" s="883">
        <v>6411310</v>
      </c>
      <c r="E23" s="970" t="s">
        <v>963</v>
      </c>
      <c r="F23" s="880">
        <v>7015844305</v>
      </c>
      <c r="G23" s="887" t="s">
        <v>960</v>
      </c>
      <c r="H23" s="882">
        <v>640000</v>
      </c>
      <c r="I23" s="670">
        <v>0</v>
      </c>
      <c r="J23" s="670">
        <f t="shared" si="0"/>
        <v>640000</v>
      </c>
      <c r="K23" s="672">
        <f t="shared" si="1"/>
        <v>0</v>
      </c>
      <c r="L23" s="972" t="s">
        <v>904</v>
      </c>
    </row>
    <row r="24" spans="1:12" ht="48" x14ac:dyDescent="0.5">
      <c r="A24" s="722">
        <v>18</v>
      </c>
      <c r="B24" s="723" t="s">
        <v>926</v>
      </c>
      <c r="C24" s="883">
        <v>1600600001</v>
      </c>
      <c r="D24" s="883">
        <v>6411310</v>
      </c>
      <c r="E24" s="969" t="s">
        <v>968</v>
      </c>
      <c r="F24" s="880">
        <v>7015930579</v>
      </c>
      <c r="G24" s="887" t="s">
        <v>969</v>
      </c>
      <c r="H24" s="882">
        <v>74632.5</v>
      </c>
      <c r="I24" s="670">
        <v>0</v>
      </c>
      <c r="J24" s="670">
        <f t="shared" si="0"/>
        <v>74632.5</v>
      </c>
      <c r="K24" s="672">
        <f t="shared" si="1"/>
        <v>0</v>
      </c>
      <c r="L24" s="972" t="s">
        <v>905</v>
      </c>
    </row>
    <row r="25" spans="1:12" ht="48" x14ac:dyDescent="0.5">
      <c r="A25" s="722">
        <v>19</v>
      </c>
      <c r="B25" s="723" t="s">
        <v>926</v>
      </c>
      <c r="C25" s="883">
        <v>1600600001</v>
      </c>
      <c r="D25" s="883">
        <v>6411310</v>
      </c>
      <c r="E25" s="724" t="s">
        <v>959</v>
      </c>
      <c r="F25" s="880">
        <v>7016660216</v>
      </c>
      <c r="G25" s="888" t="s">
        <v>958</v>
      </c>
      <c r="H25" s="882">
        <v>93000</v>
      </c>
      <c r="I25" s="670">
        <v>93000</v>
      </c>
      <c r="J25" s="670">
        <f t="shared" si="0"/>
        <v>0</v>
      </c>
      <c r="K25" s="672">
        <f t="shared" si="1"/>
        <v>100</v>
      </c>
      <c r="L25" s="972" t="s">
        <v>906</v>
      </c>
    </row>
    <row r="26" spans="1:12" ht="72" x14ac:dyDescent="0.5">
      <c r="A26" s="722">
        <v>20</v>
      </c>
      <c r="B26" s="723" t="s">
        <v>926</v>
      </c>
      <c r="C26" s="883">
        <v>1600600001</v>
      </c>
      <c r="D26" s="883">
        <v>6411310</v>
      </c>
      <c r="E26" s="724" t="s">
        <v>951</v>
      </c>
      <c r="F26" s="880">
        <v>7016796065</v>
      </c>
      <c r="G26" s="889" t="s">
        <v>950</v>
      </c>
      <c r="H26" s="882">
        <v>477090</v>
      </c>
      <c r="I26" s="670">
        <v>477090</v>
      </c>
      <c r="J26" s="670">
        <f t="shared" si="0"/>
        <v>0</v>
      </c>
      <c r="K26" s="672">
        <f t="shared" si="1"/>
        <v>100</v>
      </c>
      <c r="L26" s="972" t="s">
        <v>907</v>
      </c>
    </row>
    <row r="27" spans="1:12" ht="72" x14ac:dyDescent="0.5">
      <c r="A27" s="722">
        <v>21</v>
      </c>
      <c r="B27" s="723" t="s">
        <v>926</v>
      </c>
      <c r="C27" s="883">
        <v>1600600001</v>
      </c>
      <c r="D27" s="883">
        <v>6411310</v>
      </c>
      <c r="E27" s="724" t="s">
        <v>953</v>
      </c>
      <c r="F27" s="880">
        <v>7016870530</v>
      </c>
      <c r="G27" s="889" t="s">
        <v>952</v>
      </c>
      <c r="H27" s="882">
        <v>498000</v>
      </c>
      <c r="I27" s="670">
        <v>0</v>
      </c>
      <c r="J27" s="670">
        <f t="shared" si="0"/>
        <v>498000</v>
      </c>
      <c r="K27" s="672">
        <f t="shared" si="1"/>
        <v>0</v>
      </c>
      <c r="L27" s="972" t="s">
        <v>908</v>
      </c>
    </row>
    <row r="28" spans="1:12" ht="48" x14ac:dyDescent="0.5">
      <c r="A28" s="722">
        <v>22</v>
      </c>
      <c r="B28" s="723" t="s">
        <v>926</v>
      </c>
      <c r="C28" s="883">
        <v>1600600001</v>
      </c>
      <c r="D28" s="883">
        <v>6411310</v>
      </c>
      <c r="E28" s="724" t="s">
        <v>954</v>
      </c>
      <c r="F28" s="880">
        <v>7016872205</v>
      </c>
      <c r="G28" s="889" t="s">
        <v>955</v>
      </c>
      <c r="H28" s="882">
        <v>481500</v>
      </c>
      <c r="I28" s="670">
        <v>0</v>
      </c>
      <c r="J28" s="670">
        <f t="shared" si="0"/>
        <v>481500</v>
      </c>
      <c r="K28" s="672">
        <f t="shared" si="1"/>
        <v>0</v>
      </c>
      <c r="L28" s="972" t="s">
        <v>909</v>
      </c>
    </row>
    <row r="29" spans="1:12" ht="48" x14ac:dyDescent="0.5">
      <c r="A29" s="722">
        <v>23</v>
      </c>
      <c r="B29" s="723" t="s">
        <v>926</v>
      </c>
      <c r="C29" s="883">
        <v>1600600001</v>
      </c>
      <c r="D29" s="883">
        <v>6411310</v>
      </c>
      <c r="E29" s="724" t="s">
        <v>956</v>
      </c>
      <c r="F29" s="880">
        <v>7016901578</v>
      </c>
      <c r="G29" s="889" t="s">
        <v>957</v>
      </c>
      <c r="H29" s="882">
        <v>492200</v>
      </c>
      <c r="I29" s="670">
        <v>0</v>
      </c>
      <c r="J29" s="670">
        <f t="shared" si="0"/>
        <v>492200</v>
      </c>
      <c r="K29" s="672">
        <f t="shared" si="1"/>
        <v>0</v>
      </c>
      <c r="L29" s="972" t="s">
        <v>910</v>
      </c>
    </row>
    <row r="30" spans="1:12" ht="96" x14ac:dyDescent="0.5">
      <c r="A30" s="722">
        <v>24</v>
      </c>
      <c r="B30" s="723" t="s">
        <v>926</v>
      </c>
      <c r="C30" s="883">
        <v>1600600001</v>
      </c>
      <c r="D30" s="883">
        <v>6411310</v>
      </c>
      <c r="E30" s="724" t="s">
        <v>951</v>
      </c>
      <c r="F30" s="880">
        <v>7016936892</v>
      </c>
      <c r="G30" s="889" t="s">
        <v>949</v>
      </c>
      <c r="H30" s="882">
        <v>486850</v>
      </c>
      <c r="I30" s="670">
        <v>0</v>
      </c>
      <c r="J30" s="670">
        <f t="shared" si="0"/>
        <v>486850</v>
      </c>
      <c r="K30" s="672">
        <f t="shared" si="1"/>
        <v>0</v>
      </c>
      <c r="L30" s="972" t="s">
        <v>910</v>
      </c>
    </row>
    <row r="31" spans="1:12" x14ac:dyDescent="0.5">
      <c r="A31" s="722">
        <v>25</v>
      </c>
      <c r="B31" s="723" t="s">
        <v>926</v>
      </c>
      <c r="C31" s="883">
        <v>1600600001</v>
      </c>
      <c r="D31" s="883">
        <v>6411310</v>
      </c>
      <c r="E31" s="969" t="s">
        <v>961</v>
      </c>
      <c r="F31" s="880">
        <v>7016974167</v>
      </c>
      <c r="G31" s="887" t="s">
        <v>962</v>
      </c>
      <c r="H31" s="882">
        <v>385200</v>
      </c>
      <c r="I31" s="670">
        <v>0</v>
      </c>
      <c r="J31" s="670">
        <f t="shared" si="0"/>
        <v>385200</v>
      </c>
      <c r="K31" s="672">
        <f t="shared" si="1"/>
        <v>0</v>
      </c>
      <c r="L31" s="972" t="s">
        <v>911</v>
      </c>
    </row>
    <row r="32" spans="1:12" ht="96" x14ac:dyDescent="0.5">
      <c r="A32" s="722">
        <v>26</v>
      </c>
      <c r="B32" s="723" t="s">
        <v>929</v>
      </c>
      <c r="C32" s="883">
        <v>1600600021</v>
      </c>
      <c r="D32" s="883">
        <v>6411310</v>
      </c>
      <c r="E32" s="970" t="s">
        <v>965</v>
      </c>
      <c r="F32" s="880">
        <v>7016688441</v>
      </c>
      <c r="G32" s="878" t="s">
        <v>964</v>
      </c>
      <c r="H32" s="882">
        <v>34450</v>
      </c>
      <c r="I32" s="670">
        <v>34450</v>
      </c>
      <c r="J32" s="670">
        <f t="shared" si="0"/>
        <v>0</v>
      </c>
      <c r="K32" s="672">
        <f t="shared" si="1"/>
        <v>100</v>
      </c>
      <c r="L32" s="972" t="s">
        <v>912</v>
      </c>
    </row>
    <row r="33" spans="1:12" x14ac:dyDescent="0.5">
      <c r="A33" s="722">
        <v>27</v>
      </c>
      <c r="B33" s="723" t="s">
        <v>511</v>
      </c>
      <c r="C33" s="883">
        <v>1600600052</v>
      </c>
      <c r="D33" s="883">
        <v>6411310</v>
      </c>
      <c r="E33" s="724" t="s">
        <v>967</v>
      </c>
      <c r="F33" s="880">
        <v>7016717630</v>
      </c>
      <c r="G33" s="878" t="s">
        <v>966</v>
      </c>
      <c r="H33" s="882">
        <v>15180</v>
      </c>
      <c r="I33" s="670">
        <v>15180</v>
      </c>
      <c r="J33" s="670">
        <f t="shared" si="0"/>
        <v>0</v>
      </c>
      <c r="K33" s="672">
        <f t="shared" si="1"/>
        <v>100</v>
      </c>
      <c r="L33" s="972" t="s">
        <v>894</v>
      </c>
    </row>
    <row r="34" spans="1:12" ht="48" x14ac:dyDescent="0.5">
      <c r="A34" s="722">
        <v>28</v>
      </c>
      <c r="B34" s="723" t="s">
        <v>926</v>
      </c>
      <c r="C34" s="883">
        <v>1600600001</v>
      </c>
      <c r="D34" s="883">
        <v>6411320</v>
      </c>
      <c r="E34" s="969" t="s">
        <v>720</v>
      </c>
      <c r="F34" s="880">
        <v>2000536758</v>
      </c>
      <c r="G34" s="890" t="s">
        <v>729</v>
      </c>
      <c r="H34" s="882">
        <v>5141555</v>
      </c>
      <c r="I34" s="670">
        <v>0</v>
      </c>
      <c r="J34" s="670">
        <f t="shared" si="0"/>
        <v>5141555</v>
      </c>
      <c r="K34" s="672">
        <f t="shared" si="1"/>
        <v>0</v>
      </c>
      <c r="L34" s="972" t="s">
        <v>577</v>
      </c>
    </row>
    <row r="35" spans="1:12" ht="96" x14ac:dyDescent="0.5">
      <c r="A35" s="722">
        <v>29</v>
      </c>
      <c r="B35" s="723" t="s">
        <v>926</v>
      </c>
      <c r="C35" s="883">
        <v>1600600001</v>
      </c>
      <c r="D35" s="883">
        <v>6411320</v>
      </c>
      <c r="E35" s="969" t="s">
        <v>719</v>
      </c>
      <c r="F35" s="880">
        <v>2000544930</v>
      </c>
      <c r="G35" s="890" t="s">
        <v>1076</v>
      </c>
      <c r="H35" s="882">
        <v>14508000</v>
      </c>
      <c r="I35" s="670">
        <v>0</v>
      </c>
      <c r="J35" s="670">
        <f t="shared" si="0"/>
        <v>14508000</v>
      </c>
      <c r="K35" s="672">
        <f t="shared" si="1"/>
        <v>0</v>
      </c>
      <c r="L35" s="972" t="s">
        <v>894</v>
      </c>
    </row>
    <row r="36" spans="1:12" ht="48" x14ac:dyDescent="0.5">
      <c r="A36" s="722">
        <v>30</v>
      </c>
      <c r="B36" s="723" t="s">
        <v>926</v>
      </c>
      <c r="C36" s="883">
        <v>1600600001</v>
      </c>
      <c r="D36" s="883">
        <v>6411320</v>
      </c>
      <c r="E36" s="969" t="s">
        <v>723</v>
      </c>
      <c r="F36" s="880">
        <v>2000544933</v>
      </c>
      <c r="G36" s="890" t="s">
        <v>732</v>
      </c>
      <c r="H36" s="882">
        <v>27525700</v>
      </c>
      <c r="I36" s="670">
        <f>+H36-15735700</f>
        <v>11790000</v>
      </c>
      <c r="J36" s="670">
        <f t="shared" si="0"/>
        <v>15735700</v>
      </c>
      <c r="K36" s="672">
        <f t="shared" si="1"/>
        <v>42.832698169347189</v>
      </c>
      <c r="L36" s="972" t="s">
        <v>913</v>
      </c>
    </row>
    <row r="37" spans="1:12" ht="48" x14ac:dyDescent="0.5">
      <c r="A37" s="722">
        <v>31</v>
      </c>
      <c r="B37" s="723" t="s">
        <v>926</v>
      </c>
      <c r="C37" s="883">
        <v>1600600001</v>
      </c>
      <c r="D37" s="883">
        <v>6411320</v>
      </c>
      <c r="E37" s="969" t="s">
        <v>726</v>
      </c>
      <c r="F37" s="880">
        <v>2000544935</v>
      </c>
      <c r="G37" s="890" t="s">
        <v>735</v>
      </c>
      <c r="H37" s="882">
        <v>35709073</v>
      </c>
      <c r="I37" s="670">
        <v>0</v>
      </c>
      <c r="J37" s="670">
        <f t="shared" si="0"/>
        <v>35709073</v>
      </c>
      <c r="K37" s="672">
        <f t="shared" si="1"/>
        <v>0</v>
      </c>
      <c r="L37" s="972" t="s">
        <v>637</v>
      </c>
    </row>
    <row r="38" spans="1:12" ht="48" x14ac:dyDescent="0.5">
      <c r="A38" s="722">
        <v>32</v>
      </c>
      <c r="B38" s="723" t="s">
        <v>926</v>
      </c>
      <c r="C38" s="883">
        <v>1600600001</v>
      </c>
      <c r="D38" s="883">
        <v>6411320</v>
      </c>
      <c r="E38" s="969" t="s">
        <v>724</v>
      </c>
      <c r="F38" s="880">
        <v>2000545217</v>
      </c>
      <c r="G38" s="890" t="s">
        <v>733</v>
      </c>
      <c r="H38" s="882">
        <v>10872000</v>
      </c>
      <c r="I38" s="670">
        <v>0</v>
      </c>
      <c r="J38" s="670">
        <f t="shared" si="0"/>
        <v>10872000</v>
      </c>
      <c r="K38" s="672">
        <f t="shared" si="1"/>
        <v>0</v>
      </c>
      <c r="L38" s="972" t="s">
        <v>574</v>
      </c>
    </row>
    <row r="39" spans="1:12" ht="72" x14ac:dyDescent="0.5">
      <c r="A39" s="722">
        <v>33</v>
      </c>
      <c r="B39" s="723" t="s">
        <v>511</v>
      </c>
      <c r="C39" s="883">
        <v>1600600052</v>
      </c>
      <c r="D39" s="883">
        <v>6411320</v>
      </c>
      <c r="E39" s="969" t="s">
        <v>716</v>
      </c>
      <c r="F39" s="880">
        <v>7015551847</v>
      </c>
      <c r="G39" s="890" t="s">
        <v>1043</v>
      </c>
      <c r="H39" s="882">
        <v>869050</v>
      </c>
      <c r="I39" s="670">
        <v>0</v>
      </c>
      <c r="J39" s="670">
        <f>+H39-I39</f>
        <v>869050</v>
      </c>
      <c r="K39" s="672">
        <f t="shared" si="1"/>
        <v>0</v>
      </c>
      <c r="L39" s="972" t="s">
        <v>914</v>
      </c>
    </row>
    <row r="40" spans="1:12" ht="48" x14ac:dyDescent="0.5">
      <c r="A40" s="722">
        <v>34</v>
      </c>
      <c r="B40" s="723" t="s">
        <v>487</v>
      </c>
      <c r="C40" s="883">
        <v>1600600094</v>
      </c>
      <c r="D40" s="883">
        <v>6411320</v>
      </c>
      <c r="E40" s="969" t="s">
        <v>725</v>
      </c>
      <c r="F40" s="880">
        <v>2000488807</v>
      </c>
      <c r="G40" s="890" t="s">
        <v>734</v>
      </c>
      <c r="H40" s="882">
        <v>1157091.2</v>
      </c>
      <c r="I40" s="670">
        <v>0</v>
      </c>
      <c r="J40" s="670">
        <f t="shared" si="0"/>
        <v>1157091.2</v>
      </c>
      <c r="K40" s="672">
        <f t="shared" si="1"/>
        <v>0</v>
      </c>
      <c r="L40" s="972" t="s">
        <v>915</v>
      </c>
    </row>
    <row r="41" spans="1:12" ht="48" x14ac:dyDescent="0.5">
      <c r="A41" s="722">
        <v>35</v>
      </c>
      <c r="B41" s="723" t="s">
        <v>487</v>
      </c>
      <c r="C41" s="883">
        <v>1600600094</v>
      </c>
      <c r="D41" s="883">
        <v>6411320</v>
      </c>
      <c r="E41" s="969" t="s">
        <v>725</v>
      </c>
      <c r="F41" s="880">
        <v>2000523379</v>
      </c>
      <c r="G41" s="890" t="s">
        <v>734</v>
      </c>
      <c r="H41" s="882">
        <v>1891891.2</v>
      </c>
      <c r="I41" s="670">
        <v>0</v>
      </c>
      <c r="J41" s="670">
        <f t="shared" si="0"/>
        <v>1891891.2</v>
      </c>
      <c r="K41" s="672">
        <f t="shared" si="1"/>
        <v>0</v>
      </c>
      <c r="L41" s="972" t="s">
        <v>915</v>
      </c>
    </row>
    <row r="42" spans="1:12" ht="48" x14ac:dyDescent="0.5">
      <c r="A42" s="722">
        <v>36</v>
      </c>
      <c r="B42" s="723" t="s">
        <v>487</v>
      </c>
      <c r="C42" s="883">
        <v>1600600094</v>
      </c>
      <c r="D42" s="883">
        <v>6411320</v>
      </c>
      <c r="E42" s="969" t="s">
        <v>725</v>
      </c>
      <c r="F42" s="880">
        <v>2000545471</v>
      </c>
      <c r="G42" s="890" t="s">
        <v>734</v>
      </c>
      <c r="H42" s="882">
        <v>4000000</v>
      </c>
      <c r="I42" s="670">
        <v>0</v>
      </c>
      <c r="J42" s="670">
        <f t="shared" si="0"/>
        <v>4000000</v>
      </c>
      <c r="K42" s="672">
        <f t="shared" si="1"/>
        <v>0</v>
      </c>
      <c r="L42" s="972" t="s">
        <v>915</v>
      </c>
    </row>
    <row r="43" spans="1:12" ht="48" x14ac:dyDescent="0.5">
      <c r="A43" s="722">
        <v>37</v>
      </c>
      <c r="B43" s="723" t="s">
        <v>487</v>
      </c>
      <c r="C43" s="883">
        <v>1600600094</v>
      </c>
      <c r="D43" s="883">
        <v>6411320</v>
      </c>
      <c r="E43" s="969" t="s">
        <v>725</v>
      </c>
      <c r="F43" s="880">
        <v>2000545475</v>
      </c>
      <c r="G43" s="890" t="s">
        <v>734</v>
      </c>
      <c r="H43" s="882">
        <v>8000000</v>
      </c>
      <c r="I43" s="670">
        <v>0</v>
      </c>
      <c r="J43" s="670">
        <f t="shared" si="0"/>
        <v>8000000</v>
      </c>
      <c r="K43" s="672">
        <f t="shared" si="1"/>
        <v>0</v>
      </c>
      <c r="L43" s="972" t="s">
        <v>915</v>
      </c>
    </row>
    <row r="44" spans="1:12" ht="111.75" customHeight="1" x14ac:dyDescent="0.5">
      <c r="A44" s="722">
        <v>38</v>
      </c>
      <c r="B44" s="723" t="s">
        <v>930</v>
      </c>
      <c r="C44" s="883">
        <v>1600600100</v>
      </c>
      <c r="D44" s="883">
        <v>6411320</v>
      </c>
      <c r="E44" s="969" t="s">
        <v>706</v>
      </c>
      <c r="F44" s="880">
        <v>7015519780</v>
      </c>
      <c r="G44" s="890" t="s">
        <v>728</v>
      </c>
      <c r="H44" s="882">
        <v>5123000</v>
      </c>
      <c r="I44" s="670">
        <f>+H44-4796000</f>
        <v>327000</v>
      </c>
      <c r="J44" s="670">
        <f t="shared" si="0"/>
        <v>4796000</v>
      </c>
      <c r="K44" s="672">
        <f t="shared" si="1"/>
        <v>6.3829787234042552</v>
      </c>
      <c r="L44" s="972" t="s">
        <v>894</v>
      </c>
    </row>
    <row r="45" spans="1:12" ht="48" x14ac:dyDescent="0.5">
      <c r="A45" s="722">
        <v>39</v>
      </c>
      <c r="B45" s="723" t="s">
        <v>931</v>
      </c>
      <c r="C45" s="883">
        <v>1600600108</v>
      </c>
      <c r="D45" s="883">
        <v>6411320</v>
      </c>
      <c r="E45" s="969" t="s">
        <v>852</v>
      </c>
      <c r="F45" s="880">
        <v>7016565486</v>
      </c>
      <c r="G45" s="671" t="s">
        <v>853</v>
      </c>
      <c r="H45" s="882">
        <v>499000</v>
      </c>
      <c r="I45" s="670">
        <v>499000</v>
      </c>
      <c r="J45" s="670">
        <f t="shared" si="0"/>
        <v>0</v>
      </c>
      <c r="K45" s="672">
        <f t="shared" si="1"/>
        <v>100</v>
      </c>
      <c r="L45" s="972" t="s">
        <v>916</v>
      </c>
    </row>
    <row r="46" spans="1:12" ht="56.25" customHeight="1" x14ac:dyDescent="0.5">
      <c r="A46" s="722">
        <v>40</v>
      </c>
      <c r="B46" s="723" t="s">
        <v>928</v>
      </c>
      <c r="C46" s="883">
        <v>1600600204</v>
      </c>
      <c r="D46" s="883">
        <v>6411320</v>
      </c>
      <c r="E46" s="724" t="s">
        <v>869</v>
      </c>
      <c r="F46" s="880">
        <v>7016760124</v>
      </c>
      <c r="G46" s="891" t="s">
        <v>872</v>
      </c>
      <c r="H46" s="882">
        <v>197393</v>
      </c>
      <c r="I46" s="670">
        <v>197393</v>
      </c>
      <c r="J46" s="670">
        <f t="shared" si="0"/>
        <v>0</v>
      </c>
      <c r="K46" s="672">
        <f t="shared" si="1"/>
        <v>100</v>
      </c>
      <c r="L46" s="972" t="s">
        <v>894</v>
      </c>
    </row>
    <row r="47" spans="1:12" ht="72" x14ac:dyDescent="0.5">
      <c r="A47" s="722">
        <v>41</v>
      </c>
      <c r="B47" s="723" t="s">
        <v>928</v>
      </c>
      <c r="C47" s="883">
        <v>1600600204</v>
      </c>
      <c r="D47" s="883">
        <v>6411320</v>
      </c>
      <c r="E47" s="724" t="s">
        <v>870</v>
      </c>
      <c r="F47" s="880">
        <v>7016957441</v>
      </c>
      <c r="G47" s="891" t="s">
        <v>873</v>
      </c>
      <c r="H47" s="882">
        <v>158161.69</v>
      </c>
      <c r="I47" s="670">
        <v>0</v>
      </c>
      <c r="J47" s="670">
        <f t="shared" si="0"/>
        <v>158161.69</v>
      </c>
      <c r="K47" s="672">
        <f t="shared" si="1"/>
        <v>0</v>
      </c>
      <c r="L47" s="972" t="s">
        <v>917</v>
      </c>
    </row>
    <row r="48" spans="1:12" ht="72" x14ac:dyDescent="0.5">
      <c r="A48" s="722">
        <v>42</v>
      </c>
      <c r="B48" s="723" t="s">
        <v>932</v>
      </c>
      <c r="C48" s="883">
        <v>1600600528</v>
      </c>
      <c r="D48" s="883">
        <v>6411320</v>
      </c>
      <c r="E48" s="724" t="s">
        <v>871</v>
      </c>
      <c r="F48" s="880">
        <v>7016838303</v>
      </c>
      <c r="G48" s="891" t="s">
        <v>874</v>
      </c>
      <c r="H48" s="882">
        <v>251500</v>
      </c>
      <c r="I48" s="670">
        <v>0</v>
      </c>
      <c r="J48" s="670">
        <f t="shared" si="0"/>
        <v>251500</v>
      </c>
      <c r="K48" s="672">
        <f t="shared" si="1"/>
        <v>0</v>
      </c>
      <c r="L48" s="972" t="s">
        <v>918</v>
      </c>
    </row>
    <row r="49" spans="1:12" ht="48" x14ac:dyDescent="0.5">
      <c r="A49" s="722">
        <v>43</v>
      </c>
      <c r="B49" s="723" t="s">
        <v>933</v>
      </c>
      <c r="C49" s="883">
        <v>1600600717</v>
      </c>
      <c r="D49" s="883">
        <v>6411320</v>
      </c>
      <c r="E49" s="724" t="s">
        <v>881</v>
      </c>
      <c r="F49" s="880">
        <v>7016897990</v>
      </c>
      <c r="G49" s="892" t="s">
        <v>883</v>
      </c>
      <c r="H49" s="882">
        <v>498125.23</v>
      </c>
      <c r="I49" s="670">
        <v>0</v>
      </c>
      <c r="J49" s="670">
        <f t="shared" si="0"/>
        <v>498125.23</v>
      </c>
      <c r="K49" s="672">
        <f t="shared" si="1"/>
        <v>0</v>
      </c>
      <c r="L49" s="972" t="s">
        <v>919</v>
      </c>
    </row>
    <row r="50" spans="1:12" x14ac:dyDescent="0.5">
      <c r="A50" s="722">
        <v>44</v>
      </c>
      <c r="B50" s="723" t="s">
        <v>933</v>
      </c>
      <c r="C50" s="883">
        <v>1600600717</v>
      </c>
      <c r="D50" s="883">
        <v>6411320</v>
      </c>
      <c r="E50" s="724" t="s">
        <v>877</v>
      </c>
      <c r="F50" s="880">
        <v>7016930846</v>
      </c>
      <c r="G50" s="878" t="s">
        <v>878</v>
      </c>
      <c r="H50" s="882">
        <v>497832.5</v>
      </c>
      <c r="I50" s="670">
        <v>0</v>
      </c>
      <c r="J50" s="670">
        <f t="shared" si="0"/>
        <v>497832.5</v>
      </c>
      <c r="K50" s="672">
        <f t="shared" si="1"/>
        <v>0</v>
      </c>
      <c r="L50" s="972" t="s">
        <v>920</v>
      </c>
    </row>
    <row r="51" spans="1:12" ht="48" x14ac:dyDescent="0.5">
      <c r="A51" s="722">
        <v>45</v>
      </c>
      <c r="B51" s="723" t="s">
        <v>933</v>
      </c>
      <c r="C51" s="883">
        <v>1600600717</v>
      </c>
      <c r="D51" s="883">
        <v>6411320</v>
      </c>
      <c r="E51" s="724" t="s">
        <v>880</v>
      </c>
      <c r="F51" s="880">
        <v>7016956119</v>
      </c>
      <c r="G51" s="892" t="s">
        <v>882</v>
      </c>
      <c r="H51" s="882">
        <v>498000</v>
      </c>
      <c r="I51" s="670">
        <v>0</v>
      </c>
      <c r="J51" s="670">
        <f t="shared" si="0"/>
        <v>498000</v>
      </c>
      <c r="K51" s="672">
        <f t="shared" si="1"/>
        <v>0</v>
      </c>
      <c r="L51" s="972" t="s">
        <v>917</v>
      </c>
    </row>
    <row r="52" spans="1:12" s="886" customFormat="1" ht="33" customHeight="1" x14ac:dyDescent="0.5">
      <c r="A52" s="1095" t="s">
        <v>659</v>
      </c>
      <c r="B52" s="1095"/>
      <c r="C52" s="1095"/>
      <c r="D52" s="1095"/>
      <c r="E52" s="1095"/>
      <c r="F52" s="1095"/>
      <c r="G52" s="1095"/>
      <c r="H52" s="741">
        <f>SUM(H23:H51)</f>
        <v>121075475.32000001</v>
      </c>
      <c r="I52" s="672">
        <f t="shared" ref="I52:J52" si="3">SUM(I23:I51)</f>
        <v>13433113</v>
      </c>
      <c r="J52" s="741">
        <f t="shared" si="3"/>
        <v>107642362.32000001</v>
      </c>
      <c r="K52" s="672">
        <f t="shared" si="1"/>
        <v>11.094825739479079</v>
      </c>
      <c r="L52" s="885"/>
    </row>
    <row r="53" spans="1:12" ht="96" x14ac:dyDescent="0.5">
      <c r="A53" s="722">
        <v>46</v>
      </c>
      <c r="B53" s="723" t="s">
        <v>926</v>
      </c>
      <c r="C53" s="883">
        <v>1600600001</v>
      </c>
      <c r="D53" s="883">
        <v>6411500</v>
      </c>
      <c r="E53" s="724" t="s">
        <v>790</v>
      </c>
      <c r="F53" s="880">
        <v>7015989843</v>
      </c>
      <c r="G53" s="887" t="s">
        <v>987</v>
      </c>
      <c r="H53" s="882">
        <v>342195</v>
      </c>
      <c r="I53" s="670">
        <v>0</v>
      </c>
      <c r="J53" s="670">
        <f t="shared" si="0"/>
        <v>342195</v>
      </c>
      <c r="K53" s="672">
        <f t="shared" si="1"/>
        <v>0</v>
      </c>
      <c r="L53" s="972" t="s">
        <v>921</v>
      </c>
    </row>
    <row r="54" spans="1:12" ht="30.75" customHeight="1" x14ac:dyDescent="0.5">
      <c r="A54" s="722">
        <v>47</v>
      </c>
      <c r="B54" s="723" t="s">
        <v>926</v>
      </c>
      <c r="C54" s="883">
        <v>1600600001</v>
      </c>
      <c r="D54" s="883">
        <v>6411500</v>
      </c>
      <c r="E54" s="724" t="s">
        <v>702</v>
      </c>
      <c r="F54" s="880">
        <v>7016607297</v>
      </c>
      <c r="G54" s="887" t="s">
        <v>988</v>
      </c>
      <c r="H54" s="882">
        <v>450000</v>
      </c>
      <c r="I54" s="670">
        <v>0</v>
      </c>
      <c r="J54" s="670">
        <f t="shared" si="0"/>
        <v>450000</v>
      </c>
      <c r="K54" s="672">
        <f t="shared" si="1"/>
        <v>0</v>
      </c>
      <c r="L54" s="972" t="s">
        <v>922</v>
      </c>
    </row>
    <row r="55" spans="1:12" ht="30.75" customHeight="1" x14ac:dyDescent="0.5">
      <c r="A55" s="722">
        <v>48</v>
      </c>
      <c r="B55" s="723" t="s">
        <v>926</v>
      </c>
      <c r="C55" s="883">
        <v>1600600001</v>
      </c>
      <c r="D55" s="883">
        <v>6411500</v>
      </c>
      <c r="E55" s="724" t="s">
        <v>694</v>
      </c>
      <c r="F55" s="880">
        <v>7016608009</v>
      </c>
      <c r="G55" s="887" t="s">
        <v>943</v>
      </c>
      <c r="H55" s="882">
        <v>163700</v>
      </c>
      <c r="I55" s="670">
        <v>163700</v>
      </c>
      <c r="J55" s="670">
        <f t="shared" si="0"/>
        <v>0</v>
      </c>
      <c r="K55" s="672">
        <f t="shared" si="1"/>
        <v>100</v>
      </c>
      <c r="L55" s="972" t="s">
        <v>922</v>
      </c>
    </row>
    <row r="56" spans="1:12" ht="30.75" customHeight="1" x14ac:dyDescent="0.5">
      <c r="A56" s="722">
        <v>49</v>
      </c>
      <c r="B56" s="723" t="s">
        <v>926</v>
      </c>
      <c r="C56" s="883">
        <v>1600600001</v>
      </c>
      <c r="D56" s="883">
        <v>6411500</v>
      </c>
      <c r="E56" s="724" t="s">
        <v>699</v>
      </c>
      <c r="F56" s="880">
        <v>7016658976</v>
      </c>
      <c r="G56" s="887" t="s">
        <v>944</v>
      </c>
      <c r="H56" s="882">
        <v>256800</v>
      </c>
      <c r="I56" s="670">
        <v>0</v>
      </c>
      <c r="J56" s="670">
        <f t="shared" si="0"/>
        <v>256800</v>
      </c>
      <c r="K56" s="672">
        <f t="shared" si="1"/>
        <v>0</v>
      </c>
      <c r="L56" s="972" t="s">
        <v>923</v>
      </c>
    </row>
    <row r="57" spans="1:12" ht="30.75" customHeight="1" x14ac:dyDescent="0.5">
      <c r="A57" s="722">
        <v>50</v>
      </c>
      <c r="B57" s="723" t="s">
        <v>926</v>
      </c>
      <c r="C57" s="883">
        <v>1600600001</v>
      </c>
      <c r="D57" s="883">
        <v>6411500</v>
      </c>
      <c r="E57" s="724" t="s">
        <v>695</v>
      </c>
      <c r="F57" s="880">
        <v>7016690460</v>
      </c>
      <c r="G57" s="887" t="s">
        <v>945</v>
      </c>
      <c r="H57" s="882">
        <v>500000</v>
      </c>
      <c r="I57" s="670">
        <v>500000</v>
      </c>
      <c r="J57" s="670">
        <f t="shared" si="0"/>
        <v>0</v>
      </c>
      <c r="K57" s="672">
        <f t="shared" si="1"/>
        <v>100</v>
      </c>
      <c r="L57" s="972" t="s">
        <v>918</v>
      </c>
    </row>
    <row r="58" spans="1:12" ht="30.75" customHeight="1" x14ac:dyDescent="0.5">
      <c r="A58" s="722">
        <v>51</v>
      </c>
      <c r="B58" s="723" t="s">
        <v>926</v>
      </c>
      <c r="C58" s="883">
        <v>1600600001</v>
      </c>
      <c r="D58" s="883">
        <v>6411500</v>
      </c>
      <c r="E58" s="724" t="s">
        <v>701</v>
      </c>
      <c r="F58" s="880">
        <v>7016741548</v>
      </c>
      <c r="G58" s="887" t="s">
        <v>946</v>
      </c>
      <c r="H58" s="882">
        <v>224700</v>
      </c>
      <c r="I58" s="670">
        <v>224700</v>
      </c>
      <c r="J58" s="670">
        <f t="shared" si="0"/>
        <v>0</v>
      </c>
      <c r="K58" s="672">
        <f t="shared" si="1"/>
        <v>100</v>
      </c>
      <c r="L58" s="972" t="s">
        <v>924</v>
      </c>
    </row>
    <row r="59" spans="1:12" ht="30.75" customHeight="1" x14ac:dyDescent="0.5">
      <c r="A59" s="722">
        <v>52</v>
      </c>
      <c r="B59" s="723" t="s">
        <v>926</v>
      </c>
      <c r="C59" s="883">
        <v>1600600001</v>
      </c>
      <c r="D59" s="883">
        <v>6411500</v>
      </c>
      <c r="E59" s="724" t="s">
        <v>702</v>
      </c>
      <c r="F59" s="880">
        <v>7016802740</v>
      </c>
      <c r="G59" s="887" t="s">
        <v>947</v>
      </c>
      <c r="H59" s="882">
        <v>65612.399999999994</v>
      </c>
      <c r="I59" s="670">
        <v>65612.399999999994</v>
      </c>
      <c r="J59" s="670">
        <f t="shared" si="0"/>
        <v>0</v>
      </c>
      <c r="K59" s="672">
        <f t="shared" si="1"/>
        <v>100</v>
      </c>
      <c r="L59" s="972" t="s">
        <v>921</v>
      </c>
    </row>
    <row r="60" spans="1:12" ht="30.75" customHeight="1" x14ac:dyDescent="0.5">
      <c r="A60" s="722">
        <v>53</v>
      </c>
      <c r="B60" s="723" t="s">
        <v>926</v>
      </c>
      <c r="C60" s="883">
        <v>1600600001</v>
      </c>
      <c r="D60" s="883">
        <v>6411500</v>
      </c>
      <c r="E60" s="724" t="s">
        <v>702</v>
      </c>
      <c r="F60" s="880">
        <v>7016803004</v>
      </c>
      <c r="G60" s="887" t="s">
        <v>948</v>
      </c>
      <c r="H60" s="882">
        <v>104000</v>
      </c>
      <c r="I60" s="670">
        <v>104000</v>
      </c>
      <c r="J60" s="670">
        <f t="shared" si="0"/>
        <v>0</v>
      </c>
      <c r="K60" s="672">
        <f t="shared" si="1"/>
        <v>100</v>
      </c>
      <c r="L60" s="972" t="s">
        <v>921</v>
      </c>
    </row>
    <row r="61" spans="1:12" ht="96" x14ac:dyDescent="0.5">
      <c r="A61" s="722">
        <v>54</v>
      </c>
      <c r="B61" s="723" t="s">
        <v>926</v>
      </c>
      <c r="C61" s="883">
        <v>1600600001</v>
      </c>
      <c r="D61" s="883">
        <v>6411500</v>
      </c>
      <c r="E61" s="724" t="s">
        <v>854</v>
      </c>
      <c r="F61" s="880">
        <v>7016960871</v>
      </c>
      <c r="G61" s="887" t="s">
        <v>989</v>
      </c>
      <c r="H61" s="882">
        <v>4022000</v>
      </c>
      <c r="I61" s="670">
        <v>0</v>
      </c>
      <c r="J61" s="670">
        <f t="shared" si="0"/>
        <v>4022000</v>
      </c>
      <c r="K61" s="672">
        <f t="shared" si="1"/>
        <v>0</v>
      </c>
      <c r="L61" s="972" t="s">
        <v>925</v>
      </c>
    </row>
    <row r="62" spans="1:12" s="894" customFormat="1" ht="30.75" customHeight="1" x14ac:dyDescent="0.5">
      <c r="A62" s="1095" t="s">
        <v>985</v>
      </c>
      <c r="B62" s="1095"/>
      <c r="C62" s="1095"/>
      <c r="D62" s="1095"/>
      <c r="E62" s="1095"/>
      <c r="F62" s="1095"/>
      <c r="G62" s="1095"/>
      <c r="H62" s="893">
        <f>SUM(H53:H61)</f>
        <v>6129007.4000000004</v>
      </c>
      <c r="I62" s="895">
        <f t="shared" ref="I62:J62" si="4">SUM(I53:I61)</f>
        <v>1058012.3999999999</v>
      </c>
      <c r="J62" s="893">
        <f t="shared" si="4"/>
        <v>5070995</v>
      </c>
      <c r="K62" s="672">
        <f t="shared" si="1"/>
        <v>17.262377591516692</v>
      </c>
      <c r="L62" s="885"/>
    </row>
    <row r="63" spans="1:12" s="896" customFormat="1" ht="48" x14ac:dyDescent="0.5">
      <c r="A63" s="722">
        <v>55</v>
      </c>
      <c r="B63" s="1098" t="s">
        <v>1080</v>
      </c>
      <c r="C63" s="1099"/>
      <c r="D63" s="1099"/>
      <c r="E63" s="1099"/>
      <c r="F63" s="1100"/>
      <c r="G63" s="888" t="s">
        <v>990</v>
      </c>
      <c r="H63" s="903">
        <v>5000000</v>
      </c>
      <c r="I63" s="904">
        <v>0</v>
      </c>
      <c r="J63" s="903">
        <f>+H63-I63</f>
        <v>5000000</v>
      </c>
      <c r="K63" s="672"/>
      <c r="L63" s="885" t="s">
        <v>1045</v>
      </c>
    </row>
    <row r="64" spans="1:12" s="894" customFormat="1" ht="30.75" customHeight="1" x14ac:dyDescent="0.5">
      <c r="A64" s="1095" t="s">
        <v>986</v>
      </c>
      <c r="B64" s="1095"/>
      <c r="C64" s="1095"/>
      <c r="D64" s="1095"/>
      <c r="E64" s="1095"/>
      <c r="F64" s="1095"/>
      <c r="G64" s="1095"/>
      <c r="H64" s="893">
        <f>+H62+H63</f>
        <v>11129007.4</v>
      </c>
      <c r="I64" s="895">
        <f t="shared" ref="I64:J64" si="5">+I62+I63</f>
        <v>1058012.3999999999</v>
      </c>
      <c r="J64" s="893">
        <f t="shared" si="5"/>
        <v>10070995</v>
      </c>
      <c r="K64" s="672">
        <f t="shared" ref="K64" si="6">+I64*100/H64</f>
        <v>9.5067993215639319</v>
      </c>
      <c r="L64" s="885"/>
    </row>
    <row r="65" spans="1:12" s="886" customFormat="1" ht="36" customHeight="1" x14ac:dyDescent="0.5">
      <c r="A65" s="1095" t="s">
        <v>488</v>
      </c>
      <c r="B65" s="1095"/>
      <c r="C65" s="1095"/>
      <c r="D65" s="1095"/>
      <c r="E65" s="1095"/>
      <c r="F65" s="1095"/>
      <c r="G65" s="1095"/>
      <c r="H65" s="895">
        <f>+H22+H52+H64</f>
        <v>141444872.72</v>
      </c>
      <c r="I65" s="895">
        <f t="shared" ref="I65:J65" si="7">+I22+I52+I64</f>
        <v>15310197.4</v>
      </c>
      <c r="J65" s="895">
        <f t="shared" si="7"/>
        <v>126134675.32000001</v>
      </c>
      <c r="K65" s="672">
        <f t="shared" si="1"/>
        <v>10.824144492185026</v>
      </c>
      <c r="L65" s="669"/>
    </row>
    <row r="68" spans="1:12" x14ac:dyDescent="0.5">
      <c r="I68" s="985"/>
    </row>
  </sheetData>
  <mergeCells count="17">
    <mergeCell ref="A1:L1"/>
    <mergeCell ref="A2:L2"/>
    <mergeCell ref="A3:L3"/>
    <mergeCell ref="B4:B5"/>
    <mergeCell ref="C4:C5"/>
    <mergeCell ref="D4:D5"/>
    <mergeCell ref="E4:E5"/>
    <mergeCell ref="F4:F5"/>
    <mergeCell ref="G4:G5"/>
    <mergeCell ref="H4:H5"/>
    <mergeCell ref="A65:G65"/>
    <mergeCell ref="A22:G22"/>
    <mergeCell ref="A52:G52"/>
    <mergeCell ref="J4:J5"/>
    <mergeCell ref="A62:G62"/>
    <mergeCell ref="A64:G64"/>
    <mergeCell ref="B63:F63"/>
  </mergeCells>
  <phoneticPr fontId="107" type="noConversion"/>
  <pageMargins left="0.25" right="0" top="0.75" bottom="0.75" header="0.3" footer="0.3"/>
  <pageSetup paperSize="9" scale="70" orientation="landscape" r:id="rId1"/>
  <headerFooter>
    <oddFooter>หน้าที่ &amp;P จาก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R193"/>
  <sheetViews>
    <sheetView topLeftCell="A2" zoomScale="80" zoomScaleNormal="80" workbookViewId="0">
      <selection activeCell="E9" sqref="E9"/>
    </sheetView>
  </sheetViews>
  <sheetFormatPr defaultRowHeight="27.75" x14ac:dyDescent="0.65"/>
  <cols>
    <col min="1" max="1" width="8" style="744" bestFit="1" customWidth="1"/>
    <col min="2" max="2" width="27.28515625" style="716" bestFit="1" customWidth="1"/>
    <col min="3" max="3" width="13.42578125" style="744" bestFit="1" customWidth="1"/>
    <col min="4" max="4" width="14.42578125" style="744" customWidth="1"/>
    <col min="5" max="5" width="19.5703125" style="745" bestFit="1" customWidth="1"/>
    <col min="6" max="6" width="12.42578125" style="744" bestFit="1" customWidth="1"/>
    <col min="7" max="7" width="33.42578125" style="746" customWidth="1"/>
    <col min="8" max="8" width="18.85546875" style="716" customWidth="1"/>
    <col min="9" max="9" width="17.85546875" style="716" bestFit="1" customWidth="1"/>
    <col min="10" max="10" width="17.7109375" style="748" bestFit="1" customWidth="1"/>
    <col min="11" max="11" width="8.7109375" style="743" bestFit="1" customWidth="1"/>
    <col min="12" max="12" width="30.28515625" style="751" customWidth="1"/>
    <col min="13" max="13" width="25" style="716" hidden="1" customWidth="1"/>
    <col min="14" max="15" width="12.28515625" style="716" hidden="1" customWidth="1"/>
    <col min="16" max="16" width="24.7109375" style="716" hidden="1" customWidth="1"/>
    <col min="17" max="17" width="14.140625" style="716" hidden="1" customWidth="1"/>
    <col min="18" max="64" width="0" style="716" hidden="1" customWidth="1"/>
    <col min="65" max="261" width="9.140625" style="716"/>
    <col min="262" max="262" width="6.42578125" style="716" bestFit="1" customWidth="1"/>
    <col min="263" max="263" width="32" style="716" bestFit="1" customWidth="1"/>
    <col min="264" max="264" width="14.5703125" style="716" bestFit="1" customWidth="1"/>
    <col min="265" max="265" width="12.42578125" style="716" bestFit="1" customWidth="1"/>
    <col min="266" max="266" width="51.28515625" style="716" bestFit="1" customWidth="1"/>
    <col min="267" max="267" width="14.85546875" style="716" bestFit="1" customWidth="1"/>
    <col min="268" max="268" width="25" style="716" bestFit="1" customWidth="1"/>
    <col min="269" max="270" width="12.28515625" style="716" bestFit="1" customWidth="1"/>
    <col min="271" max="271" width="24.7109375" style="716" bestFit="1" customWidth="1"/>
    <col min="272" max="272" width="15" style="716" bestFit="1" customWidth="1"/>
    <col min="273" max="517" width="9.140625" style="716"/>
    <col min="518" max="518" width="6.42578125" style="716" bestFit="1" customWidth="1"/>
    <col min="519" max="519" width="32" style="716" bestFit="1" customWidth="1"/>
    <col min="520" max="520" width="14.5703125" style="716" bestFit="1" customWidth="1"/>
    <col min="521" max="521" width="12.42578125" style="716" bestFit="1" customWidth="1"/>
    <col min="522" max="522" width="51.28515625" style="716" bestFit="1" customWidth="1"/>
    <col min="523" max="523" width="14.85546875" style="716" bestFit="1" customWidth="1"/>
    <col min="524" max="524" width="25" style="716" bestFit="1" customWidth="1"/>
    <col min="525" max="526" width="12.28515625" style="716" bestFit="1" customWidth="1"/>
    <col min="527" max="527" width="24.7109375" style="716" bestFit="1" customWidth="1"/>
    <col min="528" max="528" width="15" style="716" bestFit="1" customWidth="1"/>
    <col min="529" max="773" width="9.140625" style="716"/>
    <col min="774" max="774" width="6.42578125" style="716" bestFit="1" customWidth="1"/>
    <col min="775" max="775" width="32" style="716" bestFit="1" customWidth="1"/>
    <col min="776" max="776" width="14.5703125" style="716" bestFit="1" customWidth="1"/>
    <col min="777" max="777" width="12.42578125" style="716" bestFit="1" customWidth="1"/>
    <col min="778" max="778" width="51.28515625" style="716" bestFit="1" customWidth="1"/>
    <col min="779" max="779" width="14.85546875" style="716" bestFit="1" customWidth="1"/>
    <col min="780" max="780" width="25" style="716" bestFit="1" customWidth="1"/>
    <col min="781" max="782" width="12.28515625" style="716" bestFit="1" customWidth="1"/>
    <col min="783" max="783" width="24.7109375" style="716" bestFit="1" customWidth="1"/>
    <col min="784" max="784" width="15" style="716" bestFit="1" customWidth="1"/>
    <col min="785" max="1029" width="9.140625" style="716"/>
    <col min="1030" max="1030" width="6.42578125" style="716" bestFit="1" customWidth="1"/>
    <col min="1031" max="1031" width="32" style="716" bestFit="1" customWidth="1"/>
    <col min="1032" max="1032" width="14.5703125" style="716" bestFit="1" customWidth="1"/>
    <col min="1033" max="1033" width="12.42578125" style="716" bestFit="1" customWidth="1"/>
    <col min="1034" max="1034" width="51.28515625" style="716" bestFit="1" customWidth="1"/>
    <col min="1035" max="1035" width="14.85546875" style="716" bestFit="1" customWidth="1"/>
    <col min="1036" max="1036" width="25" style="716" bestFit="1" customWidth="1"/>
    <col min="1037" max="1038" width="12.28515625" style="716" bestFit="1" customWidth="1"/>
    <col min="1039" max="1039" width="24.7109375" style="716" bestFit="1" customWidth="1"/>
    <col min="1040" max="1040" width="15" style="716" bestFit="1" customWidth="1"/>
    <col min="1041" max="1285" width="9.140625" style="716"/>
    <col min="1286" max="1286" width="6.42578125" style="716" bestFit="1" customWidth="1"/>
    <col min="1287" max="1287" width="32" style="716" bestFit="1" customWidth="1"/>
    <col min="1288" max="1288" width="14.5703125" style="716" bestFit="1" customWidth="1"/>
    <col min="1289" max="1289" width="12.42578125" style="716" bestFit="1" customWidth="1"/>
    <col min="1290" max="1290" width="51.28515625" style="716" bestFit="1" customWidth="1"/>
    <col min="1291" max="1291" width="14.85546875" style="716" bestFit="1" customWidth="1"/>
    <col min="1292" max="1292" width="25" style="716" bestFit="1" customWidth="1"/>
    <col min="1293" max="1294" width="12.28515625" style="716" bestFit="1" customWidth="1"/>
    <col min="1295" max="1295" width="24.7109375" style="716" bestFit="1" customWidth="1"/>
    <col min="1296" max="1296" width="15" style="716" bestFit="1" customWidth="1"/>
    <col min="1297" max="1541" width="9.140625" style="716"/>
    <col min="1542" max="1542" width="6.42578125" style="716" bestFit="1" customWidth="1"/>
    <col min="1543" max="1543" width="32" style="716" bestFit="1" customWidth="1"/>
    <col min="1544" max="1544" width="14.5703125" style="716" bestFit="1" customWidth="1"/>
    <col min="1545" max="1545" width="12.42578125" style="716" bestFit="1" customWidth="1"/>
    <col min="1546" max="1546" width="51.28515625" style="716" bestFit="1" customWidth="1"/>
    <col min="1547" max="1547" width="14.85546875" style="716" bestFit="1" customWidth="1"/>
    <col min="1548" max="1548" width="25" style="716" bestFit="1" customWidth="1"/>
    <col min="1549" max="1550" width="12.28515625" style="716" bestFit="1" customWidth="1"/>
    <col min="1551" max="1551" width="24.7109375" style="716" bestFit="1" customWidth="1"/>
    <col min="1552" max="1552" width="15" style="716" bestFit="1" customWidth="1"/>
    <col min="1553" max="1797" width="9.140625" style="716"/>
    <col min="1798" max="1798" width="6.42578125" style="716" bestFit="1" customWidth="1"/>
    <col min="1799" max="1799" width="32" style="716" bestFit="1" customWidth="1"/>
    <col min="1800" max="1800" width="14.5703125" style="716" bestFit="1" customWidth="1"/>
    <col min="1801" max="1801" width="12.42578125" style="716" bestFit="1" customWidth="1"/>
    <col min="1802" max="1802" width="51.28515625" style="716" bestFit="1" customWidth="1"/>
    <col min="1803" max="1803" width="14.85546875" style="716" bestFit="1" customWidth="1"/>
    <col min="1804" max="1804" width="25" style="716" bestFit="1" customWidth="1"/>
    <col min="1805" max="1806" width="12.28515625" style="716" bestFit="1" customWidth="1"/>
    <col min="1807" max="1807" width="24.7109375" style="716" bestFit="1" customWidth="1"/>
    <col min="1808" max="1808" width="15" style="716" bestFit="1" customWidth="1"/>
    <col min="1809" max="2053" width="9.140625" style="716"/>
    <col min="2054" max="2054" width="6.42578125" style="716" bestFit="1" customWidth="1"/>
    <col min="2055" max="2055" width="32" style="716" bestFit="1" customWidth="1"/>
    <col min="2056" max="2056" width="14.5703125" style="716" bestFit="1" customWidth="1"/>
    <col min="2057" max="2057" width="12.42578125" style="716" bestFit="1" customWidth="1"/>
    <col min="2058" max="2058" width="51.28515625" style="716" bestFit="1" customWidth="1"/>
    <col min="2059" max="2059" width="14.85546875" style="716" bestFit="1" customWidth="1"/>
    <col min="2060" max="2060" width="25" style="716" bestFit="1" customWidth="1"/>
    <col min="2061" max="2062" width="12.28515625" style="716" bestFit="1" customWidth="1"/>
    <col min="2063" max="2063" width="24.7109375" style="716" bestFit="1" customWidth="1"/>
    <col min="2064" max="2064" width="15" style="716" bestFit="1" customWidth="1"/>
    <col min="2065" max="2309" width="9.140625" style="716"/>
    <col min="2310" max="2310" width="6.42578125" style="716" bestFit="1" customWidth="1"/>
    <col min="2311" max="2311" width="32" style="716" bestFit="1" customWidth="1"/>
    <col min="2312" max="2312" width="14.5703125" style="716" bestFit="1" customWidth="1"/>
    <col min="2313" max="2313" width="12.42578125" style="716" bestFit="1" customWidth="1"/>
    <col min="2314" max="2314" width="51.28515625" style="716" bestFit="1" customWidth="1"/>
    <col min="2315" max="2315" width="14.85546875" style="716" bestFit="1" customWidth="1"/>
    <col min="2316" max="2316" width="25" style="716" bestFit="1" customWidth="1"/>
    <col min="2317" max="2318" width="12.28515625" style="716" bestFit="1" customWidth="1"/>
    <col min="2319" max="2319" width="24.7109375" style="716" bestFit="1" customWidth="1"/>
    <col min="2320" max="2320" width="15" style="716" bestFit="1" customWidth="1"/>
    <col min="2321" max="2565" width="9.140625" style="716"/>
    <col min="2566" max="2566" width="6.42578125" style="716" bestFit="1" customWidth="1"/>
    <col min="2567" max="2567" width="32" style="716" bestFit="1" customWidth="1"/>
    <col min="2568" max="2568" width="14.5703125" style="716" bestFit="1" customWidth="1"/>
    <col min="2569" max="2569" width="12.42578125" style="716" bestFit="1" customWidth="1"/>
    <col min="2570" max="2570" width="51.28515625" style="716" bestFit="1" customWidth="1"/>
    <col min="2571" max="2571" width="14.85546875" style="716" bestFit="1" customWidth="1"/>
    <col min="2572" max="2572" width="25" style="716" bestFit="1" customWidth="1"/>
    <col min="2573" max="2574" width="12.28515625" style="716" bestFit="1" customWidth="1"/>
    <col min="2575" max="2575" width="24.7109375" style="716" bestFit="1" customWidth="1"/>
    <col min="2576" max="2576" width="15" style="716" bestFit="1" customWidth="1"/>
    <col min="2577" max="2821" width="9.140625" style="716"/>
    <col min="2822" max="2822" width="6.42578125" style="716" bestFit="1" customWidth="1"/>
    <col min="2823" max="2823" width="32" style="716" bestFit="1" customWidth="1"/>
    <col min="2824" max="2824" width="14.5703125" style="716" bestFit="1" customWidth="1"/>
    <col min="2825" max="2825" width="12.42578125" style="716" bestFit="1" customWidth="1"/>
    <col min="2826" max="2826" width="51.28515625" style="716" bestFit="1" customWidth="1"/>
    <col min="2827" max="2827" width="14.85546875" style="716" bestFit="1" customWidth="1"/>
    <col min="2828" max="2828" width="25" style="716" bestFit="1" customWidth="1"/>
    <col min="2829" max="2830" width="12.28515625" style="716" bestFit="1" customWidth="1"/>
    <col min="2831" max="2831" width="24.7109375" style="716" bestFit="1" customWidth="1"/>
    <col min="2832" max="2832" width="15" style="716" bestFit="1" customWidth="1"/>
    <col min="2833" max="3077" width="9.140625" style="716"/>
    <col min="3078" max="3078" width="6.42578125" style="716" bestFit="1" customWidth="1"/>
    <col min="3079" max="3079" width="32" style="716" bestFit="1" customWidth="1"/>
    <col min="3080" max="3080" width="14.5703125" style="716" bestFit="1" customWidth="1"/>
    <col min="3081" max="3081" width="12.42578125" style="716" bestFit="1" customWidth="1"/>
    <col min="3082" max="3082" width="51.28515625" style="716" bestFit="1" customWidth="1"/>
    <col min="3083" max="3083" width="14.85546875" style="716" bestFit="1" customWidth="1"/>
    <col min="3084" max="3084" width="25" style="716" bestFit="1" customWidth="1"/>
    <col min="3085" max="3086" width="12.28515625" style="716" bestFit="1" customWidth="1"/>
    <col min="3087" max="3087" width="24.7109375" style="716" bestFit="1" customWidth="1"/>
    <col min="3088" max="3088" width="15" style="716" bestFit="1" customWidth="1"/>
    <col min="3089" max="3333" width="9.140625" style="716"/>
    <col min="3334" max="3334" width="6.42578125" style="716" bestFit="1" customWidth="1"/>
    <col min="3335" max="3335" width="32" style="716" bestFit="1" customWidth="1"/>
    <col min="3336" max="3336" width="14.5703125" style="716" bestFit="1" customWidth="1"/>
    <col min="3337" max="3337" width="12.42578125" style="716" bestFit="1" customWidth="1"/>
    <col min="3338" max="3338" width="51.28515625" style="716" bestFit="1" customWidth="1"/>
    <col min="3339" max="3339" width="14.85546875" style="716" bestFit="1" customWidth="1"/>
    <col min="3340" max="3340" width="25" style="716" bestFit="1" customWidth="1"/>
    <col min="3341" max="3342" width="12.28515625" style="716" bestFit="1" customWidth="1"/>
    <col min="3343" max="3343" width="24.7109375" style="716" bestFit="1" customWidth="1"/>
    <col min="3344" max="3344" width="15" style="716" bestFit="1" customWidth="1"/>
    <col min="3345" max="3589" width="9.140625" style="716"/>
    <col min="3590" max="3590" width="6.42578125" style="716" bestFit="1" customWidth="1"/>
    <col min="3591" max="3591" width="32" style="716" bestFit="1" customWidth="1"/>
    <col min="3592" max="3592" width="14.5703125" style="716" bestFit="1" customWidth="1"/>
    <col min="3593" max="3593" width="12.42578125" style="716" bestFit="1" customWidth="1"/>
    <col min="3594" max="3594" width="51.28515625" style="716" bestFit="1" customWidth="1"/>
    <col min="3595" max="3595" width="14.85546875" style="716" bestFit="1" customWidth="1"/>
    <col min="3596" max="3596" width="25" style="716" bestFit="1" customWidth="1"/>
    <col min="3597" max="3598" width="12.28515625" style="716" bestFit="1" customWidth="1"/>
    <col min="3599" max="3599" width="24.7109375" style="716" bestFit="1" customWidth="1"/>
    <col min="3600" max="3600" width="15" style="716" bestFit="1" customWidth="1"/>
    <col min="3601" max="3845" width="9.140625" style="716"/>
    <col min="3846" max="3846" width="6.42578125" style="716" bestFit="1" customWidth="1"/>
    <col min="3847" max="3847" width="32" style="716" bestFit="1" customWidth="1"/>
    <col min="3848" max="3848" width="14.5703125" style="716" bestFit="1" customWidth="1"/>
    <col min="3849" max="3849" width="12.42578125" style="716" bestFit="1" customWidth="1"/>
    <col min="3850" max="3850" width="51.28515625" style="716" bestFit="1" customWidth="1"/>
    <col min="3851" max="3851" width="14.85546875" style="716" bestFit="1" customWidth="1"/>
    <col min="3852" max="3852" width="25" style="716" bestFit="1" customWidth="1"/>
    <col min="3853" max="3854" width="12.28515625" style="716" bestFit="1" customWidth="1"/>
    <col min="3855" max="3855" width="24.7109375" style="716" bestFit="1" customWidth="1"/>
    <col min="3856" max="3856" width="15" style="716" bestFit="1" customWidth="1"/>
    <col min="3857" max="4101" width="9.140625" style="716"/>
    <col min="4102" max="4102" width="6.42578125" style="716" bestFit="1" customWidth="1"/>
    <col min="4103" max="4103" width="32" style="716" bestFit="1" customWidth="1"/>
    <col min="4104" max="4104" width="14.5703125" style="716" bestFit="1" customWidth="1"/>
    <col min="4105" max="4105" width="12.42578125" style="716" bestFit="1" customWidth="1"/>
    <col min="4106" max="4106" width="51.28515625" style="716" bestFit="1" customWidth="1"/>
    <col min="4107" max="4107" width="14.85546875" style="716" bestFit="1" customWidth="1"/>
    <col min="4108" max="4108" width="25" style="716" bestFit="1" customWidth="1"/>
    <col min="4109" max="4110" width="12.28515625" style="716" bestFit="1" customWidth="1"/>
    <col min="4111" max="4111" width="24.7109375" style="716" bestFit="1" customWidth="1"/>
    <col min="4112" max="4112" width="15" style="716" bestFit="1" customWidth="1"/>
    <col min="4113" max="4357" width="9.140625" style="716"/>
    <col min="4358" max="4358" width="6.42578125" style="716" bestFit="1" customWidth="1"/>
    <col min="4359" max="4359" width="32" style="716" bestFit="1" customWidth="1"/>
    <col min="4360" max="4360" width="14.5703125" style="716" bestFit="1" customWidth="1"/>
    <col min="4361" max="4361" width="12.42578125" style="716" bestFit="1" customWidth="1"/>
    <col min="4362" max="4362" width="51.28515625" style="716" bestFit="1" customWidth="1"/>
    <col min="4363" max="4363" width="14.85546875" style="716" bestFit="1" customWidth="1"/>
    <col min="4364" max="4364" width="25" style="716" bestFit="1" customWidth="1"/>
    <col min="4365" max="4366" width="12.28515625" style="716" bestFit="1" customWidth="1"/>
    <col min="4367" max="4367" width="24.7109375" style="716" bestFit="1" customWidth="1"/>
    <col min="4368" max="4368" width="15" style="716" bestFit="1" customWidth="1"/>
    <col min="4369" max="4613" width="9.140625" style="716"/>
    <col min="4614" max="4614" width="6.42578125" style="716" bestFit="1" customWidth="1"/>
    <col min="4615" max="4615" width="32" style="716" bestFit="1" customWidth="1"/>
    <col min="4616" max="4616" width="14.5703125" style="716" bestFit="1" customWidth="1"/>
    <col min="4617" max="4617" width="12.42578125" style="716" bestFit="1" customWidth="1"/>
    <col min="4618" max="4618" width="51.28515625" style="716" bestFit="1" customWidth="1"/>
    <col min="4619" max="4619" width="14.85546875" style="716" bestFit="1" customWidth="1"/>
    <col min="4620" max="4620" width="25" style="716" bestFit="1" customWidth="1"/>
    <col min="4621" max="4622" width="12.28515625" style="716" bestFit="1" customWidth="1"/>
    <col min="4623" max="4623" width="24.7109375" style="716" bestFit="1" customWidth="1"/>
    <col min="4624" max="4624" width="15" style="716" bestFit="1" customWidth="1"/>
    <col min="4625" max="4869" width="9.140625" style="716"/>
    <col min="4870" max="4870" width="6.42578125" style="716" bestFit="1" customWidth="1"/>
    <col min="4871" max="4871" width="32" style="716" bestFit="1" customWidth="1"/>
    <col min="4872" max="4872" width="14.5703125" style="716" bestFit="1" customWidth="1"/>
    <col min="4873" max="4873" width="12.42578125" style="716" bestFit="1" customWidth="1"/>
    <col min="4874" max="4874" width="51.28515625" style="716" bestFit="1" customWidth="1"/>
    <col min="4875" max="4875" width="14.85546875" style="716" bestFit="1" customWidth="1"/>
    <col min="4876" max="4876" width="25" style="716" bestFit="1" customWidth="1"/>
    <col min="4877" max="4878" width="12.28515625" style="716" bestFit="1" customWidth="1"/>
    <col min="4879" max="4879" width="24.7109375" style="716" bestFit="1" customWidth="1"/>
    <col min="4880" max="4880" width="15" style="716" bestFit="1" customWidth="1"/>
    <col min="4881" max="5125" width="9.140625" style="716"/>
    <col min="5126" max="5126" width="6.42578125" style="716" bestFit="1" customWidth="1"/>
    <col min="5127" max="5127" width="32" style="716" bestFit="1" customWidth="1"/>
    <col min="5128" max="5128" width="14.5703125" style="716" bestFit="1" customWidth="1"/>
    <col min="5129" max="5129" width="12.42578125" style="716" bestFit="1" customWidth="1"/>
    <col min="5130" max="5130" width="51.28515625" style="716" bestFit="1" customWidth="1"/>
    <col min="5131" max="5131" width="14.85546875" style="716" bestFit="1" customWidth="1"/>
    <col min="5132" max="5132" width="25" style="716" bestFit="1" customWidth="1"/>
    <col min="5133" max="5134" width="12.28515625" style="716" bestFit="1" customWidth="1"/>
    <col min="5135" max="5135" width="24.7109375" style="716" bestFit="1" customWidth="1"/>
    <col min="5136" max="5136" width="15" style="716" bestFit="1" customWidth="1"/>
    <col min="5137" max="5381" width="9.140625" style="716"/>
    <col min="5382" max="5382" width="6.42578125" style="716" bestFit="1" customWidth="1"/>
    <col min="5383" max="5383" width="32" style="716" bestFit="1" customWidth="1"/>
    <col min="5384" max="5384" width="14.5703125" style="716" bestFit="1" customWidth="1"/>
    <col min="5385" max="5385" width="12.42578125" style="716" bestFit="1" customWidth="1"/>
    <col min="5386" max="5386" width="51.28515625" style="716" bestFit="1" customWidth="1"/>
    <col min="5387" max="5387" width="14.85546875" style="716" bestFit="1" customWidth="1"/>
    <col min="5388" max="5388" width="25" style="716" bestFit="1" customWidth="1"/>
    <col min="5389" max="5390" width="12.28515625" style="716" bestFit="1" customWidth="1"/>
    <col min="5391" max="5391" width="24.7109375" style="716" bestFit="1" customWidth="1"/>
    <col min="5392" max="5392" width="15" style="716" bestFit="1" customWidth="1"/>
    <col min="5393" max="5637" width="9.140625" style="716"/>
    <col min="5638" max="5638" width="6.42578125" style="716" bestFit="1" customWidth="1"/>
    <col min="5639" max="5639" width="32" style="716" bestFit="1" customWidth="1"/>
    <col min="5640" max="5640" width="14.5703125" style="716" bestFit="1" customWidth="1"/>
    <col min="5641" max="5641" width="12.42578125" style="716" bestFit="1" customWidth="1"/>
    <col min="5642" max="5642" width="51.28515625" style="716" bestFit="1" customWidth="1"/>
    <col min="5643" max="5643" width="14.85546875" style="716" bestFit="1" customWidth="1"/>
    <col min="5644" max="5644" width="25" style="716" bestFit="1" customWidth="1"/>
    <col min="5645" max="5646" width="12.28515625" style="716" bestFit="1" customWidth="1"/>
    <col min="5647" max="5647" width="24.7109375" style="716" bestFit="1" customWidth="1"/>
    <col min="5648" max="5648" width="15" style="716" bestFit="1" customWidth="1"/>
    <col min="5649" max="5893" width="9.140625" style="716"/>
    <col min="5894" max="5894" width="6.42578125" style="716" bestFit="1" customWidth="1"/>
    <col min="5895" max="5895" width="32" style="716" bestFit="1" customWidth="1"/>
    <col min="5896" max="5896" width="14.5703125" style="716" bestFit="1" customWidth="1"/>
    <col min="5897" max="5897" width="12.42578125" style="716" bestFit="1" customWidth="1"/>
    <col min="5898" max="5898" width="51.28515625" style="716" bestFit="1" customWidth="1"/>
    <col min="5899" max="5899" width="14.85546875" style="716" bestFit="1" customWidth="1"/>
    <col min="5900" max="5900" width="25" style="716" bestFit="1" customWidth="1"/>
    <col min="5901" max="5902" width="12.28515625" style="716" bestFit="1" customWidth="1"/>
    <col min="5903" max="5903" width="24.7109375" style="716" bestFit="1" customWidth="1"/>
    <col min="5904" max="5904" width="15" style="716" bestFit="1" customWidth="1"/>
    <col min="5905" max="6149" width="9.140625" style="716"/>
    <col min="6150" max="6150" width="6.42578125" style="716" bestFit="1" customWidth="1"/>
    <col min="6151" max="6151" width="32" style="716" bestFit="1" customWidth="1"/>
    <col min="6152" max="6152" width="14.5703125" style="716" bestFit="1" customWidth="1"/>
    <col min="6153" max="6153" width="12.42578125" style="716" bestFit="1" customWidth="1"/>
    <col min="6154" max="6154" width="51.28515625" style="716" bestFit="1" customWidth="1"/>
    <col min="6155" max="6155" width="14.85546875" style="716" bestFit="1" customWidth="1"/>
    <col min="6156" max="6156" width="25" style="716" bestFit="1" customWidth="1"/>
    <col min="6157" max="6158" width="12.28515625" style="716" bestFit="1" customWidth="1"/>
    <col min="6159" max="6159" width="24.7109375" style="716" bestFit="1" customWidth="1"/>
    <col min="6160" max="6160" width="15" style="716" bestFit="1" customWidth="1"/>
    <col min="6161" max="6405" width="9.140625" style="716"/>
    <col min="6406" max="6406" width="6.42578125" style="716" bestFit="1" customWidth="1"/>
    <col min="6407" max="6407" width="32" style="716" bestFit="1" customWidth="1"/>
    <col min="6408" max="6408" width="14.5703125" style="716" bestFit="1" customWidth="1"/>
    <col min="6409" max="6409" width="12.42578125" style="716" bestFit="1" customWidth="1"/>
    <col min="6410" max="6410" width="51.28515625" style="716" bestFit="1" customWidth="1"/>
    <col min="6411" max="6411" width="14.85546875" style="716" bestFit="1" customWidth="1"/>
    <col min="6412" max="6412" width="25" style="716" bestFit="1" customWidth="1"/>
    <col min="6413" max="6414" width="12.28515625" style="716" bestFit="1" customWidth="1"/>
    <col min="6415" max="6415" width="24.7109375" style="716" bestFit="1" customWidth="1"/>
    <col min="6416" max="6416" width="15" style="716" bestFit="1" customWidth="1"/>
    <col min="6417" max="6661" width="9.140625" style="716"/>
    <col min="6662" max="6662" width="6.42578125" style="716" bestFit="1" customWidth="1"/>
    <col min="6663" max="6663" width="32" style="716" bestFit="1" customWidth="1"/>
    <col min="6664" max="6664" width="14.5703125" style="716" bestFit="1" customWidth="1"/>
    <col min="6665" max="6665" width="12.42578125" style="716" bestFit="1" customWidth="1"/>
    <col min="6666" max="6666" width="51.28515625" style="716" bestFit="1" customWidth="1"/>
    <col min="6667" max="6667" width="14.85546875" style="716" bestFit="1" customWidth="1"/>
    <col min="6668" max="6668" width="25" style="716" bestFit="1" customWidth="1"/>
    <col min="6669" max="6670" width="12.28515625" style="716" bestFit="1" customWidth="1"/>
    <col min="6671" max="6671" width="24.7109375" style="716" bestFit="1" customWidth="1"/>
    <col min="6672" max="6672" width="15" style="716" bestFit="1" customWidth="1"/>
    <col min="6673" max="6917" width="9.140625" style="716"/>
    <col min="6918" max="6918" width="6.42578125" style="716" bestFit="1" customWidth="1"/>
    <col min="6919" max="6919" width="32" style="716" bestFit="1" customWidth="1"/>
    <col min="6920" max="6920" width="14.5703125" style="716" bestFit="1" customWidth="1"/>
    <col min="6921" max="6921" width="12.42578125" style="716" bestFit="1" customWidth="1"/>
    <col min="6922" max="6922" width="51.28515625" style="716" bestFit="1" customWidth="1"/>
    <col min="6923" max="6923" width="14.85546875" style="716" bestFit="1" customWidth="1"/>
    <col min="6924" max="6924" width="25" style="716" bestFit="1" customWidth="1"/>
    <col min="6925" max="6926" width="12.28515625" style="716" bestFit="1" customWidth="1"/>
    <col min="6927" max="6927" width="24.7109375" style="716" bestFit="1" customWidth="1"/>
    <col min="6928" max="6928" width="15" style="716" bestFit="1" customWidth="1"/>
    <col min="6929" max="7173" width="9.140625" style="716"/>
    <col min="7174" max="7174" width="6.42578125" style="716" bestFit="1" customWidth="1"/>
    <col min="7175" max="7175" width="32" style="716" bestFit="1" customWidth="1"/>
    <col min="7176" max="7176" width="14.5703125" style="716" bestFit="1" customWidth="1"/>
    <col min="7177" max="7177" width="12.42578125" style="716" bestFit="1" customWidth="1"/>
    <col min="7178" max="7178" width="51.28515625" style="716" bestFit="1" customWidth="1"/>
    <col min="7179" max="7179" width="14.85546875" style="716" bestFit="1" customWidth="1"/>
    <col min="7180" max="7180" width="25" style="716" bestFit="1" customWidth="1"/>
    <col min="7181" max="7182" width="12.28515625" style="716" bestFit="1" customWidth="1"/>
    <col min="7183" max="7183" width="24.7109375" style="716" bestFit="1" customWidth="1"/>
    <col min="7184" max="7184" width="15" style="716" bestFit="1" customWidth="1"/>
    <col min="7185" max="7429" width="9.140625" style="716"/>
    <col min="7430" max="7430" width="6.42578125" style="716" bestFit="1" customWidth="1"/>
    <col min="7431" max="7431" width="32" style="716" bestFit="1" customWidth="1"/>
    <col min="7432" max="7432" width="14.5703125" style="716" bestFit="1" customWidth="1"/>
    <col min="7433" max="7433" width="12.42578125" style="716" bestFit="1" customWidth="1"/>
    <col min="7434" max="7434" width="51.28515625" style="716" bestFit="1" customWidth="1"/>
    <col min="7435" max="7435" width="14.85546875" style="716" bestFit="1" customWidth="1"/>
    <col min="7436" max="7436" width="25" style="716" bestFit="1" customWidth="1"/>
    <col min="7437" max="7438" width="12.28515625" style="716" bestFit="1" customWidth="1"/>
    <col min="7439" max="7439" width="24.7109375" style="716" bestFit="1" customWidth="1"/>
    <col min="7440" max="7440" width="15" style="716" bestFit="1" customWidth="1"/>
    <col min="7441" max="7685" width="9.140625" style="716"/>
    <col min="7686" max="7686" width="6.42578125" style="716" bestFit="1" customWidth="1"/>
    <col min="7687" max="7687" width="32" style="716" bestFit="1" customWidth="1"/>
    <col min="7688" max="7688" width="14.5703125" style="716" bestFit="1" customWidth="1"/>
    <col min="7689" max="7689" width="12.42578125" style="716" bestFit="1" customWidth="1"/>
    <col min="7690" max="7690" width="51.28515625" style="716" bestFit="1" customWidth="1"/>
    <col min="7691" max="7691" width="14.85546875" style="716" bestFit="1" customWidth="1"/>
    <col min="7692" max="7692" width="25" style="716" bestFit="1" customWidth="1"/>
    <col min="7693" max="7694" width="12.28515625" style="716" bestFit="1" customWidth="1"/>
    <col min="7695" max="7695" width="24.7109375" style="716" bestFit="1" customWidth="1"/>
    <col min="7696" max="7696" width="15" style="716" bestFit="1" customWidth="1"/>
    <col min="7697" max="7941" width="9.140625" style="716"/>
    <col min="7942" max="7942" width="6.42578125" style="716" bestFit="1" customWidth="1"/>
    <col min="7943" max="7943" width="32" style="716" bestFit="1" customWidth="1"/>
    <col min="7944" max="7944" width="14.5703125" style="716" bestFit="1" customWidth="1"/>
    <col min="7945" max="7945" width="12.42578125" style="716" bestFit="1" customWidth="1"/>
    <col min="7946" max="7946" width="51.28515625" style="716" bestFit="1" customWidth="1"/>
    <col min="7947" max="7947" width="14.85546875" style="716" bestFit="1" customWidth="1"/>
    <col min="7948" max="7948" width="25" style="716" bestFit="1" customWidth="1"/>
    <col min="7949" max="7950" width="12.28515625" style="716" bestFit="1" customWidth="1"/>
    <col min="7951" max="7951" width="24.7109375" style="716" bestFit="1" customWidth="1"/>
    <col min="7952" max="7952" width="15" style="716" bestFit="1" customWidth="1"/>
    <col min="7953" max="8197" width="9.140625" style="716"/>
    <col min="8198" max="8198" width="6.42578125" style="716" bestFit="1" customWidth="1"/>
    <col min="8199" max="8199" width="32" style="716" bestFit="1" customWidth="1"/>
    <col min="8200" max="8200" width="14.5703125" style="716" bestFit="1" customWidth="1"/>
    <col min="8201" max="8201" width="12.42578125" style="716" bestFit="1" customWidth="1"/>
    <col min="8202" max="8202" width="51.28515625" style="716" bestFit="1" customWidth="1"/>
    <col min="8203" max="8203" width="14.85546875" style="716" bestFit="1" customWidth="1"/>
    <col min="8204" max="8204" width="25" style="716" bestFit="1" customWidth="1"/>
    <col min="8205" max="8206" width="12.28515625" style="716" bestFit="1" customWidth="1"/>
    <col min="8207" max="8207" width="24.7109375" style="716" bestFit="1" customWidth="1"/>
    <col min="8208" max="8208" width="15" style="716" bestFit="1" customWidth="1"/>
    <col min="8209" max="8453" width="9.140625" style="716"/>
    <col min="8454" max="8454" width="6.42578125" style="716" bestFit="1" customWidth="1"/>
    <col min="8455" max="8455" width="32" style="716" bestFit="1" customWidth="1"/>
    <col min="8456" max="8456" width="14.5703125" style="716" bestFit="1" customWidth="1"/>
    <col min="8457" max="8457" width="12.42578125" style="716" bestFit="1" customWidth="1"/>
    <col min="8458" max="8458" width="51.28515625" style="716" bestFit="1" customWidth="1"/>
    <col min="8459" max="8459" width="14.85546875" style="716" bestFit="1" customWidth="1"/>
    <col min="8460" max="8460" width="25" style="716" bestFit="1" customWidth="1"/>
    <col min="8461" max="8462" width="12.28515625" style="716" bestFit="1" customWidth="1"/>
    <col min="8463" max="8463" width="24.7109375" style="716" bestFit="1" customWidth="1"/>
    <col min="8464" max="8464" width="15" style="716" bestFit="1" customWidth="1"/>
    <col min="8465" max="8709" width="9.140625" style="716"/>
    <col min="8710" max="8710" width="6.42578125" style="716" bestFit="1" customWidth="1"/>
    <col min="8711" max="8711" width="32" style="716" bestFit="1" customWidth="1"/>
    <col min="8712" max="8712" width="14.5703125" style="716" bestFit="1" customWidth="1"/>
    <col min="8713" max="8713" width="12.42578125" style="716" bestFit="1" customWidth="1"/>
    <col min="8714" max="8714" width="51.28515625" style="716" bestFit="1" customWidth="1"/>
    <col min="8715" max="8715" width="14.85546875" style="716" bestFit="1" customWidth="1"/>
    <col min="8716" max="8716" width="25" style="716" bestFit="1" customWidth="1"/>
    <col min="8717" max="8718" width="12.28515625" style="716" bestFit="1" customWidth="1"/>
    <col min="8719" max="8719" width="24.7109375" style="716" bestFit="1" customWidth="1"/>
    <col min="8720" max="8720" width="15" style="716" bestFit="1" customWidth="1"/>
    <col min="8721" max="8965" width="9.140625" style="716"/>
    <col min="8966" max="8966" width="6.42578125" style="716" bestFit="1" customWidth="1"/>
    <col min="8967" max="8967" width="32" style="716" bestFit="1" customWidth="1"/>
    <col min="8968" max="8968" width="14.5703125" style="716" bestFit="1" customWidth="1"/>
    <col min="8969" max="8969" width="12.42578125" style="716" bestFit="1" customWidth="1"/>
    <col min="8970" max="8970" width="51.28515625" style="716" bestFit="1" customWidth="1"/>
    <col min="8971" max="8971" width="14.85546875" style="716" bestFit="1" customWidth="1"/>
    <col min="8972" max="8972" width="25" style="716" bestFit="1" customWidth="1"/>
    <col min="8973" max="8974" width="12.28515625" style="716" bestFit="1" customWidth="1"/>
    <col min="8975" max="8975" width="24.7109375" style="716" bestFit="1" customWidth="1"/>
    <col min="8976" max="8976" width="15" style="716" bestFit="1" customWidth="1"/>
    <col min="8977" max="9221" width="9.140625" style="716"/>
    <col min="9222" max="9222" width="6.42578125" style="716" bestFit="1" customWidth="1"/>
    <col min="9223" max="9223" width="32" style="716" bestFit="1" customWidth="1"/>
    <col min="9224" max="9224" width="14.5703125" style="716" bestFit="1" customWidth="1"/>
    <col min="9225" max="9225" width="12.42578125" style="716" bestFit="1" customWidth="1"/>
    <col min="9226" max="9226" width="51.28515625" style="716" bestFit="1" customWidth="1"/>
    <col min="9227" max="9227" width="14.85546875" style="716" bestFit="1" customWidth="1"/>
    <col min="9228" max="9228" width="25" style="716" bestFit="1" customWidth="1"/>
    <col min="9229" max="9230" width="12.28515625" style="716" bestFit="1" customWidth="1"/>
    <col min="9231" max="9231" width="24.7109375" style="716" bestFit="1" customWidth="1"/>
    <col min="9232" max="9232" width="15" style="716" bestFit="1" customWidth="1"/>
    <col min="9233" max="9477" width="9.140625" style="716"/>
    <col min="9478" max="9478" width="6.42578125" style="716" bestFit="1" customWidth="1"/>
    <col min="9479" max="9479" width="32" style="716" bestFit="1" customWidth="1"/>
    <col min="9480" max="9480" width="14.5703125" style="716" bestFit="1" customWidth="1"/>
    <col min="9481" max="9481" width="12.42578125" style="716" bestFit="1" customWidth="1"/>
    <col min="9482" max="9482" width="51.28515625" style="716" bestFit="1" customWidth="1"/>
    <col min="9483" max="9483" width="14.85546875" style="716" bestFit="1" customWidth="1"/>
    <col min="9484" max="9484" width="25" style="716" bestFit="1" customWidth="1"/>
    <col min="9485" max="9486" width="12.28515625" style="716" bestFit="1" customWidth="1"/>
    <col min="9487" max="9487" width="24.7109375" style="716" bestFit="1" customWidth="1"/>
    <col min="9488" max="9488" width="15" style="716" bestFit="1" customWidth="1"/>
    <col min="9489" max="9733" width="9.140625" style="716"/>
    <col min="9734" max="9734" width="6.42578125" style="716" bestFit="1" customWidth="1"/>
    <col min="9735" max="9735" width="32" style="716" bestFit="1" customWidth="1"/>
    <col min="9736" max="9736" width="14.5703125" style="716" bestFit="1" customWidth="1"/>
    <col min="9737" max="9737" width="12.42578125" style="716" bestFit="1" customWidth="1"/>
    <col min="9738" max="9738" width="51.28515625" style="716" bestFit="1" customWidth="1"/>
    <col min="9739" max="9739" width="14.85546875" style="716" bestFit="1" customWidth="1"/>
    <col min="9740" max="9740" width="25" style="716" bestFit="1" customWidth="1"/>
    <col min="9741" max="9742" width="12.28515625" style="716" bestFit="1" customWidth="1"/>
    <col min="9743" max="9743" width="24.7109375" style="716" bestFit="1" customWidth="1"/>
    <col min="9744" max="9744" width="15" style="716" bestFit="1" customWidth="1"/>
    <col min="9745" max="9989" width="9.140625" style="716"/>
    <col min="9990" max="9990" width="6.42578125" style="716" bestFit="1" customWidth="1"/>
    <col min="9991" max="9991" width="32" style="716" bestFit="1" customWidth="1"/>
    <col min="9992" max="9992" width="14.5703125" style="716" bestFit="1" customWidth="1"/>
    <col min="9993" max="9993" width="12.42578125" style="716" bestFit="1" customWidth="1"/>
    <col min="9994" max="9994" width="51.28515625" style="716" bestFit="1" customWidth="1"/>
    <col min="9995" max="9995" width="14.85546875" style="716" bestFit="1" customWidth="1"/>
    <col min="9996" max="9996" width="25" style="716" bestFit="1" customWidth="1"/>
    <col min="9997" max="9998" width="12.28515625" style="716" bestFit="1" customWidth="1"/>
    <col min="9999" max="9999" width="24.7109375" style="716" bestFit="1" customWidth="1"/>
    <col min="10000" max="10000" width="15" style="716" bestFit="1" customWidth="1"/>
    <col min="10001" max="10245" width="9.140625" style="716"/>
    <col min="10246" max="10246" width="6.42578125" style="716" bestFit="1" customWidth="1"/>
    <col min="10247" max="10247" width="32" style="716" bestFit="1" customWidth="1"/>
    <col min="10248" max="10248" width="14.5703125" style="716" bestFit="1" customWidth="1"/>
    <col min="10249" max="10249" width="12.42578125" style="716" bestFit="1" customWidth="1"/>
    <col min="10250" max="10250" width="51.28515625" style="716" bestFit="1" customWidth="1"/>
    <col min="10251" max="10251" width="14.85546875" style="716" bestFit="1" customWidth="1"/>
    <col min="10252" max="10252" width="25" style="716" bestFit="1" customWidth="1"/>
    <col min="10253" max="10254" width="12.28515625" style="716" bestFit="1" customWidth="1"/>
    <col min="10255" max="10255" width="24.7109375" style="716" bestFit="1" customWidth="1"/>
    <col min="10256" max="10256" width="15" style="716" bestFit="1" customWidth="1"/>
    <col min="10257" max="10501" width="9.140625" style="716"/>
    <col min="10502" max="10502" width="6.42578125" style="716" bestFit="1" customWidth="1"/>
    <col min="10503" max="10503" width="32" style="716" bestFit="1" customWidth="1"/>
    <col min="10504" max="10504" width="14.5703125" style="716" bestFit="1" customWidth="1"/>
    <col min="10505" max="10505" width="12.42578125" style="716" bestFit="1" customWidth="1"/>
    <col min="10506" max="10506" width="51.28515625" style="716" bestFit="1" customWidth="1"/>
    <col min="10507" max="10507" width="14.85546875" style="716" bestFit="1" customWidth="1"/>
    <col min="10508" max="10508" width="25" style="716" bestFit="1" customWidth="1"/>
    <col min="10509" max="10510" width="12.28515625" style="716" bestFit="1" customWidth="1"/>
    <col min="10511" max="10511" width="24.7109375" style="716" bestFit="1" customWidth="1"/>
    <col min="10512" max="10512" width="15" style="716" bestFit="1" customWidth="1"/>
    <col min="10513" max="10757" width="9.140625" style="716"/>
    <col min="10758" max="10758" width="6.42578125" style="716" bestFit="1" customWidth="1"/>
    <col min="10759" max="10759" width="32" style="716" bestFit="1" customWidth="1"/>
    <col min="10760" max="10760" width="14.5703125" style="716" bestFit="1" customWidth="1"/>
    <col min="10761" max="10761" width="12.42578125" style="716" bestFit="1" customWidth="1"/>
    <col min="10762" max="10762" width="51.28515625" style="716" bestFit="1" customWidth="1"/>
    <col min="10763" max="10763" width="14.85546875" style="716" bestFit="1" customWidth="1"/>
    <col min="10764" max="10764" width="25" style="716" bestFit="1" customWidth="1"/>
    <col min="10765" max="10766" width="12.28515625" style="716" bestFit="1" customWidth="1"/>
    <col min="10767" max="10767" width="24.7109375" style="716" bestFit="1" customWidth="1"/>
    <col min="10768" max="10768" width="15" style="716" bestFit="1" customWidth="1"/>
    <col min="10769" max="11013" width="9.140625" style="716"/>
    <col min="11014" max="11014" width="6.42578125" style="716" bestFit="1" customWidth="1"/>
    <col min="11015" max="11015" width="32" style="716" bestFit="1" customWidth="1"/>
    <col min="11016" max="11016" width="14.5703125" style="716" bestFit="1" customWidth="1"/>
    <col min="11017" max="11017" width="12.42578125" style="716" bestFit="1" customWidth="1"/>
    <col min="11018" max="11018" width="51.28515625" style="716" bestFit="1" customWidth="1"/>
    <col min="11019" max="11019" width="14.85546875" style="716" bestFit="1" customWidth="1"/>
    <col min="11020" max="11020" width="25" style="716" bestFit="1" customWidth="1"/>
    <col min="11021" max="11022" width="12.28515625" style="716" bestFit="1" customWidth="1"/>
    <col min="11023" max="11023" width="24.7109375" style="716" bestFit="1" customWidth="1"/>
    <col min="11024" max="11024" width="15" style="716" bestFit="1" customWidth="1"/>
    <col min="11025" max="11269" width="9.140625" style="716"/>
    <col min="11270" max="11270" width="6.42578125" style="716" bestFit="1" customWidth="1"/>
    <col min="11271" max="11271" width="32" style="716" bestFit="1" customWidth="1"/>
    <col min="11272" max="11272" width="14.5703125" style="716" bestFit="1" customWidth="1"/>
    <col min="11273" max="11273" width="12.42578125" style="716" bestFit="1" customWidth="1"/>
    <col min="11274" max="11274" width="51.28515625" style="716" bestFit="1" customWidth="1"/>
    <col min="11275" max="11275" width="14.85546875" style="716" bestFit="1" customWidth="1"/>
    <col min="11276" max="11276" width="25" style="716" bestFit="1" customWidth="1"/>
    <col min="11277" max="11278" width="12.28515625" style="716" bestFit="1" customWidth="1"/>
    <col min="11279" max="11279" width="24.7109375" style="716" bestFit="1" customWidth="1"/>
    <col min="11280" max="11280" width="15" style="716" bestFit="1" customWidth="1"/>
    <col min="11281" max="11525" width="9.140625" style="716"/>
    <col min="11526" max="11526" width="6.42578125" style="716" bestFit="1" customWidth="1"/>
    <col min="11527" max="11527" width="32" style="716" bestFit="1" customWidth="1"/>
    <col min="11528" max="11528" width="14.5703125" style="716" bestFit="1" customWidth="1"/>
    <col min="11529" max="11529" width="12.42578125" style="716" bestFit="1" customWidth="1"/>
    <col min="11530" max="11530" width="51.28515625" style="716" bestFit="1" customWidth="1"/>
    <col min="11531" max="11531" width="14.85546875" style="716" bestFit="1" customWidth="1"/>
    <col min="11532" max="11532" width="25" style="716" bestFit="1" customWidth="1"/>
    <col min="11533" max="11534" width="12.28515625" style="716" bestFit="1" customWidth="1"/>
    <col min="11535" max="11535" width="24.7109375" style="716" bestFit="1" customWidth="1"/>
    <col min="11536" max="11536" width="15" style="716" bestFit="1" customWidth="1"/>
    <col min="11537" max="11781" width="9.140625" style="716"/>
    <col min="11782" max="11782" width="6.42578125" style="716" bestFit="1" customWidth="1"/>
    <col min="11783" max="11783" width="32" style="716" bestFit="1" customWidth="1"/>
    <col min="11784" max="11784" width="14.5703125" style="716" bestFit="1" customWidth="1"/>
    <col min="11785" max="11785" width="12.42578125" style="716" bestFit="1" customWidth="1"/>
    <col min="11786" max="11786" width="51.28515625" style="716" bestFit="1" customWidth="1"/>
    <col min="11787" max="11787" width="14.85546875" style="716" bestFit="1" customWidth="1"/>
    <col min="11788" max="11788" width="25" style="716" bestFit="1" customWidth="1"/>
    <col min="11789" max="11790" width="12.28515625" style="716" bestFit="1" customWidth="1"/>
    <col min="11791" max="11791" width="24.7109375" style="716" bestFit="1" customWidth="1"/>
    <col min="11792" max="11792" width="15" style="716" bestFit="1" customWidth="1"/>
    <col min="11793" max="12037" width="9.140625" style="716"/>
    <col min="12038" max="12038" width="6.42578125" style="716" bestFit="1" customWidth="1"/>
    <col min="12039" max="12039" width="32" style="716" bestFit="1" customWidth="1"/>
    <col min="12040" max="12040" width="14.5703125" style="716" bestFit="1" customWidth="1"/>
    <col min="12041" max="12041" width="12.42578125" style="716" bestFit="1" customWidth="1"/>
    <col min="12042" max="12042" width="51.28515625" style="716" bestFit="1" customWidth="1"/>
    <col min="12043" max="12043" width="14.85546875" style="716" bestFit="1" customWidth="1"/>
    <col min="12044" max="12044" width="25" style="716" bestFit="1" customWidth="1"/>
    <col min="12045" max="12046" width="12.28515625" style="716" bestFit="1" customWidth="1"/>
    <col min="12047" max="12047" width="24.7109375" style="716" bestFit="1" customWidth="1"/>
    <col min="12048" max="12048" width="15" style="716" bestFit="1" customWidth="1"/>
    <col min="12049" max="12293" width="9.140625" style="716"/>
    <col min="12294" max="12294" width="6.42578125" style="716" bestFit="1" customWidth="1"/>
    <col min="12295" max="12295" width="32" style="716" bestFit="1" customWidth="1"/>
    <col min="12296" max="12296" width="14.5703125" style="716" bestFit="1" customWidth="1"/>
    <col min="12297" max="12297" width="12.42578125" style="716" bestFit="1" customWidth="1"/>
    <col min="12298" max="12298" width="51.28515625" style="716" bestFit="1" customWidth="1"/>
    <col min="12299" max="12299" width="14.85546875" style="716" bestFit="1" customWidth="1"/>
    <col min="12300" max="12300" width="25" style="716" bestFit="1" customWidth="1"/>
    <col min="12301" max="12302" width="12.28515625" style="716" bestFit="1" customWidth="1"/>
    <col min="12303" max="12303" width="24.7109375" style="716" bestFit="1" customWidth="1"/>
    <col min="12304" max="12304" width="15" style="716" bestFit="1" customWidth="1"/>
    <col min="12305" max="12549" width="9.140625" style="716"/>
    <col min="12550" max="12550" width="6.42578125" style="716" bestFit="1" customWidth="1"/>
    <col min="12551" max="12551" width="32" style="716" bestFit="1" customWidth="1"/>
    <col min="12552" max="12552" width="14.5703125" style="716" bestFit="1" customWidth="1"/>
    <col min="12553" max="12553" width="12.42578125" style="716" bestFit="1" customWidth="1"/>
    <col min="12554" max="12554" width="51.28515625" style="716" bestFit="1" customWidth="1"/>
    <col min="12555" max="12555" width="14.85546875" style="716" bestFit="1" customWidth="1"/>
    <col min="12556" max="12556" width="25" style="716" bestFit="1" customWidth="1"/>
    <col min="12557" max="12558" width="12.28515625" style="716" bestFit="1" customWidth="1"/>
    <col min="12559" max="12559" width="24.7109375" style="716" bestFit="1" customWidth="1"/>
    <col min="12560" max="12560" width="15" style="716" bestFit="1" customWidth="1"/>
    <col min="12561" max="12805" width="9.140625" style="716"/>
    <col min="12806" max="12806" width="6.42578125" style="716" bestFit="1" customWidth="1"/>
    <col min="12807" max="12807" width="32" style="716" bestFit="1" customWidth="1"/>
    <col min="12808" max="12808" width="14.5703125" style="716" bestFit="1" customWidth="1"/>
    <col min="12809" max="12809" width="12.42578125" style="716" bestFit="1" customWidth="1"/>
    <col min="12810" max="12810" width="51.28515625" style="716" bestFit="1" customWidth="1"/>
    <col min="12811" max="12811" width="14.85546875" style="716" bestFit="1" customWidth="1"/>
    <col min="12812" max="12812" width="25" style="716" bestFit="1" customWidth="1"/>
    <col min="12813" max="12814" width="12.28515625" style="716" bestFit="1" customWidth="1"/>
    <col min="12815" max="12815" width="24.7109375" style="716" bestFit="1" customWidth="1"/>
    <col min="12816" max="12816" width="15" style="716" bestFit="1" customWidth="1"/>
    <col min="12817" max="13061" width="9.140625" style="716"/>
    <col min="13062" max="13062" width="6.42578125" style="716" bestFit="1" customWidth="1"/>
    <col min="13063" max="13063" width="32" style="716" bestFit="1" customWidth="1"/>
    <col min="13064" max="13064" width="14.5703125" style="716" bestFit="1" customWidth="1"/>
    <col min="13065" max="13065" width="12.42578125" style="716" bestFit="1" customWidth="1"/>
    <col min="13066" max="13066" width="51.28515625" style="716" bestFit="1" customWidth="1"/>
    <col min="13067" max="13067" width="14.85546875" style="716" bestFit="1" customWidth="1"/>
    <col min="13068" max="13068" width="25" style="716" bestFit="1" customWidth="1"/>
    <col min="13069" max="13070" width="12.28515625" style="716" bestFit="1" customWidth="1"/>
    <col min="13071" max="13071" width="24.7109375" style="716" bestFit="1" customWidth="1"/>
    <col min="13072" max="13072" width="15" style="716" bestFit="1" customWidth="1"/>
    <col min="13073" max="13317" width="9.140625" style="716"/>
    <col min="13318" max="13318" width="6.42578125" style="716" bestFit="1" customWidth="1"/>
    <col min="13319" max="13319" width="32" style="716" bestFit="1" customWidth="1"/>
    <col min="13320" max="13320" width="14.5703125" style="716" bestFit="1" customWidth="1"/>
    <col min="13321" max="13321" width="12.42578125" style="716" bestFit="1" customWidth="1"/>
    <col min="13322" max="13322" width="51.28515625" style="716" bestFit="1" customWidth="1"/>
    <col min="13323" max="13323" width="14.85546875" style="716" bestFit="1" customWidth="1"/>
    <col min="13324" max="13324" width="25" style="716" bestFit="1" customWidth="1"/>
    <col min="13325" max="13326" width="12.28515625" style="716" bestFit="1" customWidth="1"/>
    <col min="13327" max="13327" width="24.7109375" style="716" bestFit="1" customWidth="1"/>
    <col min="13328" max="13328" width="15" style="716" bestFit="1" customWidth="1"/>
    <col min="13329" max="13573" width="9.140625" style="716"/>
    <col min="13574" max="13574" width="6.42578125" style="716" bestFit="1" customWidth="1"/>
    <col min="13575" max="13575" width="32" style="716" bestFit="1" customWidth="1"/>
    <col min="13576" max="13576" width="14.5703125" style="716" bestFit="1" customWidth="1"/>
    <col min="13577" max="13577" width="12.42578125" style="716" bestFit="1" customWidth="1"/>
    <col min="13578" max="13578" width="51.28515625" style="716" bestFit="1" customWidth="1"/>
    <col min="13579" max="13579" width="14.85546875" style="716" bestFit="1" customWidth="1"/>
    <col min="13580" max="13580" width="25" style="716" bestFit="1" customWidth="1"/>
    <col min="13581" max="13582" width="12.28515625" style="716" bestFit="1" customWidth="1"/>
    <col min="13583" max="13583" width="24.7109375" style="716" bestFit="1" customWidth="1"/>
    <col min="13584" max="13584" width="15" style="716" bestFit="1" customWidth="1"/>
    <col min="13585" max="13829" width="9.140625" style="716"/>
    <col min="13830" max="13830" width="6.42578125" style="716" bestFit="1" customWidth="1"/>
    <col min="13831" max="13831" width="32" style="716" bestFit="1" customWidth="1"/>
    <col min="13832" max="13832" width="14.5703125" style="716" bestFit="1" customWidth="1"/>
    <col min="13833" max="13833" width="12.42578125" style="716" bestFit="1" customWidth="1"/>
    <col min="13834" max="13834" width="51.28515625" style="716" bestFit="1" customWidth="1"/>
    <col min="13835" max="13835" width="14.85546875" style="716" bestFit="1" customWidth="1"/>
    <col min="13836" max="13836" width="25" style="716" bestFit="1" customWidth="1"/>
    <col min="13837" max="13838" width="12.28515625" style="716" bestFit="1" customWidth="1"/>
    <col min="13839" max="13839" width="24.7109375" style="716" bestFit="1" customWidth="1"/>
    <col min="13840" max="13840" width="15" style="716" bestFit="1" customWidth="1"/>
    <col min="13841" max="14085" width="9.140625" style="716"/>
    <col min="14086" max="14086" width="6.42578125" style="716" bestFit="1" customWidth="1"/>
    <col min="14087" max="14087" width="32" style="716" bestFit="1" customWidth="1"/>
    <col min="14088" max="14088" width="14.5703125" style="716" bestFit="1" customWidth="1"/>
    <col min="14089" max="14089" width="12.42578125" style="716" bestFit="1" customWidth="1"/>
    <col min="14090" max="14090" width="51.28515625" style="716" bestFit="1" customWidth="1"/>
    <col min="14091" max="14091" width="14.85546875" style="716" bestFit="1" customWidth="1"/>
    <col min="14092" max="14092" width="25" style="716" bestFit="1" customWidth="1"/>
    <col min="14093" max="14094" width="12.28515625" style="716" bestFit="1" customWidth="1"/>
    <col min="14095" max="14095" width="24.7109375" style="716" bestFit="1" customWidth="1"/>
    <col min="14096" max="14096" width="15" style="716" bestFit="1" customWidth="1"/>
    <col min="14097" max="14341" width="9.140625" style="716"/>
    <col min="14342" max="14342" width="6.42578125" style="716" bestFit="1" customWidth="1"/>
    <col min="14343" max="14343" width="32" style="716" bestFit="1" customWidth="1"/>
    <col min="14344" max="14344" width="14.5703125" style="716" bestFit="1" customWidth="1"/>
    <col min="14345" max="14345" width="12.42578125" style="716" bestFit="1" customWidth="1"/>
    <col min="14346" max="14346" width="51.28515625" style="716" bestFit="1" customWidth="1"/>
    <col min="14347" max="14347" width="14.85546875" style="716" bestFit="1" customWidth="1"/>
    <col min="14348" max="14348" width="25" style="716" bestFit="1" customWidth="1"/>
    <col min="14349" max="14350" width="12.28515625" style="716" bestFit="1" customWidth="1"/>
    <col min="14351" max="14351" width="24.7109375" style="716" bestFit="1" customWidth="1"/>
    <col min="14352" max="14352" width="15" style="716" bestFit="1" customWidth="1"/>
    <col min="14353" max="14597" width="9.140625" style="716"/>
    <col min="14598" max="14598" width="6.42578125" style="716" bestFit="1" customWidth="1"/>
    <col min="14599" max="14599" width="32" style="716" bestFit="1" customWidth="1"/>
    <col min="14600" max="14600" width="14.5703125" style="716" bestFit="1" customWidth="1"/>
    <col min="14601" max="14601" width="12.42578125" style="716" bestFit="1" customWidth="1"/>
    <col min="14602" max="14602" width="51.28515625" style="716" bestFit="1" customWidth="1"/>
    <col min="14603" max="14603" width="14.85546875" style="716" bestFit="1" customWidth="1"/>
    <col min="14604" max="14604" width="25" style="716" bestFit="1" customWidth="1"/>
    <col min="14605" max="14606" width="12.28515625" style="716" bestFit="1" customWidth="1"/>
    <col min="14607" max="14607" width="24.7109375" style="716" bestFit="1" customWidth="1"/>
    <col min="14608" max="14608" width="15" style="716" bestFit="1" customWidth="1"/>
    <col min="14609" max="14853" width="9.140625" style="716"/>
    <col min="14854" max="14854" width="6.42578125" style="716" bestFit="1" customWidth="1"/>
    <col min="14855" max="14855" width="32" style="716" bestFit="1" customWidth="1"/>
    <col min="14856" max="14856" width="14.5703125" style="716" bestFit="1" customWidth="1"/>
    <col min="14857" max="14857" width="12.42578125" style="716" bestFit="1" customWidth="1"/>
    <col min="14858" max="14858" width="51.28515625" style="716" bestFit="1" customWidth="1"/>
    <col min="14859" max="14859" width="14.85546875" style="716" bestFit="1" customWidth="1"/>
    <col min="14860" max="14860" width="25" style="716" bestFit="1" customWidth="1"/>
    <col min="14861" max="14862" width="12.28515625" style="716" bestFit="1" customWidth="1"/>
    <col min="14863" max="14863" width="24.7109375" style="716" bestFit="1" customWidth="1"/>
    <col min="14864" max="14864" width="15" style="716" bestFit="1" customWidth="1"/>
    <col min="14865" max="15109" width="9.140625" style="716"/>
    <col min="15110" max="15110" width="6.42578125" style="716" bestFit="1" customWidth="1"/>
    <col min="15111" max="15111" width="32" style="716" bestFit="1" customWidth="1"/>
    <col min="15112" max="15112" width="14.5703125" style="716" bestFit="1" customWidth="1"/>
    <col min="15113" max="15113" width="12.42578125" style="716" bestFit="1" customWidth="1"/>
    <col min="15114" max="15114" width="51.28515625" style="716" bestFit="1" customWidth="1"/>
    <col min="15115" max="15115" width="14.85546875" style="716" bestFit="1" customWidth="1"/>
    <col min="15116" max="15116" width="25" style="716" bestFit="1" customWidth="1"/>
    <col min="15117" max="15118" width="12.28515625" style="716" bestFit="1" customWidth="1"/>
    <col min="15119" max="15119" width="24.7109375" style="716" bestFit="1" customWidth="1"/>
    <col min="15120" max="15120" width="15" style="716" bestFit="1" customWidth="1"/>
    <col min="15121" max="15365" width="9.140625" style="716"/>
    <col min="15366" max="15366" width="6.42578125" style="716" bestFit="1" customWidth="1"/>
    <col min="15367" max="15367" width="32" style="716" bestFit="1" customWidth="1"/>
    <col min="15368" max="15368" width="14.5703125" style="716" bestFit="1" customWidth="1"/>
    <col min="15369" max="15369" width="12.42578125" style="716" bestFit="1" customWidth="1"/>
    <col min="15370" max="15370" width="51.28515625" style="716" bestFit="1" customWidth="1"/>
    <col min="15371" max="15371" width="14.85546875" style="716" bestFit="1" customWidth="1"/>
    <col min="15372" max="15372" width="25" style="716" bestFit="1" customWidth="1"/>
    <col min="15373" max="15374" width="12.28515625" style="716" bestFit="1" customWidth="1"/>
    <col min="15375" max="15375" width="24.7109375" style="716" bestFit="1" customWidth="1"/>
    <col min="15376" max="15376" width="15" style="716" bestFit="1" customWidth="1"/>
    <col min="15377" max="15621" width="9.140625" style="716"/>
    <col min="15622" max="15622" width="6.42578125" style="716" bestFit="1" customWidth="1"/>
    <col min="15623" max="15623" width="32" style="716" bestFit="1" customWidth="1"/>
    <col min="15624" max="15624" width="14.5703125" style="716" bestFit="1" customWidth="1"/>
    <col min="15625" max="15625" width="12.42578125" style="716" bestFit="1" customWidth="1"/>
    <col min="15626" max="15626" width="51.28515625" style="716" bestFit="1" customWidth="1"/>
    <col min="15627" max="15627" width="14.85546875" style="716" bestFit="1" customWidth="1"/>
    <col min="15628" max="15628" width="25" style="716" bestFit="1" customWidth="1"/>
    <col min="15629" max="15630" width="12.28515625" style="716" bestFit="1" customWidth="1"/>
    <col min="15631" max="15631" width="24.7109375" style="716" bestFit="1" customWidth="1"/>
    <col min="15632" max="15632" width="15" style="716" bestFit="1" customWidth="1"/>
    <col min="15633" max="15877" width="9.140625" style="716"/>
    <col min="15878" max="15878" width="6.42578125" style="716" bestFit="1" customWidth="1"/>
    <col min="15879" max="15879" width="32" style="716" bestFit="1" customWidth="1"/>
    <col min="15880" max="15880" width="14.5703125" style="716" bestFit="1" customWidth="1"/>
    <col min="15881" max="15881" width="12.42578125" style="716" bestFit="1" customWidth="1"/>
    <col min="15882" max="15882" width="51.28515625" style="716" bestFit="1" customWidth="1"/>
    <col min="15883" max="15883" width="14.85546875" style="716" bestFit="1" customWidth="1"/>
    <col min="15884" max="15884" width="25" style="716" bestFit="1" customWidth="1"/>
    <col min="15885" max="15886" width="12.28515625" style="716" bestFit="1" customWidth="1"/>
    <col min="15887" max="15887" width="24.7109375" style="716" bestFit="1" customWidth="1"/>
    <col min="15888" max="15888" width="15" style="716" bestFit="1" customWidth="1"/>
    <col min="15889" max="16133" width="9.140625" style="716"/>
    <col min="16134" max="16134" width="6.42578125" style="716" bestFit="1" customWidth="1"/>
    <col min="16135" max="16135" width="32" style="716" bestFit="1" customWidth="1"/>
    <col min="16136" max="16136" width="14.5703125" style="716" bestFit="1" customWidth="1"/>
    <col min="16137" max="16137" width="12.42578125" style="716" bestFit="1" customWidth="1"/>
    <col min="16138" max="16138" width="51.28515625" style="716" bestFit="1" customWidth="1"/>
    <col min="16139" max="16139" width="14.85546875" style="716" bestFit="1" customWidth="1"/>
    <col min="16140" max="16140" width="25" style="716" bestFit="1" customWidth="1"/>
    <col min="16141" max="16142" width="12.28515625" style="716" bestFit="1" customWidth="1"/>
    <col min="16143" max="16143" width="24.7109375" style="716" bestFit="1" customWidth="1"/>
    <col min="16144" max="16144" width="15" style="716" bestFit="1" customWidth="1"/>
    <col min="16145" max="16384" width="9.140625" style="716"/>
  </cols>
  <sheetData>
    <row r="1" spans="1:17" x14ac:dyDescent="0.65">
      <c r="A1" s="1122" t="s">
        <v>82</v>
      </c>
      <c r="B1" s="1122"/>
      <c r="C1" s="1122"/>
      <c r="D1" s="1122"/>
      <c r="E1" s="1122"/>
      <c r="F1" s="1122"/>
      <c r="G1" s="1122"/>
      <c r="H1" s="1122"/>
      <c r="I1" s="1122"/>
      <c r="J1" s="1122"/>
      <c r="K1" s="1122"/>
      <c r="L1" s="1122"/>
    </row>
    <row r="2" spans="1:17" x14ac:dyDescent="0.65">
      <c r="A2" s="1122" t="s">
        <v>665</v>
      </c>
      <c r="B2" s="1122"/>
      <c r="C2" s="1122"/>
      <c r="D2" s="1122"/>
      <c r="E2" s="1122"/>
      <c r="F2" s="1122"/>
      <c r="G2" s="1122"/>
      <c r="H2" s="1122"/>
      <c r="I2" s="1122"/>
      <c r="J2" s="1122"/>
      <c r="K2" s="1122"/>
      <c r="L2" s="1122"/>
    </row>
    <row r="3" spans="1:17" x14ac:dyDescent="0.65">
      <c r="A3" s="1123" t="str">
        <f>+รายจ่ายจริง!A3:P3</f>
        <v>ตั้งแต่วันที่ 1  ตุลาคม 2564 ถึงวันที่ 31 ตุลาคม 2564</v>
      </c>
      <c r="B3" s="1123"/>
      <c r="C3" s="1123"/>
      <c r="D3" s="1123"/>
      <c r="E3" s="1123"/>
      <c r="F3" s="1123"/>
      <c r="G3" s="1123"/>
      <c r="H3" s="1123"/>
      <c r="I3" s="1123"/>
      <c r="J3" s="1123"/>
      <c r="K3" s="1123"/>
      <c r="L3" s="1123"/>
    </row>
    <row r="4" spans="1:17" s="719" customFormat="1" ht="24" x14ac:dyDescent="0.55000000000000004">
      <c r="A4" s="717" t="s">
        <v>0</v>
      </c>
      <c r="B4" s="1129" t="s">
        <v>500</v>
      </c>
      <c r="C4" s="1129" t="s">
        <v>501</v>
      </c>
      <c r="D4" s="1129" t="s">
        <v>651</v>
      </c>
      <c r="E4" s="1130" t="s">
        <v>179</v>
      </c>
      <c r="F4" s="1129" t="s">
        <v>502</v>
      </c>
      <c r="G4" s="1131" t="s">
        <v>426</v>
      </c>
      <c r="H4" s="1115" t="s">
        <v>503</v>
      </c>
      <c r="I4" s="717" t="s">
        <v>17</v>
      </c>
      <c r="J4" s="1117" t="s">
        <v>661</v>
      </c>
      <c r="K4" s="717" t="s">
        <v>662</v>
      </c>
      <c r="L4" s="718" t="s">
        <v>757</v>
      </c>
      <c r="M4" s="1127" t="s">
        <v>652</v>
      </c>
      <c r="N4" s="1127" t="s">
        <v>653</v>
      </c>
      <c r="O4" s="1127" t="s">
        <v>654</v>
      </c>
      <c r="P4" s="719" t="s">
        <v>504</v>
      </c>
    </row>
    <row r="5" spans="1:17" s="719" customFormat="1" ht="24" x14ac:dyDescent="0.55000000000000004">
      <c r="A5" s="720" t="s">
        <v>58</v>
      </c>
      <c r="B5" s="1129"/>
      <c r="C5" s="1129"/>
      <c r="D5" s="1129"/>
      <c r="E5" s="1130"/>
      <c r="F5" s="1129"/>
      <c r="G5" s="1131"/>
      <c r="H5" s="1116"/>
      <c r="I5" s="720" t="s">
        <v>660</v>
      </c>
      <c r="J5" s="1118"/>
      <c r="K5" s="720" t="s">
        <v>83</v>
      </c>
      <c r="L5" s="721" t="s">
        <v>745</v>
      </c>
      <c r="M5" s="1128"/>
      <c r="N5" s="1128"/>
      <c r="O5" s="1128"/>
    </row>
    <row r="6" spans="1:17" s="730" customFormat="1" ht="38.25" customHeight="1" x14ac:dyDescent="0.55000000000000004">
      <c r="A6" s="722">
        <v>1</v>
      </c>
      <c r="B6" s="723" t="s">
        <v>112</v>
      </c>
      <c r="C6" s="722">
        <v>1600699998</v>
      </c>
      <c r="D6" s="722" t="s">
        <v>14</v>
      </c>
      <c r="E6" s="724" t="s">
        <v>640</v>
      </c>
      <c r="F6" s="722">
        <v>7014096956</v>
      </c>
      <c r="G6" s="725" t="s">
        <v>305</v>
      </c>
      <c r="H6" s="668">
        <v>43000</v>
      </c>
      <c r="I6" s="726">
        <v>43000</v>
      </c>
      <c r="J6" s="727">
        <f t="shared" ref="J6:J14" si="0">+H6-I6</f>
        <v>0</v>
      </c>
      <c r="K6" s="727">
        <f t="shared" ref="K6:K14" si="1">+I6*100/H6</f>
        <v>100</v>
      </c>
      <c r="L6" s="669" t="s">
        <v>363</v>
      </c>
      <c r="M6" s="728" t="s">
        <v>578</v>
      </c>
      <c r="N6" s="729" t="s">
        <v>579</v>
      </c>
      <c r="O6" s="729" t="s">
        <v>527</v>
      </c>
      <c r="P6" s="729" t="s">
        <v>580</v>
      </c>
    </row>
    <row r="7" spans="1:17" s="730" customFormat="1" ht="38.25" customHeight="1" x14ac:dyDescent="0.55000000000000004">
      <c r="A7" s="722">
        <v>2</v>
      </c>
      <c r="B7" s="723" t="s">
        <v>112</v>
      </c>
      <c r="C7" s="722">
        <v>1600699998</v>
      </c>
      <c r="D7" s="722" t="s">
        <v>14</v>
      </c>
      <c r="E7" s="724" t="s">
        <v>638</v>
      </c>
      <c r="F7" s="722">
        <v>7014150012</v>
      </c>
      <c r="G7" s="725" t="s">
        <v>649</v>
      </c>
      <c r="H7" s="668">
        <f>123750*3</f>
        <v>371250</v>
      </c>
      <c r="I7" s="726">
        <v>371250</v>
      </c>
      <c r="J7" s="727">
        <f t="shared" si="0"/>
        <v>0</v>
      </c>
      <c r="K7" s="727">
        <f t="shared" si="1"/>
        <v>100</v>
      </c>
      <c r="L7" s="669" t="s">
        <v>363</v>
      </c>
      <c r="M7" s="728" t="s">
        <v>582</v>
      </c>
      <c r="N7" s="729" t="s">
        <v>583</v>
      </c>
      <c r="O7" s="729" t="s">
        <v>527</v>
      </c>
      <c r="P7" s="729" t="s">
        <v>584</v>
      </c>
    </row>
    <row r="8" spans="1:17" s="730" customFormat="1" ht="38.25" customHeight="1" x14ac:dyDescent="0.55000000000000004">
      <c r="A8" s="722">
        <v>3</v>
      </c>
      <c r="B8" s="723" t="s">
        <v>112</v>
      </c>
      <c r="C8" s="722">
        <v>1600699998</v>
      </c>
      <c r="D8" s="722" t="s">
        <v>14</v>
      </c>
      <c r="E8" s="724" t="s">
        <v>640</v>
      </c>
      <c r="F8" s="722">
        <v>7014665430</v>
      </c>
      <c r="G8" s="725" t="s">
        <v>305</v>
      </c>
      <c r="H8" s="668">
        <v>41810</v>
      </c>
      <c r="I8" s="726">
        <v>41810</v>
      </c>
      <c r="J8" s="727">
        <f t="shared" si="0"/>
        <v>0</v>
      </c>
      <c r="K8" s="727">
        <f t="shared" si="1"/>
        <v>100</v>
      </c>
      <c r="L8" s="669" t="s">
        <v>363</v>
      </c>
      <c r="M8" s="728" t="s">
        <v>578</v>
      </c>
      <c r="N8" s="729" t="s">
        <v>589</v>
      </c>
      <c r="O8" s="729" t="s">
        <v>527</v>
      </c>
      <c r="P8" s="729" t="s">
        <v>580</v>
      </c>
    </row>
    <row r="9" spans="1:17" s="730" customFormat="1" ht="38.25" customHeight="1" x14ac:dyDescent="0.55000000000000004">
      <c r="A9" s="722">
        <v>4</v>
      </c>
      <c r="B9" s="723" t="s">
        <v>112</v>
      </c>
      <c r="C9" s="722">
        <v>1600600004</v>
      </c>
      <c r="D9" s="722" t="s">
        <v>14</v>
      </c>
      <c r="E9" s="724" t="s">
        <v>640</v>
      </c>
      <c r="F9" s="722">
        <v>7014789388</v>
      </c>
      <c r="G9" s="725" t="s">
        <v>647</v>
      </c>
      <c r="H9" s="668">
        <v>280730</v>
      </c>
      <c r="I9" s="726">
        <v>280730</v>
      </c>
      <c r="J9" s="727">
        <f t="shared" si="0"/>
        <v>0</v>
      </c>
      <c r="K9" s="727">
        <f t="shared" si="1"/>
        <v>100</v>
      </c>
      <c r="L9" s="669" t="s">
        <v>363</v>
      </c>
      <c r="M9" s="728" t="s">
        <v>600</v>
      </c>
      <c r="N9" s="729" t="s">
        <v>513</v>
      </c>
      <c r="O9" s="729" t="s">
        <v>601</v>
      </c>
      <c r="P9" s="729" t="s">
        <v>602</v>
      </c>
    </row>
    <row r="10" spans="1:17" s="730" customFormat="1" ht="38.25" customHeight="1" x14ac:dyDescent="0.55000000000000004">
      <c r="A10" s="722">
        <v>5</v>
      </c>
      <c r="B10" s="723" t="s">
        <v>112</v>
      </c>
      <c r="C10" s="722">
        <v>1600600005</v>
      </c>
      <c r="D10" s="722" t="s">
        <v>14</v>
      </c>
      <c r="E10" s="724" t="s">
        <v>640</v>
      </c>
      <c r="F10" s="722">
        <v>7014934640</v>
      </c>
      <c r="G10" s="725" t="s">
        <v>863</v>
      </c>
      <c r="H10" s="668">
        <v>7500</v>
      </c>
      <c r="I10" s="726">
        <v>7500</v>
      </c>
      <c r="J10" s="727">
        <f t="shared" si="0"/>
        <v>0</v>
      </c>
      <c r="K10" s="727">
        <f t="shared" si="1"/>
        <v>100</v>
      </c>
      <c r="L10" s="669" t="s">
        <v>363</v>
      </c>
      <c r="M10" s="728" t="s">
        <v>606</v>
      </c>
      <c r="N10" s="729" t="s">
        <v>548</v>
      </c>
      <c r="O10" s="729" t="s">
        <v>523</v>
      </c>
      <c r="P10" s="729" t="s">
        <v>581</v>
      </c>
    </row>
    <row r="11" spans="1:17" s="730" customFormat="1" ht="58.5" customHeight="1" x14ac:dyDescent="0.55000000000000004">
      <c r="A11" s="722">
        <v>6</v>
      </c>
      <c r="B11" s="723" t="s">
        <v>112</v>
      </c>
      <c r="C11" s="722">
        <v>1600600006</v>
      </c>
      <c r="D11" s="722" t="s">
        <v>14</v>
      </c>
      <c r="E11" s="724" t="s">
        <v>640</v>
      </c>
      <c r="F11" s="722">
        <v>7015013787</v>
      </c>
      <c r="G11" s="673" t="s">
        <v>664</v>
      </c>
      <c r="H11" s="668">
        <v>799000</v>
      </c>
      <c r="I11" s="726">
        <f>799000</f>
        <v>799000</v>
      </c>
      <c r="J11" s="727">
        <f t="shared" si="0"/>
        <v>0</v>
      </c>
      <c r="K11" s="727">
        <f t="shared" si="1"/>
        <v>100</v>
      </c>
      <c r="L11" s="669" t="s">
        <v>984</v>
      </c>
      <c r="M11" s="728" t="s">
        <v>603</v>
      </c>
      <c r="N11" s="729" t="s">
        <v>607</v>
      </c>
      <c r="O11" s="729" t="s">
        <v>608</v>
      </c>
      <c r="P11" s="729" t="s">
        <v>604</v>
      </c>
    </row>
    <row r="12" spans="1:17" s="730" customFormat="1" ht="222" customHeight="1" x14ac:dyDescent="0.55000000000000004">
      <c r="A12" s="722">
        <v>7</v>
      </c>
      <c r="B12" s="723" t="s">
        <v>112</v>
      </c>
      <c r="C12" s="722">
        <v>1600699998</v>
      </c>
      <c r="D12" s="722" t="s">
        <v>14</v>
      </c>
      <c r="E12" s="724" t="s">
        <v>638</v>
      </c>
      <c r="F12" s="841" t="s">
        <v>868</v>
      </c>
      <c r="G12" s="673" t="s">
        <v>624</v>
      </c>
      <c r="H12" s="668">
        <v>5772752.96</v>
      </c>
      <c r="I12" s="667">
        <v>4784179.1500000004</v>
      </c>
      <c r="J12" s="672">
        <f t="shared" si="0"/>
        <v>988573.80999999959</v>
      </c>
      <c r="K12" s="727">
        <f t="shared" si="1"/>
        <v>82.875175555754268</v>
      </c>
      <c r="L12" s="731" t="s">
        <v>887</v>
      </c>
      <c r="M12" s="728" t="s">
        <v>625</v>
      </c>
      <c r="N12" s="729" t="s">
        <v>526</v>
      </c>
      <c r="O12" s="729" t="s">
        <v>610</v>
      </c>
      <c r="P12" s="729" t="s">
        <v>626</v>
      </c>
      <c r="Q12" s="732"/>
    </row>
    <row r="13" spans="1:17" s="730" customFormat="1" ht="26.25" customHeight="1" x14ac:dyDescent="0.55000000000000004">
      <c r="A13" s="722">
        <v>8</v>
      </c>
      <c r="B13" s="723" t="s">
        <v>543</v>
      </c>
      <c r="C13" s="722">
        <v>1600600453</v>
      </c>
      <c r="D13" s="722" t="s">
        <v>14</v>
      </c>
      <c r="E13" s="724" t="s">
        <v>638</v>
      </c>
      <c r="F13" s="722">
        <v>7015155496</v>
      </c>
      <c r="G13" s="725" t="s">
        <v>650</v>
      </c>
      <c r="H13" s="668">
        <v>17983</v>
      </c>
      <c r="I13" s="726">
        <v>17983</v>
      </c>
      <c r="J13" s="727">
        <f t="shared" si="0"/>
        <v>0</v>
      </c>
      <c r="K13" s="727">
        <f t="shared" si="1"/>
        <v>100</v>
      </c>
      <c r="L13" s="669" t="s">
        <v>363</v>
      </c>
      <c r="M13" s="728" t="s">
        <v>544</v>
      </c>
      <c r="N13" s="729" t="s">
        <v>545</v>
      </c>
      <c r="O13" s="729" t="s">
        <v>546</v>
      </c>
      <c r="P13" s="729" t="s">
        <v>547</v>
      </c>
    </row>
    <row r="14" spans="1:17" s="730" customFormat="1" ht="26.25" customHeight="1" x14ac:dyDescent="0.55000000000000004">
      <c r="A14" s="722">
        <v>9</v>
      </c>
      <c r="B14" s="723" t="s">
        <v>532</v>
      </c>
      <c r="C14" s="722">
        <v>1600600711</v>
      </c>
      <c r="D14" s="722" t="s">
        <v>14</v>
      </c>
      <c r="E14" s="724" t="s">
        <v>638</v>
      </c>
      <c r="F14" s="722">
        <v>7015264822</v>
      </c>
      <c r="G14" s="733" t="s">
        <v>655</v>
      </c>
      <c r="H14" s="668">
        <v>204000</v>
      </c>
      <c r="I14" s="726">
        <v>204000</v>
      </c>
      <c r="J14" s="727">
        <f t="shared" si="0"/>
        <v>0</v>
      </c>
      <c r="K14" s="727">
        <f t="shared" si="1"/>
        <v>100</v>
      </c>
      <c r="L14" s="669" t="s">
        <v>363</v>
      </c>
      <c r="M14" s="728" t="s">
        <v>533</v>
      </c>
      <c r="N14" s="729" t="s">
        <v>534</v>
      </c>
      <c r="O14" s="729" t="s">
        <v>527</v>
      </c>
      <c r="P14" s="729" t="s">
        <v>535</v>
      </c>
    </row>
    <row r="15" spans="1:17" s="730" customFormat="1" ht="26.25" customHeight="1" x14ac:dyDescent="0.55000000000000004">
      <c r="A15" s="722">
        <v>10</v>
      </c>
      <c r="B15" s="723" t="s">
        <v>532</v>
      </c>
      <c r="C15" s="722">
        <v>1600600711</v>
      </c>
      <c r="D15" s="722" t="s">
        <v>14</v>
      </c>
      <c r="E15" s="724" t="s">
        <v>638</v>
      </c>
      <c r="F15" s="722">
        <v>7015272951</v>
      </c>
      <c r="G15" s="733" t="s">
        <v>656</v>
      </c>
      <c r="H15" s="668">
        <v>154404.6</v>
      </c>
      <c r="I15" s="726">
        <v>154404.6</v>
      </c>
      <c r="J15" s="727">
        <f t="shared" ref="J15:J20" si="2">+H15-I15</f>
        <v>0</v>
      </c>
      <c r="K15" s="727">
        <f t="shared" ref="K15:K21" si="3">+I15*100/H15</f>
        <v>100</v>
      </c>
      <c r="L15" s="669" t="s">
        <v>363</v>
      </c>
      <c r="M15" s="728" t="s">
        <v>536</v>
      </c>
      <c r="N15" s="729" t="s">
        <v>526</v>
      </c>
      <c r="O15" s="729" t="s">
        <v>527</v>
      </c>
      <c r="P15" s="729" t="s">
        <v>537</v>
      </c>
    </row>
    <row r="16" spans="1:17" s="730" customFormat="1" ht="26.25" customHeight="1" x14ac:dyDescent="0.55000000000000004">
      <c r="A16" s="722">
        <v>11</v>
      </c>
      <c r="B16" s="723" t="s">
        <v>112</v>
      </c>
      <c r="C16" s="722">
        <v>1600600011</v>
      </c>
      <c r="D16" s="722" t="s">
        <v>14</v>
      </c>
      <c r="E16" s="724" t="s">
        <v>640</v>
      </c>
      <c r="F16" s="722">
        <v>7014733954</v>
      </c>
      <c r="G16" s="725" t="s">
        <v>595</v>
      </c>
      <c r="H16" s="668">
        <v>147660</v>
      </c>
      <c r="I16" s="726">
        <v>147660</v>
      </c>
      <c r="J16" s="727">
        <f t="shared" si="2"/>
        <v>0</v>
      </c>
      <c r="K16" s="727">
        <f>+I16*100/H16</f>
        <v>100</v>
      </c>
      <c r="L16" s="669" t="s">
        <v>363</v>
      </c>
      <c r="M16" s="728" t="s">
        <v>596</v>
      </c>
      <c r="N16" s="729" t="s">
        <v>597</v>
      </c>
      <c r="O16" s="729" t="s">
        <v>598</v>
      </c>
      <c r="P16" s="729" t="s">
        <v>599</v>
      </c>
    </row>
    <row r="17" spans="1:16" s="730" customFormat="1" ht="26.25" customHeight="1" x14ac:dyDescent="0.55000000000000004">
      <c r="A17" s="722">
        <v>12</v>
      </c>
      <c r="B17" s="723" t="s">
        <v>112</v>
      </c>
      <c r="C17" s="722">
        <v>1600699998</v>
      </c>
      <c r="D17" s="722" t="s">
        <v>14</v>
      </c>
      <c r="E17" s="724" t="s">
        <v>640</v>
      </c>
      <c r="F17" s="722">
        <v>7015254174</v>
      </c>
      <c r="G17" s="725" t="s">
        <v>619</v>
      </c>
      <c r="H17" s="668">
        <v>5700000</v>
      </c>
      <c r="I17" s="726">
        <v>5700000</v>
      </c>
      <c r="J17" s="727">
        <f t="shared" si="2"/>
        <v>0</v>
      </c>
      <c r="K17" s="727">
        <f>+I17*100/H17</f>
        <v>100</v>
      </c>
      <c r="L17" s="669" t="s">
        <v>363</v>
      </c>
      <c r="M17" s="728" t="s">
        <v>578</v>
      </c>
      <c r="N17" s="729" t="s">
        <v>616</v>
      </c>
      <c r="O17" s="729" t="s">
        <v>620</v>
      </c>
      <c r="P17" s="729" t="s">
        <v>621</v>
      </c>
    </row>
    <row r="18" spans="1:16" s="730" customFormat="1" ht="61.5" customHeight="1" x14ac:dyDescent="0.55000000000000004">
      <c r="A18" s="722">
        <v>13</v>
      </c>
      <c r="B18" s="723" t="s">
        <v>559</v>
      </c>
      <c r="C18" s="722">
        <v>1600600220</v>
      </c>
      <c r="D18" s="722" t="s">
        <v>14</v>
      </c>
      <c r="E18" s="724" t="s">
        <v>638</v>
      </c>
      <c r="F18" s="722">
        <v>2000459990</v>
      </c>
      <c r="G18" s="725" t="s">
        <v>304</v>
      </c>
      <c r="H18" s="668">
        <v>55800</v>
      </c>
      <c r="I18" s="726">
        <v>0</v>
      </c>
      <c r="J18" s="727">
        <f t="shared" si="2"/>
        <v>55800</v>
      </c>
      <c r="K18" s="727">
        <f>+I18*100/H18</f>
        <v>0</v>
      </c>
      <c r="L18" s="849" t="s">
        <v>867</v>
      </c>
      <c r="M18" s="728" t="s">
        <v>560</v>
      </c>
      <c r="N18" s="729" t="s">
        <v>561</v>
      </c>
      <c r="O18" s="729" t="s">
        <v>527</v>
      </c>
      <c r="P18" s="729" t="s">
        <v>562</v>
      </c>
    </row>
    <row r="19" spans="1:16" s="730" customFormat="1" ht="33.75" customHeight="1" x14ac:dyDescent="0.55000000000000004">
      <c r="A19" s="722">
        <v>14</v>
      </c>
      <c r="B19" s="723" t="s">
        <v>112</v>
      </c>
      <c r="C19" s="722">
        <v>1600699998</v>
      </c>
      <c r="D19" s="722" t="s">
        <v>14</v>
      </c>
      <c r="E19" s="724" t="s">
        <v>638</v>
      </c>
      <c r="F19" s="722">
        <v>7014299345</v>
      </c>
      <c r="G19" s="725" t="s">
        <v>648</v>
      </c>
      <c r="H19" s="668">
        <v>141240</v>
      </c>
      <c r="I19" s="726">
        <v>141240</v>
      </c>
      <c r="J19" s="727">
        <f t="shared" si="2"/>
        <v>0</v>
      </c>
      <c r="K19" s="727">
        <f>+I19*100/H19</f>
        <v>100</v>
      </c>
      <c r="L19" s="669" t="s">
        <v>363</v>
      </c>
      <c r="M19" s="728" t="s">
        <v>585</v>
      </c>
      <c r="N19" s="729" t="s">
        <v>586</v>
      </c>
      <c r="O19" s="729" t="s">
        <v>587</v>
      </c>
      <c r="P19" s="729" t="s">
        <v>588</v>
      </c>
    </row>
    <row r="20" spans="1:16" s="730" customFormat="1" ht="33.75" customHeight="1" x14ac:dyDescent="0.55000000000000004">
      <c r="A20" s="722">
        <v>15</v>
      </c>
      <c r="B20" s="723" t="s">
        <v>538</v>
      </c>
      <c r="C20" s="722">
        <v>1600600013</v>
      </c>
      <c r="D20" s="722" t="s">
        <v>14</v>
      </c>
      <c r="E20" s="724" t="s">
        <v>638</v>
      </c>
      <c r="F20" s="722">
        <v>7014896495</v>
      </c>
      <c r="G20" s="725" t="s">
        <v>539</v>
      </c>
      <c r="H20" s="668">
        <v>2782</v>
      </c>
      <c r="I20" s="726">
        <v>2782</v>
      </c>
      <c r="J20" s="727">
        <f t="shared" si="2"/>
        <v>0</v>
      </c>
      <c r="K20" s="727">
        <f t="shared" si="3"/>
        <v>100</v>
      </c>
      <c r="L20" s="669" t="s">
        <v>363</v>
      </c>
      <c r="M20" s="728" t="s">
        <v>540</v>
      </c>
      <c r="N20" s="729" t="s">
        <v>541</v>
      </c>
      <c r="O20" s="729" t="s">
        <v>525</v>
      </c>
      <c r="P20" s="729" t="s">
        <v>542</v>
      </c>
    </row>
    <row r="21" spans="1:16" s="86" customFormat="1" ht="33.75" customHeight="1" x14ac:dyDescent="0.5">
      <c r="A21" s="1119" t="s">
        <v>658</v>
      </c>
      <c r="B21" s="1120"/>
      <c r="C21" s="1120"/>
      <c r="D21" s="1120"/>
      <c r="E21" s="1120"/>
      <c r="F21" s="1120"/>
      <c r="G21" s="1121"/>
      <c r="H21" s="734">
        <f>SUM(H6:H20)</f>
        <v>13739912.559999999</v>
      </c>
      <c r="I21" s="734">
        <f>SUM(I6:I20)</f>
        <v>12695538.75</v>
      </c>
      <c r="J21" s="840">
        <f>SUM(J6:J20)</f>
        <v>1044373.8099999996</v>
      </c>
      <c r="K21" s="735">
        <f t="shared" si="3"/>
        <v>92.398977755939967</v>
      </c>
      <c r="L21" s="736"/>
      <c r="M21" s="737"/>
      <c r="N21" s="101"/>
      <c r="O21" s="101"/>
      <c r="P21" s="101"/>
    </row>
    <row r="22" spans="1:16" s="730" customFormat="1" ht="33.75" customHeight="1" x14ac:dyDescent="0.55000000000000004">
      <c r="A22" s="722">
        <v>16</v>
      </c>
      <c r="B22" s="723" t="s">
        <v>112</v>
      </c>
      <c r="C22" s="722">
        <v>1600699998</v>
      </c>
      <c r="D22" s="722" t="s">
        <v>15</v>
      </c>
      <c r="E22" s="724" t="s">
        <v>639</v>
      </c>
      <c r="F22" s="722">
        <v>7014716158</v>
      </c>
      <c r="G22" s="725" t="s">
        <v>590</v>
      </c>
      <c r="H22" s="668">
        <v>2274000</v>
      </c>
      <c r="I22" s="726">
        <v>2274000</v>
      </c>
      <c r="J22" s="727">
        <f t="shared" ref="J22:J31" si="4">+H22-I22</f>
        <v>0</v>
      </c>
      <c r="K22" s="727">
        <f t="shared" ref="K22:K31" si="5">+I22*100/H22</f>
        <v>100</v>
      </c>
      <c r="L22" s="669" t="s">
        <v>363</v>
      </c>
      <c r="M22" s="728" t="s">
        <v>591</v>
      </c>
      <c r="N22" s="729" t="s">
        <v>592</v>
      </c>
      <c r="O22" s="729" t="s">
        <v>593</v>
      </c>
      <c r="P22" s="729" t="s">
        <v>594</v>
      </c>
    </row>
    <row r="23" spans="1:16" s="730" customFormat="1" ht="33.75" customHeight="1" x14ac:dyDescent="0.55000000000000004">
      <c r="A23" s="722">
        <v>17</v>
      </c>
      <c r="B23" s="723" t="s">
        <v>112</v>
      </c>
      <c r="C23" s="722">
        <v>1600600011</v>
      </c>
      <c r="D23" s="722" t="s">
        <v>15</v>
      </c>
      <c r="E23" s="724" t="s">
        <v>643</v>
      </c>
      <c r="F23" s="722">
        <v>7015248976</v>
      </c>
      <c r="G23" s="725" t="s">
        <v>644</v>
      </c>
      <c r="H23" s="668">
        <v>500000</v>
      </c>
      <c r="I23" s="726">
        <v>500000</v>
      </c>
      <c r="J23" s="727">
        <f t="shared" si="4"/>
        <v>0</v>
      </c>
      <c r="K23" s="727">
        <f t="shared" si="5"/>
        <v>100</v>
      </c>
      <c r="L23" s="669" t="s">
        <v>363</v>
      </c>
      <c r="M23" s="728" t="s">
        <v>615</v>
      </c>
      <c r="N23" s="729" t="s">
        <v>616</v>
      </c>
      <c r="O23" s="729" t="s">
        <v>617</v>
      </c>
      <c r="P23" s="729" t="s">
        <v>618</v>
      </c>
    </row>
    <row r="24" spans="1:16" s="730" customFormat="1" ht="33.75" customHeight="1" x14ac:dyDescent="0.55000000000000004">
      <c r="A24" s="722">
        <v>18</v>
      </c>
      <c r="B24" s="723" t="s">
        <v>112</v>
      </c>
      <c r="C24" s="722">
        <v>1600600006</v>
      </c>
      <c r="D24" s="722" t="s">
        <v>15</v>
      </c>
      <c r="E24" s="724" t="s">
        <v>641</v>
      </c>
      <c r="F24" s="722">
        <v>7015254679</v>
      </c>
      <c r="G24" s="725" t="s">
        <v>642</v>
      </c>
      <c r="H24" s="668">
        <v>497015</v>
      </c>
      <c r="I24" s="726">
        <v>497015</v>
      </c>
      <c r="J24" s="727">
        <f t="shared" si="4"/>
        <v>0</v>
      </c>
      <c r="K24" s="727">
        <f t="shared" si="5"/>
        <v>100</v>
      </c>
      <c r="L24" s="669" t="s">
        <v>363</v>
      </c>
      <c r="M24" s="728" t="s">
        <v>622</v>
      </c>
      <c r="N24" s="729" t="s">
        <v>526</v>
      </c>
      <c r="O24" s="729" t="s">
        <v>610</v>
      </c>
      <c r="P24" s="729" t="s">
        <v>623</v>
      </c>
    </row>
    <row r="25" spans="1:16" s="730" customFormat="1" ht="48" x14ac:dyDescent="0.55000000000000004">
      <c r="A25" s="722">
        <v>19</v>
      </c>
      <c r="B25" s="723" t="s">
        <v>112</v>
      </c>
      <c r="C25" s="722">
        <v>1600600001</v>
      </c>
      <c r="D25" s="722" t="s">
        <v>15</v>
      </c>
      <c r="E25" s="724" t="s">
        <v>442</v>
      </c>
      <c r="F25" s="722">
        <v>2000397264</v>
      </c>
      <c r="G25" s="865" t="s">
        <v>635</v>
      </c>
      <c r="H25" s="866">
        <v>11135650</v>
      </c>
      <c r="I25" s="867">
        <v>0</v>
      </c>
      <c r="J25" s="868">
        <f t="shared" si="4"/>
        <v>11135650</v>
      </c>
      <c r="K25" s="727">
        <f t="shared" si="5"/>
        <v>0</v>
      </c>
      <c r="L25" s="669" t="s">
        <v>888</v>
      </c>
      <c r="M25" s="728" t="s">
        <v>636</v>
      </c>
      <c r="N25" s="729" t="s">
        <v>526</v>
      </c>
      <c r="O25" s="729" t="s">
        <v>637</v>
      </c>
      <c r="P25" s="729"/>
    </row>
    <row r="26" spans="1:16" s="730" customFormat="1" ht="39" customHeight="1" x14ac:dyDescent="0.55000000000000004">
      <c r="A26" s="722">
        <v>20</v>
      </c>
      <c r="B26" s="723" t="s">
        <v>112</v>
      </c>
      <c r="C26" s="722">
        <v>1600600001</v>
      </c>
      <c r="D26" s="722" t="s">
        <v>15</v>
      </c>
      <c r="E26" s="724" t="s">
        <v>440</v>
      </c>
      <c r="F26" s="722">
        <v>2000420428</v>
      </c>
      <c r="G26" s="725" t="s">
        <v>627</v>
      </c>
      <c r="H26" s="668">
        <v>13054741.23</v>
      </c>
      <c r="I26" s="726">
        <v>13054741.23</v>
      </c>
      <c r="J26" s="727">
        <f t="shared" si="4"/>
        <v>0</v>
      </c>
      <c r="K26" s="727">
        <f t="shared" si="5"/>
        <v>100</v>
      </c>
      <c r="L26" s="669" t="s">
        <v>363</v>
      </c>
      <c r="M26" s="728" t="s">
        <v>628</v>
      </c>
      <c r="N26" s="729" t="s">
        <v>629</v>
      </c>
      <c r="O26" s="729" t="s">
        <v>630</v>
      </c>
      <c r="P26" s="729"/>
    </row>
    <row r="27" spans="1:16" s="730" customFormat="1" ht="39" customHeight="1" x14ac:dyDescent="0.55000000000000004">
      <c r="A27" s="722">
        <v>21</v>
      </c>
      <c r="B27" s="723" t="s">
        <v>112</v>
      </c>
      <c r="C27" s="722">
        <v>1600600001</v>
      </c>
      <c r="D27" s="722" t="s">
        <v>15</v>
      </c>
      <c r="E27" s="724" t="s">
        <v>437</v>
      </c>
      <c r="F27" s="722">
        <v>2000420910</v>
      </c>
      <c r="G27" s="725" t="s">
        <v>631</v>
      </c>
      <c r="H27" s="668">
        <v>5129331</v>
      </c>
      <c r="I27" s="726">
        <v>5129331</v>
      </c>
      <c r="J27" s="727">
        <f t="shared" si="4"/>
        <v>0</v>
      </c>
      <c r="K27" s="727">
        <f t="shared" si="5"/>
        <v>100</v>
      </c>
      <c r="L27" s="669" t="s">
        <v>363</v>
      </c>
      <c r="M27" s="728" t="s">
        <v>632</v>
      </c>
      <c r="N27" s="729" t="s">
        <v>633</v>
      </c>
      <c r="O27" s="729" t="s">
        <v>634</v>
      </c>
      <c r="P27" s="729"/>
    </row>
    <row r="28" spans="1:16" s="730" customFormat="1" ht="39" customHeight="1" x14ac:dyDescent="0.55000000000000004">
      <c r="A28" s="722">
        <v>22</v>
      </c>
      <c r="B28" s="723" t="s">
        <v>112</v>
      </c>
      <c r="C28" s="722">
        <v>1600600001</v>
      </c>
      <c r="D28" s="722" t="s">
        <v>15</v>
      </c>
      <c r="E28" s="724" t="s">
        <v>441</v>
      </c>
      <c r="F28" s="722">
        <v>2000434631</v>
      </c>
      <c r="G28" s="725" t="s">
        <v>563</v>
      </c>
      <c r="H28" s="668">
        <v>5002622</v>
      </c>
      <c r="I28" s="726">
        <v>5002622</v>
      </c>
      <c r="J28" s="727">
        <f t="shared" si="4"/>
        <v>0</v>
      </c>
      <c r="K28" s="727">
        <f t="shared" si="5"/>
        <v>100</v>
      </c>
      <c r="L28" s="669" t="s">
        <v>363</v>
      </c>
      <c r="M28" s="728" t="s">
        <v>564</v>
      </c>
      <c r="N28" s="729" t="s">
        <v>565</v>
      </c>
      <c r="O28" s="729" t="s">
        <v>566</v>
      </c>
      <c r="P28" s="729" t="s">
        <v>567</v>
      </c>
    </row>
    <row r="29" spans="1:16" s="730" customFormat="1" ht="48" x14ac:dyDescent="0.55000000000000004">
      <c r="A29" s="722">
        <v>23</v>
      </c>
      <c r="B29" s="723" t="s">
        <v>112</v>
      </c>
      <c r="C29" s="722">
        <v>1600600001</v>
      </c>
      <c r="D29" s="722" t="s">
        <v>15</v>
      </c>
      <c r="E29" s="724" t="s">
        <v>438</v>
      </c>
      <c r="F29" s="722">
        <v>2000435147</v>
      </c>
      <c r="G29" s="865" t="s">
        <v>568</v>
      </c>
      <c r="H29" s="866">
        <v>4668200</v>
      </c>
      <c r="I29" s="867">
        <f>4668200-2339940.84</f>
        <v>2328259.16</v>
      </c>
      <c r="J29" s="868">
        <f>+H29-I29</f>
        <v>2339940.84</v>
      </c>
      <c r="K29" s="727">
        <f t="shared" si="5"/>
        <v>49.874880253630948</v>
      </c>
      <c r="L29" s="669" t="s">
        <v>889</v>
      </c>
      <c r="M29" s="728" t="s">
        <v>569</v>
      </c>
      <c r="N29" s="729" t="s">
        <v>566</v>
      </c>
      <c r="O29" s="729" t="s">
        <v>570</v>
      </c>
      <c r="P29" s="729" t="s">
        <v>515</v>
      </c>
    </row>
    <row r="30" spans="1:16" s="730" customFormat="1" ht="48" x14ac:dyDescent="0.55000000000000004">
      <c r="A30" s="722">
        <v>24</v>
      </c>
      <c r="B30" s="723" t="s">
        <v>112</v>
      </c>
      <c r="C30" s="722">
        <v>1600600001</v>
      </c>
      <c r="D30" s="722" t="s">
        <v>15</v>
      </c>
      <c r="E30" s="724" t="s">
        <v>443</v>
      </c>
      <c r="F30" s="722">
        <v>2000461421</v>
      </c>
      <c r="G30" s="738" t="s">
        <v>844</v>
      </c>
      <c r="H30" s="668">
        <v>2805000</v>
      </c>
      <c r="I30" s="726">
        <v>2805000</v>
      </c>
      <c r="J30" s="727">
        <f t="shared" si="4"/>
        <v>0</v>
      </c>
      <c r="K30" s="727">
        <f t="shared" si="5"/>
        <v>100</v>
      </c>
      <c r="L30" s="669" t="s">
        <v>363</v>
      </c>
      <c r="M30" s="728" t="s">
        <v>572</v>
      </c>
      <c r="N30" s="729" t="s">
        <v>573</v>
      </c>
      <c r="O30" s="729" t="s">
        <v>574</v>
      </c>
      <c r="P30" s="729" t="s">
        <v>515</v>
      </c>
    </row>
    <row r="31" spans="1:16" s="730" customFormat="1" ht="78" customHeight="1" x14ac:dyDescent="0.55000000000000004">
      <c r="A31" s="722">
        <v>25</v>
      </c>
      <c r="B31" s="723" t="s">
        <v>112</v>
      </c>
      <c r="C31" s="722">
        <v>1600600001</v>
      </c>
      <c r="D31" s="722" t="s">
        <v>15</v>
      </c>
      <c r="E31" s="724" t="s">
        <v>439</v>
      </c>
      <c r="F31" s="722">
        <v>2000475789</v>
      </c>
      <c r="G31" s="869" t="s">
        <v>845</v>
      </c>
      <c r="H31" s="866">
        <v>9368000</v>
      </c>
      <c r="I31" s="867">
        <f>9368000-4231617.55</f>
        <v>5136382.45</v>
      </c>
      <c r="J31" s="868">
        <f t="shared" si="4"/>
        <v>4231617.55</v>
      </c>
      <c r="K31" s="727">
        <f t="shared" si="5"/>
        <v>54.829018467122118</v>
      </c>
      <c r="L31" s="669" t="s">
        <v>890</v>
      </c>
      <c r="M31" s="728" t="s">
        <v>576</v>
      </c>
      <c r="N31" s="729" t="s">
        <v>527</v>
      </c>
      <c r="O31" s="729" t="s">
        <v>577</v>
      </c>
      <c r="P31" s="729" t="s">
        <v>515</v>
      </c>
    </row>
    <row r="32" spans="1:16" s="730" customFormat="1" ht="30" customHeight="1" x14ac:dyDescent="0.55000000000000004">
      <c r="A32" s="722">
        <v>26</v>
      </c>
      <c r="B32" s="723" t="s">
        <v>505</v>
      </c>
      <c r="C32" s="722">
        <v>1600600046</v>
      </c>
      <c r="D32" s="722" t="s">
        <v>15</v>
      </c>
      <c r="E32" s="724" t="s">
        <v>433</v>
      </c>
      <c r="F32" s="722">
        <v>7014618240</v>
      </c>
      <c r="G32" s="725" t="s">
        <v>506</v>
      </c>
      <c r="H32" s="668">
        <v>2527500</v>
      </c>
      <c r="I32" s="726">
        <v>2527500</v>
      </c>
      <c r="J32" s="727">
        <f t="shared" ref="J32:J39" si="6">+H32-I32</f>
        <v>0</v>
      </c>
      <c r="K32" s="727">
        <f t="shared" ref="K32:K40" si="7">+I32*100/H32</f>
        <v>100</v>
      </c>
      <c r="L32" s="669" t="s">
        <v>363</v>
      </c>
      <c r="M32" s="728" t="s">
        <v>507</v>
      </c>
      <c r="N32" s="729" t="s">
        <v>508</v>
      </c>
      <c r="O32" s="729" t="s">
        <v>509</v>
      </c>
      <c r="P32" s="729" t="s">
        <v>510</v>
      </c>
    </row>
    <row r="33" spans="1:18" s="730" customFormat="1" ht="24" x14ac:dyDescent="0.55000000000000004">
      <c r="A33" s="722">
        <v>27</v>
      </c>
      <c r="B33" s="723" t="s">
        <v>511</v>
      </c>
      <c r="C33" s="722">
        <v>1600600052</v>
      </c>
      <c r="D33" s="722" t="s">
        <v>15</v>
      </c>
      <c r="E33" s="724" t="s">
        <v>434</v>
      </c>
      <c r="F33" s="722">
        <v>7014573620</v>
      </c>
      <c r="G33" s="725" t="s">
        <v>506</v>
      </c>
      <c r="H33" s="668">
        <v>3234000</v>
      </c>
      <c r="I33" s="726">
        <v>3234000</v>
      </c>
      <c r="J33" s="727">
        <f t="shared" si="6"/>
        <v>0</v>
      </c>
      <c r="K33" s="727">
        <f t="shared" si="7"/>
        <v>100</v>
      </c>
      <c r="L33" s="669" t="s">
        <v>851</v>
      </c>
      <c r="M33" s="728" t="s">
        <v>512</v>
      </c>
      <c r="N33" s="729" t="s">
        <v>513</v>
      </c>
      <c r="O33" s="729" t="s">
        <v>514</v>
      </c>
      <c r="P33" s="729" t="s">
        <v>515</v>
      </c>
    </row>
    <row r="34" spans="1:18" s="730" customFormat="1" ht="30" customHeight="1" x14ac:dyDescent="0.55000000000000004">
      <c r="A34" s="722">
        <v>28</v>
      </c>
      <c r="B34" s="723" t="s">
        <v>516</v>
      </c>
      <c r="C34" s="722">
        <v>1600600058</v>
      </c>
      <c r="D34" s="722" t="s">
        <v>15</v>
      </c>
      <c r="E34" s="724" t="s">
        <v>435</v>
      </c>
      <c r="F34" s="722">
        <v>7014587703</v>
      </c>
      <c r="G34" s="725" t="s">
        <v>506</v>
      </c>
      <c r="H34" s="668">
        <v>2700000</v>
      </c>
      <c r="I34" s="726">
        <v>2700000</v>
      </c>
      <c r="J34" s="727">
        <f t="shared" si="6"/>
        <v>0</v>
      </c>
      <c r="K34" s="727">
        <f t="shared" si="7"/>
        <v>100</v>
      </c>
      <c r="L34" s="669" t="s">
        <v>363</v>
      </c>
      <c r="M34" s="728" t="s">
        <v>517</v>
      </c>
      <c r="N34" s="729" t="s">
        <v>518</v>
      </c>
      <c r="O34" s="729" t="s">
        <v>519</v>
      </c>
      <c r="P34" s="729" t="s">
        <v>520</v>
      </c>
    </row>
    <row r="35" spans="1:18" s="730" customFormat="1" ht="111" x14ac:dyDescent="0.55000000000000004">
      <c r="A35" s="722">
        <v>29</v>
      </c>
      <c r="B35" s="723" t="s">
        <v>521</v>
      </c>
      <c r="C35" s="722">
        <v>1600600064</v>
      </c>
      <c r="D35" s="722" t="s">
        <v>15</v>
      </c>
      <c r="E35" s="724" t="s">
        <v>436</v>
      </c>
      <c r="F35" s="722">
        <v>7014633408</v>
      </c>
      <c r="G35" s="865" t="s">
        <v>506</v>
      </c>
      <c r="H35" s="866">
        <v>3155139</v>
      </c>
      <c r="I35" s="867">
        <v>0</v>
      </c>
      <c r="J35" s="868">
        <f t="shared" si="6"/>
        <v>3155139</v>
      </c>
      <c r="K35" s="727">
        <f t="shared" si="7"/>
        <v>0</v>
      </c>
      <c r="L35" s="742" t="s">
        <v>891</v>
      </c>
      <c r="M35" s="728" t="s">
        <v>522</v>
      </c>
      <c r="N35" s="729" t="s">
        <v>508</v>
      </c>
      <c r="O35" s="729" t="s">
        <v>523</v>
      </c>
      <c r="P35" s="729" t="s">
        <v>524</v>
      </c>
    </row>
    <row r="36" spans="1:18" s="730" customFormat="1" ht="56.25" customHeight="1" x14ac:dyDescent="0.55000000000000004">
      <c r="A36" s="722">
        <v>30</v>
      </c>
      <c r="B36" s="723" t="s">
        <v>487</v>
      </c>
      <c r="C36" s="722">
        <v>1600600094</v>
      </c>
      <c r="D36" s="722" t="s">
        <v>15</v>
      </c>
      <c r="E36" s="724" t="s">
        <v>475</v>
      </c>
      <c r="F36" s="722">
        <v>2000449395</v>
      </c>
      <c r="G36" s="673" t="s">
        <v>806</v>
      </c>
      <c r="H36" s="668">
        <v>3920000</v>
      </c>
      <c r="I36" s="726">
        <v>3920000</v>
      </c>
      <c r="J36" s="727">
        <f t="shared" si="6"/>
        <v>0</v>
      </c>
      <c r="K36" s="727">
        <f t="shared" si="7"/>
        <v>100</v>
      </c>
      <c r="L36" s="669" t="s">
        <v>363</v>
      </c>
      <c r="M36" s="728" t="s">
        <v>528</v>
      </c>
      <c r="N36" s="729" t="s">
        <v>529</v>
      </c>
      <c r="O36" s="729" t="s">
        <v>530</v>
      </c>
      <c r="P36" s="729"/>
    </row>
    <row r="37" spans="1:18" s="730" customFormat="1" ht="56.25" customHeight="1" x14ac:dyDescent="0.55000000000000004">
      <c r="A37" s="722">
        <v>31</v>
      </c>
      <c r="B37" s="723" t="s">
        <v>487</v>
      </c>
      <c r="C37" s="722">
        <v>1600600094</v>
      </c>
      <c r="D37" s="722" t="s">
        <v>15</v>
      </c>
      <c r="E37" s="724" t="s">
        <v>444</v>
      </c>
      <c r="F37" s="722">
        <v>2000469732</v>
      </c>
      <c r="G37" s="673" t="s">
        <v>531</v>
      </c>
      <c r="H37" s="668">
        <v>2559120</v>
      </c>
      <c r="I37" s="726">
        <v>2559120</v>
      </c>
      <c r="J37" s="727">
        <f t="shared" si="6"/>
        <v>0</v>
      </c>
      <c r="K37" s="727">
        <f t="shared" si="7"/>
        <v>100</v>
      </c>
      <c r="L37" s="669" t="s">
        <v>363</v>
      </c>
      <c r="M37" s="728" t="s">
        <v>528</v>
      </c>
      <c r="N37" s="729" t="s">
        <v>529</v>
      </c>
      <c r="O37" s="729" t="s">
        <v>530</v>
      </c>
      <c r="P37" s="729"/>
    </row>
    <row r="38" spans="1:18" s="730" customFormat="1" ht="24" x14ac:dyDescent="0.55000000000000004">
      <c r="A38" s="722">
        <v>32</v>
      </c>
      <c r="B38" s="723" t="s">
        <v>486</v>
      </c>
      <c r="C38" s="722">
        <v>1600600420</v>
      </c>
      <c r="D38" s="722" t="s">
        <v>15</v>
      </c>
      <c r="E38" s="724" t="s">
        <v>479</v>
      </c>
      <c r="F38" s="722">
        <v>7014653159</v>
      </c>
      <c r="G38" s="725" t="s">
        <v>663</v>
      </c>
      <c r="H38" s="668">
        <v>3869000</v>
      </c>
      <c r="I38" s="726">
        <v>3869000</v>
      </c>
      <c r="J38" s="727">
        <f t="shared" si="6"/>
        <v>0</v>
      </c>
      <c r="K38" s="727">
        <f t="shared" si="7"/>
        <v>100</v>
      </c>
      <c r="L38" s="669" t="s">
        <v>363</v>
      </c>
      <c r="M38" s="728" t="s">
        <v>549</v>
      </c>
      <c r="N38" s="729" t="s">
        <v>550</v>
      </c>
      <c r="O38" s="729" t="s">
        <v>551</v>
      </c>
      <c r="P38" s="729" t="s">
        <v>552</v>
      </c>
    </row>
    <row r="39" spans="1:18" s="730" customFormat="1" ht="29.25" customHeight="1" x14ac:dyDescent="0.55000000000000004">
      <c r="A39" s="722">
        <v>33</v>
      </c>
      <c r="B39" s="723" t="s">
        <v>553</v>
      </c>
      <c r="C39" s="722">
        <v>1600600456</v>
      </c>
      <c r="D39" s="722" t="s">
        <v>15</v>
      </c>
      <c r="E39" s="724" t="s">
        <v>432</v>
      </c>
      <c r="F39" s="722">
        <v>7014571829</v>
      </c>
      <c r="G39" s="725" t="s">
        <v>554</v>
      </c>
      <c r="H39" s="668">
        <v>2642900</v>
      </c>
      <c r="I39" s="726">
        <v>2642900</v>
      </c>
      <c r="J39" s="727">
        <f t="shared" si="6"/>
        <v>0</v>
      </c>
      <c r="K39" s="727">
        <f t="shared" si="7"/>
        <v>100</v>
      </c>
      <c r="L39" s="669" t="s">
        <v>363</v>
      </c>
      <c r="M39" s="728" t="s">
        <v>555</v>
      </c>
      <c r="N39" s="729" t="s">
        <v>556</v>
      </c>
      <c r="O39" s="729" t="s">
        <v>557</v>
      </c>
      <c r="P39" s="729" t="s">
        <v>558</v>
      </c>
    </row>
    <row r="40" spans="1:18" s="88" customFormat="1" ht="37.5" customHeight="1" x14ac:dyDescent="0.5">
      <c r="A40" s="1119" t="s">
        <v>659</v>
      </c>
      <c r="B40" s="1120"/>
      <c r="C40" s="1120"/>
      <c r="D40" s="1120"/>
      <c r="E40" s="1120"/>
      <c r="F40" s="1120"/>
      <c r="G40" s="1121"/>
      <c r="H40" s="739">
        <f>SUM(H22:H39)</f>
        <v>79042218.230000004</v>
      </c>
      <c r="I40" s="739">
        <f>SUM(I22:I39)</f>
        <v>58179870.840000004</v>
      </c>
      <c r="J40" s="739">
        <f>SUM(J22:J39)</f>
        <v>20862347.390000001</v>
      </c>
      <c r="K40" s="740">
        <f t="shared" si="7"/>
        <v>73.606070455545705</v>
      </c>
      <c r="L40" s="674"/>
      <c r="M40" s="121"/>
      <c r="N40" s="107"/>
      <c r="O40" s="107"/>
      <c r="P40" s="107"/>
    </row>
    <row r="41" spans="1:18" s="730" customFormat="1" ht="78" customHeight="1" x14ac:dyDescent="0.55000000000000004">
      <c r="A41" s="722">
        <v>34</v>
      </c>
      <c r="B41" s="723" t="s">
        <v>112</v>
      </c>
      <c r="C41" s="722">
        <v>1600600011</v>
      </c>
      <c r="D41" s="722" t="s">
        <v>16</v>
      </c>
      <c r="E41" s="724" t="s">
        <v>397</v>
      </c>
      <c r="F41" s="722">
        <v>7015076230</v>
      </c>
      <c r="G41" s="738" t="s">
        <v>646</v>
      </c>
      <c r="H41" s="668">
        <v>1620000</v>
      </c>
      <c r="I41" s="726">
        <v>1620000</v>
      </c>
      <c r="J41" s="727">
        <f>+H41-I41</f>
        <v>0</v>
      </c>
      <c r="K41" s="727">
        <f>+I41*100/H41</f>
        <v>100</v>
      </c>
      <c r="L41" s="669" t="s">
        <v>363</v>
      </c>
      <c r="M41" s="728" t="s">
        <v>609</v>
      </c>
      <c r="N41" s="729" t="s">
        <v>607</v>
      </c>
      <c r="O41" s="729" t="s">
        <v>610</v>
      </c>
      <c r="P41" s="729" t="s">
        <v>604</v>
      </c>
    </row>
    <row r="42" spans="1:18" s="730" customFormat="1" ht="29.25" customHeight="1" x14ac:dyDescent="0.55000000000000004">
      <c r="A42" s="722">
        <v>35</v>
      </c>
      <c r="B42" s="723" t="s">
        <v>112</v>
      </c>
      <c r="C42" s="722">
        <v>1600600011</v>
      </c>
      <c r="D42" s="722" t="s">
        <v>16</v>
      </c>
      <c r="E42" s="724" t="s">
        <v>424</v>
      </c>
      <c r="F42" s="722">
        <v>7015167313</v>
      </c>
      <c r="G42" s="725" t="s">
        <v>645</v>
      </c>
      <c r="H42" s="668">
        <v>56300</v>
      </c>
      <c r="I42" s="726">
        <v>56300</v>
      </c>
      <c r="J42" s="727">
        <f>+H42-I42</f>
        <v>0</v>
      </c>
      <c r="K42" s="727">
        <f>+I42*100/H42</f>
        <v>100</v>
      </c>
      <c r="L42" s="669" t="s">
        <v>363</v>
      </c>
      <c r="M42" s="728" t="s">
        <v>611</v>
      </c>
      <c r="N42" s="729" t="s">
        <v>612</v>
      </c>
      <c r="O42" s="729" t="s">
        <v>613</v>
      </c>
      <c r="P42" s="729" t="s">
        <v>614</v>
      </c>
    </row>
    <row r="43" spans="1:18" s="719" customFormat="1" ht="34.5" customHeight="1" x14ac:dyDescent="0.55000000000000004">
      <c r="A43" s="1124" t="s">
        <v>362</v>
      </c>
      <c r="B43" s="1125"/>
      <c r="C43" s="1125"/>
      <c r="D43" s="1125"/>
      <c r="E43" s="1125"/>
      <c r="F43" s="1125"/>
      <c r="G43" s="1126"/>
      <c r="H43" s="741">
        <f>SUM(H41:H42)</f>
        <v>1676300</v>
      </c>
      <c r="I43" s="672">
        <f>SUM(I41:I42)</f>
        <v>1676300</v>
      </c>
      <c r="J43" s="672">
        <f>SUM(J41:J42)</f>
        <v>0</v>
      </c>
      <c r="K43" s="727">
        <f>+I43*100/H43</f>
        <v>100</v>
      </c>
      <c r="L43" s="669"/>
    </row>
    <row r="44" spans="1:18" s="743" customFormat="1" ht="42" customHeight="1" x14ac:dyDescent="0.65">
      <c r="A44" s="1112" t="s">
        <v>488</v>
      </c>
      <c r="B44" s="1113"/>
      <c r="C44" s="1113"/>
      <c r="D44" s="1113"/>
      <c r="E44" s="1113"/>
      <c r="F44" s="1113"/>
      <c r="G44" s="1114"/>
      <c r="H44" s="686">
        <f>+H21+H40+H43</f>
        <v>94458430.790000007</v>
      </c>
      <c r="I44" s="686">
        <f>+I21+I40+I43</f>
        <v>72551709.590000004</v>
      </c>
      <c r="J44" s="686">
        <f>+J21+J40+J43</f>
        <v>21906721.199999999</v>
      </c>
      <c r="K44" s="801">
        <f>+I44*100/H44</f>
        <v>76.808082648860605</v>
      </c>
      <c r="L44" s="742"/>
      <c r="R44" s="743" t="s">
        <v>183</v>
      </c>
    </row>
    <row r="45" spans="1:18" hidden="1" x14ac:dyDescent="0.65"/>
    <row r="46" spans="1:18" hidden="1" x14ac:dyDescent="0.65">
      <c r="H46" s="747"/>
      <c r="I46" s="747"/>
      <c r="K46" s="749"/>
      <c r="L46" s="750"/>
    </row>
    <row r="47" spans="1:18" hidden="1" x14ac:dyDescent="0.65"/>
    <row r="48" spans="1:18" hidden="1" x14ac:dyDescent="0.65"/>
    <row r="49" hidden="1" x14ac:dyDescent="0.65"/>
    <row r="50" hidden="1" x14ac:dyDescent="0.65"/>
    <row r="51" hidden="1" x14ac:dyDescent="0.65"/>
    <row r="52" hidden="1" x14ac:dyDescent="0.65"/>
    <row r="53" hidden="1" x14ac:dyDescent="0.65"/>
    <row r="54" hidden="1" x14ac:dyDescent="0.65"/>
    <row r="55" hidden="1" x14ac:dyDescent="0.65"/>
    <row r="56" hidden="1" x14ac:dyDescent="0.65"/>
    <row r="57" hidden="1" x14ac:dyDescent="0.65"/>
    <row r="58" hidden="1" x14ac:dyDescent="0.65"/>
    <row r="59" hidden="1" x14ac:dyDescent="0.65"/>
    <row r="60" hidden="1" x14ac:dyDescent="0.65"/>
    <row r="61" hidden="1" x14ac:dyDescent="0.65"/>
    <row r="62" hidden="1" x14ac:dyDescent="0.65"/>
    <row r="63" hidden="1" x14ac:dyDescent="0.65"/>
    <row r="64" hidden="1" x14ac:dyDescent="0.65"/>
    <row r="65" hidden="1" x14ac:dyDescent="0.65"/>
    <row r="66" hidden="1" x14ac:dyDescent="0.65"/>
    <row r="67" hidden="1" x14ac:dyDescent="0.65"/>
    <row r="68" hidden="1" x14ac:dyDescent="0.65"/>
    <row r="69" hidden="1" x14ac:dyDescent="0.65"/>
    <row r="70" hidden="1" x14ac:dyDescent="0.65"/>
    <row r="71" hidden="1" x14ac:dyDescent="0.65"/>
    <row r="72" hidden="1" x14ac:dyDescent="0.65"/>
    <row r="73" hidden="1" x14ac:dyDescent="0.65"/>
    <row r="74" hidden="1" x14ac:dyDescent="0.65"/>
    <row r="75" hidden="1" x14ac:dyDescent="0.65"/>
    <row r="76" hidden="1" x14ac:dyDescent="0.65"/>
    <row r="77" hidden="1" x14ac:dyDescent="0.65"/>
    <row r="78" hidden="1" x14ac:dyDescent="0.65"/>
    <row r="79" hidden="1" x14ac:dyDescent="0.65"/>
    <row r="80" hidden="1" x14ac:dyDescent="0.65"/>
    <row r="81" hidden="1" x14ac:dyDescent="0.65"/>
    <row r="82" hidden="1" x14ac:dyDescent="0.65"/>
    <row r="83" hidden="1" x14ac:dyDescent="0.65"/>
    <row r="84" hidden="1" x14ac:dyDescent="0.65"/>
    <row r="85" hidden="1" x14ac:dyDescent="0.65"/>
    <row r="86" hidden="1" x14ac:dyDescent="0.65"/>
    <row r="87" hidden="1" x14ac:dyDescent="0.65"/>
    <row r="88" hidden="1" x14ac:dyDescent="0.65"/>
    <row r="89" hidden="1" x14ac:dyDescent="0.65"/>
    <row r="90" hidden="1" x14ac:dyDescent="0.65"/>
    <row r="91" hidden="1" x14ac:dyDescent="0.65"/>
    <row r="92" hidden="1" x14ac:dyDescent="0.65"/>
    <row r="93" hidden="1" x14ac:dyDescent="0.65"/>
    <row r="94" hidden="1" x14ac:dyDescent="0.65"/>
    <row r="95" hidden="1" x14ac:dyDescent="0.65"/>
    <row r="96" hidden="1" x14ac:dyDescent="0.65"/>
    <row r="97" hidden="1" x14ac:dyDescent="0.65"/>
    <row r="98" hidden="1" x14ac:dyDescent="0.65"/>
    <row r="99" hidden="1" x14ac:dyDescent="0.65"/>
    <row r="100" hidden="1" x14ac:dyDescent="0.65"/>
    <row r="101" hidden="1" x14ac:dyDescent="0.65"/>
    <row r="102" hidden="1" x14ac:dyDescent="0.65"/>
    <row r="103" hidden="1" x14ac:dyDescent="0.65"/>
    <row r="104" hidden="1" x14ac:dyDescent="0.65"/>
    <row r="105" hidden="1" x14ac:dyDescent="0.65"/>
    <row r="106" hidden="1" x14ac:dyDescent="0.65"/>
    <row r="107" hidden="1" x14ac:dyDescent="0.65"/>
    <row r="108" hidden="1" x14ac:dyDescent="0.65"/>
    <row r="109" hidden="1" x14ac:dyDescent="0.65"/>
    <row r="110" hidden="1" x14ac:dyDescent="0.65"/>
    <row r="111" hidden="1" x14ac:dyDescent="0.65"/>
    <row r="112" hidden="1" x14ac:dyDescent="0.65"/>
    <row r="113" hidden="1" x14ac:dyDescent="0.65"/>
    <row r="114" hidden="1" x14ac:dyDescent="0.65"/>
    <row r="115" hidden="1" x14ac:dyDescent="0.65"/>
    <row r="116" hidden="1" x14ac:dyDescent="0.65"/>
    <row r="117" hidden="1" x14ac:dyDescent="0.65"/>
    <row r="118" hidden="1" x14ac:dyDescent="0.65"/>
    <row r="119" hidden="1" x14ac:dyDescent="0.65"/>
    <row r="120" hidden="1" x14ac:dyDescent="0.65"/>
    <row r="121" hidden="1" x14ac:dyDescent="0.65"/>
    <row r="122" hidden="1" x14ac:dyDescent="0.65"/>
    <row r="123" hidden="1" x14ac:dyDescent="0.65"/>
    <row r="124" hidden="1" x14ac:dyDescent="0.65"/>
    <row r="125" hidden="1" x14ac:dyDescent="0.65"/>
    <row r="126" hidden="1" x14ac:dyDescent="0.65"/>
    <row r="127" hidden="1" x14ac:dyDescent="0.65"/>
    <row r="128" hidden="1" x14ac:dyDescent="0.65"/>
    <row r="129" hidden="1" x14ac:dyDescent="0.65"/>
    <row r="130" hidden="1" x14ac:dyDescent="0.65"/>
    <row r="131" hidden="1" x14ac:dyDescent="0.65"/>
    <row r="132" hidden="1" x14ac:dyDescent="0.65"/>
    <row r="133" hidden="1" x14ac:dyDescent="0.65"/>
    <row r="134" hidden="1" x14ac:dyDescent="0.65"/>
    <row r="135" hidden="1" x14ac:dyDescent="0.65"/>
    <row r="136" hidden="1" x14ac:dyDescent="0.65"/>
    <row r="137" hidden="1" x14ac:dyDescent="0.65"/>
    <row r="138" hidden="1" x14ac:dyDescent="0.65"/>
    <row r="139" hidden="1" x14ac:dyDescent="0.65"/>
    <row r="140" hidden="1" x14ac:dyDescent="0.65"/>
    <row r="141" hidden="1" x14ac:dyDescent="0.65"/>
    <row r="142" hidden="1" x14ac:dyDescent="0.65"/>
    <row r="143" hidden="1" x14ac:dyDescent="0.65"/>
    <row r="144" hidden="1" x14ac:dyDescent="0.65"/>
    <row r="145" hidden="1" x14ac:dyDescent="0.65"/>
    <row r="146" hidden="1" x14ac:dyDescent="0.65"/>
    <row r="147" hidden="1" x14ac:dyDescent="0.65"/>
    <row r="148" hidden="1" x14ac:dyDescent="0.65"/>
    <row r="149" hidden="1" x14ac:dyDescent="0.65"/>
    <row r="150" hidden="1" x14ac:dyDescent="0.65"/>
    <row r="151" hidden="1" x14ac:dyDescent="0.65"/>
    <row r="152" hidden="1" x14ac:dyDescent="0.65"/>
    <row r="153" hidden="1" x14ac:dyDescent="0.65"/>
    <row r="154" hidden="1" x14ac:dyDescent="0.65"/>
    <row r="155" hidden="1" x14ac:dyDescent="0.65"/>
    <row r="156" hidden="1" x14ac:dyDescent="0.65"/>
    <row r="157" hidden="1" x14ac:dyDescent="0.65"/>
    <row r="158" hidden="1" x14ac:dyDescent="0.65"/>
    <row r="159" hidden="1" x14ac:dyDescent="0.65"/>
    <row r="160" hidden="1" x14ac:dyDescent="0.65"/>
    <row r="161" hidden="1" x14ac:dyDescent="0.65"/>
    <row r="162" hidden="1" x14ac:dyDescent="0.65"/>
    <row r="163" hidden="1" x14ac:dyDescent="0.65"/>
    <row r="164" hidden="1" x14ac:dyDescent="0.65"/>
    <row r="165" hidden="1" x14ac:dyDescent="0.65"/>
    <row r="166" hidden="1" x14ac:dyDescent="0.65"/>
    <row r="167" hidden="1" x14ac:dyDescent="0.65"/>
    <row r="168" hidden="1" x14ac:dyDescent="0.65"/>
    <row r="169" hidden="1" x14ac:dyDescent="0.65"/>
    <row r="170" hidden="1" x14ac:dyDescent="0.65"/>
    <row r="171" hidden="1" x14ac:dyDescent="0.65"/>
    <row r="172" hidden="1" x14ac:dyDescent="0.65"/>
    <row r="173" hidden="1" x14ac:dyDescent="0.65"/>
    <row r="174" hidden="1" x14ac:dyDescent="0.65"/>
    <row r="175" hidden="1" x14ac:dyDescent="0.65"/>
    <row r="176" hidden="1" x14ac:dyDescent="0.65"/>
    <row r="193" spans="5:5" x14ac:dyDescent="0.65">
      <c r="E193" s="296"/>
    </row>
  </sheetData>
  <sortState xmlns:xlrd2="http://schemas.microsoft.com/office/spreadsheetml/2017/richdata2" ref="A1:M36">
    <sortCondition ref="D1:D36"/>
  </sortState>
  <mergeCells count="18">
    <mergeCell ref="M4:M5"/>
    <mergeCell ref="N4:N5"/>
    <mergeCell ref="O4:O5"/>
    <mergeCell ref="B4:B5"/>
    <mergeCell ref="C4:C5"/>
    <mergeCell ref="D4:D5"/>
    <mergeCell ref="E4:E5"/>
    <mergeCell ref="F4:F5"/>
    <mergeCell ref="G4:G5"/>
    <mergeCell ref="A44:G44"/>
    <mergeCell ref="H4:H5"/>
    <mergeCell ref="J4:J5"/>
    <mergeCell ref="A21:G21"/>
    <mergeCell ref="A1:L1"/>
    <mergeCell ref="A2:L2"/>
    <mergeCell ref="A3:L3"/>
    <mergeCell ref="A40:G40"/>
    <mergeCell ref="A43:G43"/>
  </mergeCells>
  <pageMargins left="0.25" right="0" top="0.75" bottom="0.75" header="0.3" footer="0.3"/>
  <pageSetup paperSize="9" scale="70" orientation="landscape" r:id="rId1"/>
  <headerFooter>
    <oddFooter>หน้าที่ &amp;P จาก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05"/>
  <sheetViews>
    <sheetView tabSelected="1" zoomScaleNormal="100" workbookViewId="0">
      <selection activeCell="A4" sqref="A4:I4"/>
    </sheetView>
  </sheetViews>
  <sheetFormatPr defaultRowHeight="27.75" x14ac:dyDescent="0.65"/>
  <cols>
    <col min="1" max="1" width="6.85546875" style="449" customWidth="1"/>
    <col min="2" max="2" width="4.7109375" style="449" customWidth="1"/>
    <col min="3" max="3" width="12.5703125" style="791" customWidth="1"/>
    <col min="4" max="4" width="20.7109375" style="449" bestFit="1" customWidth="1"/>
    <col min="5" max="5" width="17.85546875" style="449" customWidth="1"/>
    <col min="6" max="6" width="20.7109375" style="449" bestFit="1" customWidth="1"/>
    <col min="7" max="7" width="15.7109375" style="449" customWidth="1"/>
    <col min="8" max="8" width="13" style="791" customWidth="1"/>
    <col min="9" max="9" width="13.5703125" style="639" customWidth="1"/>
    <col min="10" max="10" width="14.5703125" style="449" hidden="1" customWidth="1"/>
    <col min="11" max="16384" width="9.140625" style="449"/>
  </cols>
  <sheetData>
    <row r="1" spans="1:10" ht="30.75" x14ac:dyDescent="0.7">
      <c r="A1" s="1132" t="s">
        <v>57</v>
      </c>
      <c r="B1" s="1132"/>
      <c r="C1" s="1132"/>
      <c r="D1" s="1132"/>
      <c r="E1" s="1132"/>
      <c r="F1" s="1132"/>
      <c r="G1" s="1132"/>
      <c r="H1" s="1132"/>
      <c r="I1" s="1132"/>
    </row>
    <row r="2" spans="1:10" ht="24.75" customHeight="1" x14ac:dyDescent="0.5">
      <c r="A2" s="1133" t="s">
        <v>1085</v>
      </c>
      <c r="B2" s="1133"/>
      <c r="C2" s="1133"/>
      <c r="D2" s="1133"/>
      <c r="E2" s="1133"/>
      <c r="F2" s="1133"/>
      <c r="G2" s="1133"/>
      <c r="H2" s="1133"/>
      <c r="I2" s="1133"/>
    </row>
    <row r="3" spans="1:10" ht="24.75" hidden="1" customHeight="1" x14ac:dyDescent="0.65">
      <c r="A3" s="1134" t="s">
        <v>259</v>
      </c>
      <c r="B3" s="1134"/>
      <c r="C3" s="1134"/>
      <c r="D3" s="1134"/>
      <c r="E3" s="1134"/>
      <c r="F3" s="1134"/>
      <c r="G3" s="1134"/>
      <c r="H3" s="1134"/>
    </row>
    <row r="4" spans="1:10" ht="30.75" x14ac:dyDescent="0.5">
      <c r="A4" s="1134" t="s">
        <v>285</v>
      </c>
      <c r="B4" s="1134"/>
      <c r="C4" s="1134"/>
      <c r="D4" s="1134"/>
      <c r="E4" s="1134"/>
      <c r="F4" s="1134"/>
      <c r="G4" s="1134"/>
      <c r="H4" s="1134"/>
      <c r="I4" s="1134"/>
    </row>
    <row r="5" spans="1:10" ht="30.75" x14ac:dyDescent="0.5">
      <c r="A5" s="1135" t="str">
        <f>+รายจ่ายจริง!A3:P3</f>
        <v>ตั้งแต่วันที่ 1  ตุลาคม 2564 ถึงวันที่ 31 ตุลาคม 2564</v>
      </c>
      <c r="B5" s="1135"/>
      <c r="C5" s="1135"/>
      <c r="D5" s="1135"/>
      <c r="E5" s="1135"/>
      <c r="F5" s="1135"/>
      <c r="G5" s="1135"/>
      <c r="H5" s="1135"/>
      <c r="I5" s="1135"/>
    </row>
    <row r="6" spans="1:10" ht="28.5" x14ac:dyDescent="0.5">
      <c r="A6" s="1139" t="s">
        <v>0</v>
      </c>
      <c r="B6" s="1139" t="s">
        <v>1</v>
      </c>
      <c r="C6" s="1139"/>
      <c r="D6" s="770" t="s">
        <v>67</v>
      </c>
      <c r="E6" s="771" t="s">
        <v>109</v>
      </c>
      <c r="F6" s="770" t="s">
        <v>110</v>
      </c>
      <c r="G6" s="770" t="s">
        <v>60</v>
      </c>
      <c r="H6" s="772" t="s">
        <v>66</v>
      </c>
      <c r="I6" s="773" t="s">
        <v>66</v>
      </c>
    </row>
    <row r="7" spans="1:10" ht="28.5" x14ac:dyDescent="0.5">
      <c r="A7" s="1139"/>
      <c r="B7" s="1139"/>
      <c r="C7" s="1139"/>
      <c r="D7" s="774" t="s">
        <v>2</v>
      </c>
      <c r="E7" s="774" t="s">
        <v>2</v>
      </c>
      <c r="F7" s="774" t="s">
        <v>2</v>
      </c>
      <c r="G7" s="774" t="s">
        <v>2</v>
      </c>
      <c r="H7" s="775" t="s">
        <v>111</v>
      </c>
      <c r="I7" s="775" t="s">
        <v>787</v>
      </c>
    </row>
    <row r="8" spans="1:10" ht="26.25" customHeight="1" x14ac:dyDescent="0.5">
      <c r="A8" s="273">
        <v>1</v>
      </c>
      <c r="B8" s="776" t="s">
        <v>112</v>
      </c>
      <c r="C8" s="777"/>
      <c r="D8" s="275">
        <f>+'2. สุรปเบิกจ่าย แยกงบ (GF)'!X7</f>
        <v>531650689</v>
      </c>
      <c r="E8" s="275">
        <f>+'2. สุรปเบิกจ่าย แยกงบ (GF)'!Y7</f>
        <v>7231758.4000000004</v>
      </c>
      <c r="F8" s="275">
        <f>+'2. สุรปเบิกจ่าย แยกงบ (GF)'!Z7</f>
        <v>74113798.609999985</v>
      </c>
      <c r="G8" s="778">
        <f>+D8-E8-F8</f>
        <v>450305131.99000001</v>
      </c>
      <c r="H8" s="779">
        <f>F8*100/D8</f>
        <v>13.940318360050123</v>
      </c>
      <c r="I8" s="780">
        <f>+J8*100/D8</f>
        <v>15.300564579913484</v>
      </c>
      <c r="J8" s="781">
        <f>+E8+F8</f>
        <v>81345557.00999999</v>
      </c>
    </row>
    <row r="9" spans="1:10" ht="26.25" customHeight="1" x14ac:dyDescent="0.5">
      <c r="A9" s="273">
        <v>2</v>
      </c>
      <c r="B9" s="74" t="s">
        <v>113</v>
      </c>
      <c r="C9" s="274" t="s">
        <v>114</v>
      </c>
      <c r="D9" s="275">
        <f>+'2. สุรปเบิกจ่าย แยกงบ (GF)'!X8</f>
        <v>13051247</v>
      </c>
      <c r="E9" s="275">
        <f>+'2. สุรปเบิกจ่าย แยกงบ (GF)'!Y8</f>
        <v>8400</v>
      </c>
      <c r="F9" s="275">
        <f>+'2. สุรปเบิกจ่าย แยกงบ (GF)'!Z8</f>
        <v>1319776.6399999999</v>
      </c>
      <c r="G9" s="778">
        <f t="shared" ref="G9:G72" si="0">+D9-E9-F9</f>
        <v>11723070.359999999</v>
      </c>
      <c r="H9" s="779">
        <f t="shared" ref="H9:H72" si="1">F9*100/D9</f>
        <v>10.112264674785481</v>
      </c>
      <c r="I9" s="780">
        <f t="shared" ref="I9:I72" si="2">+J9*100/D9</f>
        <v>10.176626340762686</v>
      </c>
      <c r="J9" s="781">
        <f t="shared" ref="J9:J72" si="3">+E9+F9</f>
        <v>1328176.6399999999</v>
      </c>
    </row>
    <row r="10" spans="1:10" ht="26.25" customHeight="1" x14ac:dyDescent="0.5">
      <c r="A10" s="273">
        <v>3</v>
      </c>
      <c r="B10" s="74" t="s">
        <v>115</v>
      </c>
      <c r="C10" s="274" t="s">
        <v>18</v>
      </c>
      <c r="D10" s="275">
        <f>+'2. สุรปเบิกจ่าย แยกงบ (GF)'!X9</f>
        <v>11511105</v>
      </c>
      <c r="E10" s="275">
        <f>+'2. สุรปเบิกจ่าย แยกงบ (GF)'!Y9</f>
        <v>1137792.3999999999</v>
      </c>
      <c r="F10" s="275">
        <f>+'2. สุรปเบิกจ่าย แยกงบ (GF)'!Z9</f>
        <v>1258411.31</v>
      </c>
      <c r="G10" s="778">
        <f t="shared" si="0"/>
        <v>9114901.2899999991</v>
      </c>
      <c r="H10" s="779">
        <f t="shared" si="1"/>
        <v>10.932150388689879</v>
      </c>
      <c r="I10" s="780">
        <f t="shared" si="2"/>
        <v>20.8164525473445</v>
      </c>
      <c r="J10" s="781">
        <f t="shared" si="3"/>
        <v>2396203.71</v>
      </c>
    </row>
    <row r="11" spans="1:10" ht="26.25" customHeight="1" x14ac:dyDescent="0.5">
      <c r="A11" s="273">
        <v>4</v>
      </c>
      <c r="B11" s="74" t="s">
        <v>115</v>
      </c>
      <c r="C11" s="274" t="s">
        <v>76</v>
      </c>
      <c r="D11" s="275">
        <f>+'2. สุรปเบิกจ่าย แยกงบ (GF)'!X10</f>
        <v>4928359</v>
      </c>
      <c r="E11" s="275">
        <f>+'2. สุรปเบิกจ่าย แยกงบ (GF)'!Y10</f>
        <v>12500</v>
      </c>
      <c r="F11" s="275">
        <f>+'2. สุรปเบิกจ่าย แยกงบ (GF)'!Z10</f>
        <v>383184.63</v>
      </c>
      <c r="G11" s="778">
        <f t="shared" si="0"/>
        <v>4532674.37</v>
      </c>
      <c r="H11" s="779">
        <f t="shared" si="1"/>
        <v>7.7750957265897229</v>
      </c>
      <c r="I11" s="780">
        <f t="shared" si="2"/>
        <v>8.028729846993695</v>
      </c>
      <c r="J11" s="781">
        <f t="shared" si="3"/>
        <v>395684.63</v>
      </c>
    </row>
    <row r="12" spans="1:10" ht="26.25" customHeight="1" x14ac:dyDescent="0.5">
      <c r="A12" s="273">
        <v>5</v>
      </c>
      <c r="B12" s="74" t="s">
        <v>115</v>
      </c>
      <c r="C12" s="274" t="s">
        <v>116</v>
      </c>
      <c r="D12" s="275">
        <f>+'2. สุรปเบิกจ่าย แยกงบ (GF)'!X11</f>
        <v>5119955</v>
      </c>
      <c r="E12" s="275">
        <f>+'2. สุรปเบิกจ่าย แยกงบ (GF)'!Y11</f>
        <v>0</v>
      </c>
      <c r="F12" s="275">
        <f>+'2. สุรปเบิกจ่าย แยกงบ (GF)'!Z11</f>
        <v>524248.22</v>
      </c>
      <c r="G12" s="778">
        <f t="shared" si="0"/>
        <v>4595706.78</v>
      </c>
      <c r="H12" s="779">
        <f t="shared" si="1"/>
        <v>10.239313040837272</v>
      </c>
      <c r="I12" s="780">
        <f t="shared" si="2"/>
        <v>10.239313040837272</v>
      </c>
      <c r="J12" s="781">
        <f t="shared" si="3"/>
        <v>524248.22</v>
      </c>
    </row>
    <row r="13" spans="1:10" ht="26.25" customHeight="1" x14ac:dyDescent="0.5">
      <c r="A13" s="273">
        <v>6</v>
      </c>
      <c r="B13" s="74" t="s">
        <v>115</v>
      </c>
      <c r="C13" s="274" t="s">
        <v>73</v>
      </c>
      <c r="D13" s="275">
        <f>+'2. สุรปเบิกจ่าย แยกงบ (GF)'!X12</f>
        <v>4833961</v>
      </c>
      <c r="E13" s="275">
        <f>+'2. สุรปเบิกจ่าย แยกงบ (GF)'!Y12</f>
        <v>0</v>
      </c>
      <c r="F13" s="275">
        <f>+'2. สุรปเบิกจ่าย แยกงบ (GF)'!Z12</f>
        <v>505543.75</v>
      </c>
      <c r="G13" s="778">
        <f t="shared" si="0"/>
        <v>4328417.25</v>
      </c>
      <c r="H13" s="779">
        <f t="shared" si="1"/>
        <v>10.458167742768302</v>
      </c>
      <c r="I13" s="780">
        <f t="shared" si="2"/>
        <v>10.458167742768302</v>
      </c>
      <c r="J13" s="781">
        <f t="shared" si="3"/>
        <v>505543.75</v>
      </c>
    </row>
    <row r="14" spans="1:10" ht="26.25" customHeight="1" x14ac:dyDescent="0.5">
      <c r="A14" s="273">
        <v>7</v>
      </c>
      <c r="B14" s="74" t="s">
        <v>115</v>
      </c>
      <c r="C14" s="274" t="s">
        <v>106</v>
      </c>
      <c r="D14" s="275">
        <f>+'2. สุรปเบิกจ่าย แยกงบ (GF)'!X13</f>
        <v>8122643</v>
      </c>
      <c r="E14" s="275">
        <f>+'2. สุรปเบิกจ่าย แยกงบ (GF)'!Y13</f>
        <v>0</v>
      </c>
      <c r="F14" s="275">
        <f>+'2. สุรปเบิกจ่าย แยกงบ (GF)'!Z13</f>
        <v>453966.45</v>
      </c>
      <c r="G14" s="778">
        <f t="shared" si="0"/>
        <v>7668676.5499999998</v>
      </c>
      <c r="H14" s="779">
        <f t="shared" si="1"/>
        <v>5.5889006817116051</v>
      </c>
      <c r="I14" s="780">
        <f t="shared" si="2"/>
        <v>5.5889006817116051</v>
      </c>
      <c r="J14" s="781">
        <f t="shared" si="3"/>
        <v>453966.45</v>
      </c>
    </row>
    <row r="15" spans="1:10" ht="26.25" customHeight="1" x14ac:dyDescent="0.5">
      <c r="A15" s="273">
        <v>8</v>
      </c>
      <c r="B15" s="74" t="s">
        <v>115</v>
      </c>
      <c r="C15" s="274" t="s">
        <v>117</v>
      </c>
      <c r="D15" s="275">
        <f>+'2. สุรปเบิกจ่าย แยกงบ (GF)'!X14</f>
        <v>9445520</v>
      </c>
      <c r="E15" s="275">
        <f>+'2. สุรปเบิกจ่าย แยกงบ (GF)'!Y14</f>
        <v>378479.3</v>
      </c>
      <c r="F15" s="275">
        <f>+'2. สุรปเบิกจ่าย แยกงบ (GF)'!Z14</f>
        <v>771984.03</v>
      </c>
      <c r="G15" s="778">
        <f t="shared" si="0"/>
        <v>8295056.669999999</v>
      </c>
      <c r="H15" s="779">
        <f t="shared" si="1"/>
        <v>8.17301779044457</v>
      </c>
      <c r="I15" s="780">
        <f t="shared" si="2"/>
        <v>12.179989349448205</v>
      </c>
      <c r="J15" s="781">
        <f t="shared" si="3"/>
        <v>1150463.33</v>
      </c>
    </row>
    <row r="16" spans="1:10" ht="26.25" customHeight="1" x14ac:dyDescent="0.5">
      <c r="A16" s="273">
        <v>9</v>
      </c>
      <c r="B16" s="74" t="s">
        <v>115</v>
      </c>
      <c r="C16" s="274" t="s">
        <v>118</v>
      </c>
      <c r="D16" s="275">
        <f>+'2. สุรปเบิกจ่าย แยกงบ (GF)'!X15</f>
        <v>8976659</v>
      </c>
      <c r="E16" s="275">
        <f>+'2. สุรปเบิกจ่าย แยกงบ (GF)'!Y15</f>
        <v>5500</v>
      </c>
      <c r="F16" s="275">
        <f>+'2. สุรปเบิกจ่าย แยกงบ (GF)'!Z15</f>
        <v>943650.34000000008</v>
      </c>
      <c r="G16" s="778">
        <f t="shared" si="0"/>
        <v>8027508.6600000001</v>
      </c>
      <c r="H16" s="779">
        <f t="shared" si="1"/>
        <v>10.512266757598793</v>
      </c>
      <c r="I16" s="780">
        <f t="shared" si="2"/>
        <v>10.573536769080793</v>
      </c>
      <c r="J16" s="781">
        <f t="shared" si="3"/>
        <v>949150.34000000008</v>
      </c>
    </row>
    <row r="17" spans="1:10" ht="26.25" customHeight="1" x14ac:dyDescent="0.5">
      <c r="A17" s="273">
        <v>10</v>
      </c>
      <c r="B17" s="74" t="s">
        <v>115</v>
      </c>
      <c r="C17" s="274" t="s">
        <v>119</v>
      </c>
      <c r="D17" s="275">
        <f>+'2. สุรปเบิกจ่าย แยกงบ (GF)'!X16</f>
        <v>15226601</v>
      </c>
      <c r="E17" s="275">
        <f>+'2. สุรปเบิกจ่าย แยกงบ (GF)'!Y16</f>
        <v>0</v>
      </c>
      <c r="F17" s="275">
        <f>+'2. สุรปเบิกจ่าย แยกงบ (GF)'!Z16</f>
        <v>1335919.22</v>
      </c>
      <c r="G17" s="778">
        <f t="shared" si="0"/>
        <v>13890681.779999999</v>
      </c>
      <c r="H17" s="779">
        <f t="shared" si="1"/>
        <v>8.7735878808409051</v>
      </c>
      <c r="I17" s="780">
        <f t="shared" si="2"/>
        <v>8.7735878808409051</v>
      </c>
      <c r="J17" s="781">
        <f t="shared" si="3"/>
        <v>1335919.22</v>
      </c>
    </row>
    <row r="18" spans="1:10" ht="26.25" customHeight="1" x14ac:dyDescent="0.5">
      <c r="A18" s="273">
        <v>11</v>
      </c>
      <c r="B18" s="74" t="s">
        <v>115</v>
      </c>
      <c r="C18" s="274" t="s">
        <v>120</v>
      </c>
      <c r="D18" s="275">
        <f>+'2. สุรปเบิกจ่าย แยกงบ (GF)'!X17</f>
        <v>14367027</v>
      </c>
      <c r="E18" s="275">
        <f>+'2. สุรปเบิกจ่าย แยกงบ (GF)'!Y17</f>
        <v>3224017.85</v>
      </c>
      <c r="F18" s="275">
        <f>+'2. สุรปเบิกจ่าย แยกงบ (GF)'!Z17</f>
        <v>963239.13</v>
      </c>
      <c r="G18" s="778">
        <f t="shared" si="0"/>
        <v>10179770.02</v>
      </c>
      <c r="H18" s="779">
        <f t="shared" si="1"/>
        <v>6.7045125619935151</v>
      </c>
      <c r="I18" s="780">
        <f t="shared" si="2"/>
        <v>29.144909242531526</v>
      </c>
      <c r="J18" s="781">
        <f t="shared" si="3"/>
        <v>4187256.98</v>
      </c>
    </row>
    <row r="19" spans="1:10" ht="26.25" customHeight="1" x14ac:dyDescent="0.5">
      <c r="A19" s="273">
        <v>12</v>
      </c>
      <c r="B19" s="74" t="s">
        <v>115</v>
      </c>
      <c r="C19" s="274" t="s">
        <v>121</v>
      </c>
      <c r="D19" s="275">
        <f>+'2. สุรปเบิกจ่าย แยกงบ (GF)'!X18</f>
        <v>15535420</v>
      </c>
      <c r="E19" s="275">
        <f>+'2. สุรปเบิกจ่าย แยกงบ (GF)'!Y18</f>
        <v>23000</v>
      </c>
      <c r="F19" s="275">
        <f>+'2. สุรปเบิกจ่าย แยกงบ (GF)'!Z18</f>
        <v>1156071.44</v>
      </c>
      <c r="G19" s="778">
        <f t="shared" si="0"/>
        <v>14356348.560000001</v>
      </c>
      <c r="H19" s="779">
        <f t="shared" si="1"/>
        <v>7.4415203451210203</v>
      </c>
      <c r="I19" s="780">
        <f t="shared" si="2"/>
        <v>7.5895691265508107</v>
      </c>
      <c r="J19" s="781">
        <f t="shared" si="3"/>
        <v>1179071.44</v>
      </c>
    </row>
    <row r="20" spans="1:10" ht="26.25" customHeight="1" x14ac:dyDescent="0.5">
      <c r="A20" s="273">
        <v>13</v>
      </c>
      <c r="B20" s="74" t="s">
        <v>115</v>
      </c>
      <c r="C20" s="274" t="s">
        <v>122</v>
      </c>
      <c r="D20" s="275">
        <f>+'2. สุรปเบิกจ่าย แยกงบ (GF)'!X19</f>
        <v>11386585</v>
      </c>
      <c r="E20" s="275">
        <f>+'2. สุรปเบิกจ่าย แยกงบ (GF)'!Y19</f>
        <v>0</v>
      </c>
      <c r="F20" s="275">
        <f>+'2. สุรปเบิกจ่าย แยกงบ (GF)'!Z19</f>
        <v>855725.25</v>
      </c>
      <c r="G20" s="778">
        <f t="shared" si="0"/>
        <v>10530859.75</v>
      </c>
      <c r="H20" s="779">
        <f t="shared" si="1"/>
        <v>7.5152053930129181</v>
      </c>
      <c r="I20" s="780">
        <f t="shared" si="2"/>
        <v>7.5152053930129181</v>
      </c>
      <c r="J20" s="781">
        <f t="shared" si="3"/>
        <v>855725.25</v>
      </c>
    </row>
    <row r="21" spans="1:10" ht="26.25" customHeight="1" x14ac:dyDescent="0.5">
      <c r="A21" s="273">
        <v>14</v>
      </c>
      <c r="B21" s="74" t="s">
        <v>115</v>
      </c>
      <c r="C21" s="274" t="s">
        <v>123</v>
      </c>
      <c r="D21" s="275">
        <f>+'2. สุรปเบิกจ่าย แยกงบ (GF)'!X20</f>
        <v>16462732</v>
      </c>
      <c r="E21" s="275">
        <f>+'2. สุรปเบิกจ่าย แยกงบ (GF)'!Y20</f>
        <v>109500</v>
      </c>
      <c r="F21" s="275">
        <f>+'2. สุรปเบิกจ่าย แยกงบ (GF)'!Z20</f>
        <v>2104153.39</v>
      </c>
      <c r="G21" s="778">
        <f t="shared" si="0"/>
        <v>14249078.609999999</v>
      </c>
      <c r="H21" s="779">
        <f t="shared" si="1"/>
        <v>12.781313514670591</v>
      </c>
      <c r="I21" s="780">
        <f t="shared" si="2"/>
        <v>13.446452204895275</v>
      </c>
      <c r="J21" s="781">
        <f t="shared" si="3"/>
        <v>2213653.39</v>
      </c>
    </row>
    <row r="22" spans="1:10" ht="26.25" customHeight="1" x14ac:dyDescent="0.5">
      <c r="A22" s="273">
        <v>15</v>
      </c>
      <c r="B22" s="74" t="s">
        <v>115</v>
      </c>
      <c r="C22" s="274" t="s">
        <v>124</v>
      </c>
      <c r="D22" s="275">
        <f>+'2. สุรปเบิกจ่าย แยกงบ (GF)'!X21</f>
        <v>11844189</v>
      </c>
      <c r="E22" s="275">
        <f>+'2. สุรปเบิกจ่าย แยกงบ (GF)'!Y21</f>
        <v>120120</v>
      </c>
      <c r="F22" s="275">
        <f>+'2. สุรปเบิกจ่าย แยกงบ (GF)'!Z21</f>
        <v>1270129.05</v>
      </c>
      <c r="G22" s="778">
        <f t="shared" si="0"/>
        <v>10453939.949999999</v>
      </c>
      <c r="H22" s="779">
        <f t="shared" si="1"/>
        <v>10.723647267026895</v>
      </c>
      <c r="I22" s="780">
        <f t="shared" si="2"/>
        <v>11.737815480654691</v>
      </c>
      <c r="J22" s="781">
        <f t="shared" si="3"/>
        <v>1390249.05</v>
      </c>
    </row>
    <row r="23" spans="1:10" ht="26.25" customHeight="1" x14ac:dyDescent="0.5">
      <c r="A23" s="273">
        <v>16</v>
      </c>
      <c r="B23" s="74" t="s">
        <v>115</v>
      </c>
      <c r="C23" s="274" t="s">
        <v>125</v>
      </c>
      <c r="D23" s="275">
        <f>+'2. สุรปเบิกจ่าย แยกงบ (GF)'!X22</f>
        <v>9242140</v>
      </c>
      <c r="E23" s="275">
        <f>+'2. สุรปเบิกจ่าย แยกงบ (GF)'!Y22</f>
        <v>384984</v>
      </c>
      <c r="F23" s="275">
        <f>+'2. สุรปเบิกจ่าย แยกงบ (GF)'!Z22</f>
        <v>1113214.9300000002</v>
      </c>
      <c r="G23" s="778">
        <f t="shared" si="0"/>
        <v>7743941.0700000003</v>
      </c>
      <c r="H23" s="779">
        <f t="shared" si="1"/>
        <v>12.044990986935927</v>
      </c>
      <c r="I23" s="780">
        <f t="shared" si="2"/>
        <v>16.21051974975493</v>
      </c>
      <c r="J23" s="781">
        <f t="shared" si="3"/>
        <v>1498198.9300000002</v>
      </c>
    </row>
    <row r="24" spans="1:10" ht="26.25" customHeight="1" x14ac:dyDescent="0.5">
      <c r="A24" s="273">
        <v>17</v>
      </c>
      <c r="B24" s="74" t="s">
        <v>113</v>
      </c>
      <c r="C24" s="274" t="s">
        <v>126</v>
      </c>
      <c r="D24" s="275">
        <f>+'2. สุรปเบิกจ่าย แยกงบ (GF)'!X23</f>
        <v>5108751</v>
      </c>
      <c r="E24" s="275">
        <f>+'2. สุรปเบิกจ่าย แยกงบ (GF)'!Y23</f>
        <v>0</v>
      </c>
      <c r="F24" s="275">
        <f>+'2. สุรปเบิกจ่าย แยกงบ (GF)'!Z23</f>
        <v>631177.92000000004</v>
      </c>
      <c r="G24" s="778">
        <f t="shared" si="0"/>
        <v>4477573.08</v>
      </c>
      <c r="H24" s="779">
        <f t="shared" si="1"/>
        <v>12.354838198221055</v>
      </c>
      <c r="I24" s="780">
        <f t="shared" si="2"/>
        <v>12.354838198221055</v>
      </c>
      <c r="J24" s="781">
        <f t="shared" si="3"/>
        <v>631177.92000000004</v>
      </c>
    </row>
    <row r="25" spans="1:10" ht="26.25" customHeight="1" x14ac:dyDescent="0.5">
      <c r="A25" s="273">
        <v>18</v>
      </c>
      <c r="B25" s="74" t="s">
        <v>113</v>
      </c>
      <c r="C25" s="274" t="s">
        <v>127</v>
      </c>
      <c r="D25" s="275">
        <f>+'2. สุรปเบิกจ่าย แยกงบ (GF)'!X24</f>
        <v>3459858</v>
      </c>
      <c r="E25" s="275">
        <f>+'2. สุรปเบิกจ่าย แยกงบ (GF)'!Y24</f>
        <v>0</v>
      </c>
      <c r="F25" s="275">
        <f>+'2. สุรปเบิกจ่าย แยกงบ (GF)'!Z24</f>
        <v>377450.22</v>
      </c>
      <c r="G25" s="778">
        <f t="shared" si="0"/>
        <v>3082407.7800000003</v>
      </c>
      <c r="H25" s="779">
        <f t="shared" si="1"/>
        <v>10.909413623333675</v>
      </c>
      <c r="I25" s="780">
        <f t="shared" si="2"/>
        <v>10.909413623333675</v>
      </c>
      <c r="J25" s="781">
        <f t="shared" si="3"/>
        <v>377450.22</v>
      </c>
    </row>
    <row r="26" spans="1:10" ht="26.25" customHeight="1" x14ac:dyDescent="0.5">
      <c r="A26" s="273">
        <v>19</v>
      </c>
      <c r="B26" s="74" t="s">
        <v>113</v>
      </c>
      <c r="C26" s="274" t="s">
        <v>19</v>
      </c>
      <c r="D26" s="275">
        <f>+'2. สุรปเบิกจ่าย แยกงบ (GF)'!X25</f>
        <v>2814089</v>
      </c>
      <c r="E26" s="275">
        <f>+'2. สุรปเบิกจ่าย แยกงบ (GF)'!Y25</f>
        <v>0</v>
      </c>
      <c r="F26" s="275">
        <f>+'2. สุรปเบิกจ่าย แยกงบ (GF)'!Z25</f>
        <v>327144.73</v>
      </c>
      <c r="G26" s="778">
        <f t="shared" si="0"/>
        <v>2486944.27</v>
      </c>
      <c r="H26" s="779">
        <f t="shared" si="1"/>
        <v>11.625244617352188</v>
      </c>
      <c r="I26" s="780">
        <f t="shared" si="2"/>
        <v>11.625244617352188</v>
      </c>
      <c r="J26" s="781">
        <f t="shared" si="3"/>
        <v>327144.73</v>
      </c>
    </row>
    <row r="27" spans="1:10" ht="26.25" customHeight="1" x14ac:dyDescent="0.5">
      <c r="A27" s="273">
        <v>20</v>
      </c>
      <c r="B27" s="74" t="s">
        <v>113</v>
      </c>
      <c r="C27" s="274" t="s">
        <v>20</v>
      </c>
      <c r="D27" s="275">
        <f>+'2. สุรปเบิกจ่าย แยกงบ (GF)'!X26</f>
        <v>3357745</v>
      </c>
      <c r="E27" s="275">
        <f>+'2. สุรปเบิกจ่าย แยกงบ (GF)'!Y26</f>
        <v>35600</v>
      </c>
      <c r="F27" s="275">
        <f>+'2. สุรปเบิกจ่าย แยกงบ (GF)'!Z26</f>
        <v>320257.30000000005</v>
      </c>
      <c r="G27" s="778">
        <f t="shared" si="0"/>
        <v>3001887.7</v>
      </c>
      <c r="H27" s="779">
        <f t="shared" si="1"/>
        <v>9.5378684206215798</v>
      </c>
      <c r="I27" s="780">
        <f t="shared" si="2"/>
        <v>10.59810378691652</v>
      </c>
      <c r="J27" s="781">
        <f t="shared" si="3"/>
        <v>355857.30000000005</v>
      </c>
    </row>
    <row r="28" spans="1:10" ht="26.25" customHeight="1" x14ac:dyDescent="0.5">
      <c r="A28" s="273">
        <v>21</v>
      </c>
      <c r="B28" s="74" t="s">
        <v>113</v>
      </c>
      <c r="C28" s="274" t="s">
        <v>128</v>
      </c>
      <c r="D28" s="275">
        <f>+'2. สุรปเบิกจ่าย แยกงบ (GF)'!X27</f>
        <v>1607620</v>
      </c>
      <c r="E28" s="275">
        <f>+'2. สุรปเบิกจ่าย แยกงบ (GF)'!Y27</f>
        <v>7800</v>
      </c>
      <c r="F28" s="275">
        <f>+'2. สุรปเบิกจ่าย แยกงบ (GF)'!Z27</f>
        <v>146875.70000000001</v>
      </c>
      <c r="G28" s="778">
        <f t="shared" si="0"/>
        <v>1452944.3</v>
      </c>
      <c r="H28" s="779">
        <f t="shared" si="1"/>
        <v>9.1362200022393356</v>
      </c>
      <c r="I28" s="780">
        <f t="shared" si="2"/>
        <v>9.6214092882646405</v>
      </c>
      <c r="J28" s="781">
        <f t="shared" si="3"/>
        <v>154675.70000000001</v>
      </c>
    </row>
    <row r="29" spans="1:10" ht="26.25" customHeight="1" x14ac:dyDescent="0.5">
      <c r="A29" s="273">
        <v>22</v>
      </c>
      <c r="B29" s="74" t="s">
        <v>113</v>
      </c>
      <c r="C29" s="274" t="s">
        <v>129</v>
      </c>
      <c r="D29" s="275">
        <f>+'2. สุรปเบิกจ่าย แยกงบ (GF)'!X28</f>
        <v>1705061</v>
      </c>
      <c r="E29" s="275">
        <f>+'2. สุรปเบิกจ่าย แยกงบ (GF)'!Y28</f>
        <v>0</v>
      </c>
      <c r="F29" s="275">
        <f>+'2. สุรปเบิกจ่าย แยกงบ (GF)'!Z28</f>
        <v>214834.77000000002</v>
      </c>
      <c r="G29" s="778">
        <f t="shared" si="0"/>
        <v>1490226.23</v>
      </c>
      <c r="H29" s="779">
        <f t="shared" si="1"/>
        <v>12.599828979725652</v>
      </c>
      <c r="I29" s="780">
        <f t="shared" si="2"/>
        <v>12.599828979725652</v>
      </c>
      <c r="J29" s="781">
        <f t="shared" si="3"/>
        <v>214834.77000000002</v>
      </c>
    </row>
    <row r="30" spans="1:10" ht="26.25" customHeight="1" x14ac:dyDescent="0.5">
      <c r="A30" s="273">
        <v>23</v>
      </c>
      <c r="B30" s="74" t="s">
        <v>113</v>
      </c>
      <c r="C30" s="274" t="s">
        <v>130</v>
      </c>
      <c r="D30" s="275">
        <f>+'2. สุรปเบิกจ่าย แยกงบ (GF)'!X29</f>
        <v>3920456</v>
      </c>
      <c r="E30" s="275">
        <f>+'2. สุรปเบิกจ่าย แยกงบ (GF)'!Y29</f>
        <v>186410.78</v>
      </c>
      <c r="F30" s="275">
        <f>+'2. สุรปเบิกจ่าย แยกงบ (GF)'!Z29</f>
        <v>344875.75</v>
      </c>
      <c r="G30" s="778">
        <f t="shared" si="0"/>
        <v>3389169.47</v>
      </c>
      <c r="H30" s="779">
        <f t="shared" si="1"/>
        <v>8.7968274608872026</v>
      </c>
      <c r="I30" s="780">
        <f t="shared" si="2"/>
        <v>13.551651389532237</v>
      </c>
      <c r="J30" s="781">
        <f t="shared" si="3"/>
        <v>531286.53</v>
      </c>
    </row>
    <row r="31" spans="1:10" ht="26.25" customHeight="1" x14ac:dyDescent="0.5">
      <c r="A31" s="273">
        <v>24</v>
      </c>
      <c r="B31" s="74" t="s">
        <v>113</v>
      </c>
      <c r="C31" s="274" t="s">
        <v>21</v>
      </c>
      <c r="D31" s="275">
        <f>+'2. สุรปเบิกจ่าย แยกงบ (GF)'!X30</f>
        <v>5494423</v>
      </c>
      <c r="E31" s="275">
        <f>+'2. สุรปเบิกจ่าย แยกงบ (GF)'!Y30</f>
        <v>82600</v>
      </c>
      <c r="F31" s="275">
        <f>+'2. สุรปเบิกจ่าย แยกงบ (GF)'!Z30</f>
        <v>594730.6</v>
      </c>
      <c r="G31" s="778">
        <f t="shared" si="0"/>
        <v>4817092.4000000004</v>
      </c>
      <c r="H31" s="779">
        <f t="shared" si="1"/>
        <v>10.824259435431163</v>
      </c>
      <c r="I31" s="780">
        <f t="shared" si="2"/>
        <v>12.327602006616527</v>
      </c>
      <c r="J31" s="781">
        <f t="shared" si="3"/>
        <v>677330.6</v>
      </c>
    </row>
    <row r="32" spans="1:10" ht="26.25" customHeight="1" x14ac:dyDescent="0.5">
      <c r="A32" s="273">
        <v>25</v>
      </c>
      <c r="B32" s="74" t="s">
        <v>113</v>
      </c>
      <c r="C32" s="274" t="s">
        <v>22</v>
      </c>
      <c r="D32" s="275">
        <f>+'2. สุรปเบิกจ่าย แยกงบ (GF)'!X31</f>
        <v>2995468</v>
      </c>
      <c r="E32" s="275">
        <f>+'2. สุรปเบิกจ่าย แยกงบ (GF)'!Y31</f>
        <v>0</v>
      </c>
      <c r="F32" s="275">
        <f>+'2. สุรปเบิกจ่าย แยกงบ (GF)'!Z31</f>
        <v>436311.24</v>
      </c>
      <c r="G32" s="778">
        <f t="shared" si="0"/>
        <v>2559156.7599999998</v>
      </c>
      <c r="H32" s="779">
        <f t="shared" si="1"/>
        <v>14.565711935497225</v>
      </c>
      <c r="I32" s="780">
        <f t="shared" si="2"/>
        <v>14.565711935497225</v>
      </c>
      <c r="J32" s="781">
        <f t="shared" si="3"/>
        <v>436311.24</v>
      </c>
    </row>
    <row r="33" spans="1:10" ht="26.25" customHeight="1" x14ac:dyDescent="0.5">
      <c r="A33" s="273">
        <v>26</v>
      </c>
      <c r="B33" s="74" t="s">
        <v>113</v>
      </c>
      <c r="C33" s="274" t="s">
        <v>131</v>
      </c>
      <c r="D33" s="275">
        <f>+'2. สุรปเบิกจ่าย แยกงบ (GF)'!X32</f>
        <v>2345508</v>
      </c>
      <c r="E33" s="275">
        <f>+'2. สุรปเบิกจ่าย แยกงบ (GF)'!Y32</f>
        <v>0</v>
      </c>
      <c r="F33" s="275">
        <f>+'2. สุรปเบิกจ่าย แยกงบ (GF)'!Z32</f>
        <v>191144.8</v>
      </c>
      <c r="G33" s="778">
        <f t="shared" si="0"/>
        <v>2154363.2000000002</v>
      </c>
      <c r="H33" s="779">
        <f t="shared" si="1"/>
        <v>8.1493987656405356</v>
      </c>
      <c r="I33" s="780">
        <f t="shared" si="2"/>
        <v>8.1493987656405356</v>
      </c>
      <c r="J33" s="781">
        <f t="shared" si="3"/>
        <v>191144.8</v>
      </c>
    </row>
    <row r="34" spans="1:10" ht="26.25" customHeight="1" x14ac:dyDescent="0.5">
      <c r="A34" s="273">
        <v>27</v>
      </c>
      <c r="B34" s="74" t="s">
        <v>113</v>
      </c>
      <c r="C34" s="274" t="s">
        <v>132</v>
      </c>
      <c r="D34" s="275">
        <f>+'2. สุรปเบิกจ่าย แยกงบ (GF)'!X33</f>
        <v>1547652</v>
      </c>
      <c r="E34" s="275">
        <f>+'2. สุรปเบิกจ่าย แยกงบ (GF)'!Y33</f>
        <v>0</v>
      </c>
      <c r="F34" s="275">
        <f>+'2. สุรปเบิกจ่าย แยกงบ (GF)'!Z33</f>
        <v>135445.23000000001</v>
      </c>
      <c r="G34" s="778">
        <f t="shared" si="0"/>
        <v>1412206.77</v>
      </c>
      <c r="H34" s="779">
        <f t="shared" si="1"/>
        <v>8.7516592877468593</v>
      </c>
      <c r="I34" s="780">
        <f t="shared" si="2"/>
        <v>8.7516592877468593</v>
      </c>
      <c r="J34" s="781">
        <f t="shared" si="3"/>
        <v>135445.23000000001</v>
      </c>
    </row>
    <row r="35" spans="1:10" ht="26.25" customHeight="1" x14ac:dyDescent="0.5">
      <c r="A35" s="273">
        <v>28</v>
      </c>
      <c r="B35" s="74" t="s">
        <v>113</v>
      </c>
      <c r="C35" s="274" t="s">
        <v>23</v>
      </c>
      <c r="D35" s="275">
        <f>+'2. สุรปเบิกจ่าย แยกงบ (GF)'!X34</f>
        <v>4783607</v>
      </c>
      <c r="E35" s="275">
        <f>+'2. สุรปเบิกจ่าย แยกงบ (GF)'!Y34</f>
        <v>0</v>
      </c>
      <c r="F35" s="275">
        <f>+'2. สุรปเบิกจ่าย แยกงบ (GF)'!Z34</f>
        <v>507350.47</v>
      </c>
      <c r="G35" s="778">
        <f t="shared" si="0"/>
        <v>4276256.53</v>
      </c>
      <c r="H35" s="779">
        <f t="shared" si="1"/>
        <v>10.606023237276808</v>
      </c>
      <c r="I35" s="780">
        <f t="shared" si="2"/>
        <v>10.606023237276808</v>
      </c>
      <c r="J35" s="781">
        <f t="shared" si="3"/>
        <v>507350.47</v>
      </c>
    </row>
    <row r="36" spans="1:10" ht="26.25" customHeight="1" x14ac:dyDescent="0.5">
      <c r="A36" s="273">
        <v>29</v>
      </c>
      <c r="B36" s="74" t="s">
        <v>113</v>
      </c>
      <c r="C36" s="274" t="s">
        <v>24</v>
      </c>
      <c r="D36" s="275">
        <f>+'2. สุรปเบิกจ่าย แยกงบ (GF)'!X35</f>
        <v>9988442</v>
      </c>
      <c r="E36" s="275">
        <f>+'2. สุรปเบิกจ่าย แยกงบ (GF)'!Y35</f>
        <v>0</v>
      </c>
      <c r="F36" s="275">
        <f>+'2. สุรปเบิกจ่าย แยกงบ (GF)'!Z35</f>
        <v>408730.13</v>
      </c>
      <c r="G36" s="778">
        <f t="shared" si="0"/>
        <v>9579711.8699999992</v>
      </c>
      <c r="H36" s="779">
        <f t="shared" si="1"/>
        <v>4.0920308692787124</v>
      </c>
      <c r="I36" s="780">
        <f t="shared" si="2"/>
        <v>4.0920308692787124</v>
      </c>
      <c r="J36" s="781">
        <f t="shared" si="3"/>
        <v>408730.13</v>
      </c>
    </row>
    <row r="37" spans="1:10" ht="26.25" customHeight="1" x14ac:dyDescent="0.5">
      <c r="A37" s="273">
        <v>30</v>
      </c>
      <c r="B37" s="74" t="s">
        <v>113</v>
      </c>
      <c r="C37" s="274" t="s">
        <v>25</v>
      </c>
      <c r="D37" s="275">
        <f>+'2. สุรปเบิกจ่าย แยกงบ (GF)'!X36</f>
        <v>2056109</v>
      </c>
      <c r="E37" s="275">
        <f>+'2. สุรปเบิกจ่าย แยกงบ (GF)'!Y36</f>
        <v>0</v>
      </c>
      <c r="F37" s="275">
        <f>+'2. สุรปเบิกจ่าย แยกงบ (GF)'!Z36</f>
        <v>245582.72</v>
      </c>
      <c r="G37" s="778">
        <f t="shared" si="0"/>
        <v>1810526.28</v>
      </c>
      <c r="H37" s="779">
        <f t="shared" si="1"/>
        <v>11.944051604268061</v>
      </c>
      <c r="I37" s="780">
        <f t="shared" si="2"/>
        <v>11.944051604268061</v>
      </c>
      <c r="J37" s="781">
        <f t="shared" si="3"/>
        <v>245582.72</v>
      </c>
    </row>
    <row r="38" spans="1:10" ht="26.25" customHeight="1" x14ac:dyDescent="0.5">
      <c r="A38" s="273">
        <v>31</v>
      </c>
      <c r="B38" s="74" t="s">
        <v>113</v>
      </c>
      <c r="C38" s="274" t="s">
        <v>181</v>
      </c>
      <c r="D38" s="275">
        <f>+'2. สุรปเบิกจ่าย แยกงบ (GF)'!X37</f>
        <v>2194651</v>
      </c>
      <c r="E38" s="275">
        <f>+'2. สุรปเบิกจ่าย แยกงบ (GF)'!Y37</f>
        <v>0</v>
      </c>
      <c r="F38" s="275">
        <f>+'2. สุรปเบิกจ่าย แยกงบ (GF)'!Z37</f>
        <v>290120.42000000004</v>
      </c>
      <c r="G38" s="778">
        <f t="shared" si="0"/>
        <v>1904530.58</v>
      </c>
      <c r="H38" s="779">
        <f t="shared" si="1"/>
        <v>13.21943306703435</v>
      </c>
      <c r="I38" s="780">
        <f t="shared" si="2"/>
        <v>13.21943306703435</v>
      </c>
      <c r="J38" s="781">
        <f t="shared" si="3"/>
        <v>290120.42000000004</v>
      </c>
    </row>
    <row r="39" spans="1:10" ht="26.25" customHeight="1" x14ac:dyDescent="0.5">
      <c r="A39" s="273">
        <v>32</v>
      </c>
      <c r="B39" s="74" t="s">
        <v>113</v>
      </c>
      <c r="C39" s="274" t="s">
        <v>26</v>
      </c>
      <c r="D39" s="275">
        <f>+'2. สุรปเบิกจ่าย แยกงบ (GF)'!X38</f>
        <v>11697713</v>
      </c>
      <c r="E39" s="275">
        <f>+'2. สุรปเบิกจ่าย แยกงบ (GF)'!Y38</f>
        <v>184250</v>
      </c>
      <c r="F39" s="275">
        <f>+'2. สุรปเบิกจ่าย แยกงบ (GF)'!Z38</f>
        <v>543955.12</v>
      </c>
      <c r="G39" s="778">
        <f t="shared" si="0"/>
        <v>10969507.880000001</v>
      </c>
      <c r="H39" s="779">
        <f t="shared" si="1"/>
        <v>4.650098014885474</v>
      </c>
      <c r="I39" s="780">
        <f t="shared" si="2"/>
        <v>6.2251922234713746</v>
      </c>
      <c r="J39" s="781">
        <f t="shared" si="3"/>
        <v>728205.12</v>
      </c>
    </row>
    <row r="40" spans="1:10" ht="26.25" customHeight="1" x14ac:dyDescent="0.5">
      <c r="A40" s="273">
        <v>33</v>
      </c>
      <c r="B40" s="74" t="s">
        <v>113</v>
      </c>
      <c r="C40" s="274" t="s">
        <v>27</v>
      </c>
      <c r="D40" s="275">
        <f>+'2. สุรปเบิกจ่าย แยกงบ (GF)'!X39</f>
        <v>1083357</v>
      </c>
      <c r="E40" s="275">
        <f>+'2. สุรปเบิกจ่าย แยกงบ (GF)'!Y39</f>
        <v>0</v>
      </c>
      <c r="F40" s="275">
        <f>+'2. สุรปเบิกจ่าย แยกงบ (GF)'!Z39</f>
        <v>151845.99</v>
      </c>
      <c r="G40" s="778">
        <f t="shared" si="0"/>
        <v>931511.01</v>
      </c>
      <c r="H40" s="779">
        <f t="shared" si="1"/>
        <v>14.016246721994689</v>
      </c>
      <c r="I40" s="780">
        <f t="shared" si="2"/>
        <v>14.016246721994689</v>
      </c>
      <c r="J40" s="781">
        <f t="shared" si="3"/>
        <v>151845.99</v>
      </c>
    </row>
    <row r="41" spans="1:10" ht="26.25" customHeight="1" x14ac:dyDescent="0.5">
      <c r="A41" s="273">
        <v>34</v>
      </c>
      <c r="B41" s="74" t="s">
        <v>113</v>
      </c>
      <c r="C41" s="274" t="s">
        <v>28</v>
      </c>
      <c r="D41" s="275">
        <f>+'2. สุรปเบิกจ่าย แยกงบ (GF)'!X40</f>
        <v>4410848</v>
      </c>
      <c r="E41" s="275">
        <f>+'2. สุรปเบิกจ่าย แยกงบ (GF)'!Y40</f>
        <v>111140</v>
      </c>
      <c r="F41" s="275">
        <f>+'2. สุรปเบิกจ่าย แยกงบ (GF)'!Z40</f>
        <v>394271</v>
      </c>
      <c r="G41" s="778">
        <f t="shared" si="0"/>
        <v>3905437</v>
      </c>
      <c r="H41" s="779">
        <f t="shared" si="1"/>
        <v>8.938666669084947</v>
      </c>
      <c r="I41" s="780">
        <f t="shared" si="2"/>
        <v>11.458363561836636</v>
      </c>
      <c r="J41" s="781">
        <f t="shared" si="3"/>
        <v>505411</v>
      </c>
    </row>
    <row r="42" spans="1:10" ht="26.25" customHeight="1" x14ac:dyDescent="0.5">
      <c r="A42" s="273">
        <v>35</v>
      </c>
      <c r="B42" s="74" t="s">
        <v>113</v>
      </c>
      <c r="C42" s="274" t="s">
        <v>133</v>
      </c>
      <c r="D42" s="275">
        <f>+'2. สุรปเบิกจ่าย แยกงบ (GF)'!X41</f>
        <v>5863683</v>
      </c>
      <c r="E42" s="275">
        <f>+'2. สุรปเบิกจ่าย แยกงบ (GF)'!Y41</f>
        <v>0</v>
      </c>
      <c r="F42" s="275">
        <f>+'2. สุรปเบิกจ่าย แยกงบ (GF)'!Z41</f>
        <v>334259.08</v>
      </c>
      <c r="G42" s="778">
        <f t="shared" si="0"/>
        <v>5529423.9199999999</v>
      </c>
      <c r="H42" s="779">
        <f t="shared" si="1"/>
        <v>5.7004971107749176</v>
      </c>
      <c r="I42" s="780">
        <f t="shared" si="2"/>
        <v>5.7004971107749176</v>
      </c>
      <c r="J42" s="781">
        <f t="shared" si="3"/>
        <v>334259.08</v>
      </c>
    </row>
    <row r="43" spans="1:10" ht="26.25" customHeight="1" x14ac:dyDescent="0.5">
      <c r="A43" s="273">
        <v>36</v>
      </c>
      <c r="B43" s="74" t="s">
        <v>113</v>
      </c>
      <c r="C43" s="274" t="s">
        <v>29</v>
      </c>
      <c r="D43" s="275">
        <f>+'2. สุรปเบิกจ่าย แยกงบ (GF)'!X42</f>
        <v>9266958</v>
      </c>
      <c r="E43" s="275">
        <f>+'2. สุรปเบิกจ่าย แยกงบ (GF)'!Y42</f>
        <v>0</v>
      </c>
      <c r="F43" s="275">
        <f>+'2. สุรปเบิกจ่าย แยกงบ (GF)'!Z42</f>
        <v>220901.6</v>
      </c>
      <c r="G43" s="778">
        <f t="shared" si="0"/>
        <v>9046056.4000000004</v>
      </c>
      <c r="H43" s="779">
        <f t="shared" si="1"/>
        <v>2.3837552733054364</v>
      </c>
      <c r="I43" s="780">
        <f t="shared" si="2"/>
        <v>2.3837552733054364</v>
      </c>
      <c r="J43" s="781">
        <f t="shared" si="3"/>
        <v>220901.6</v>
      </c>
    </row>
    <row r="44" spans="1:10" ht="26.25" customHeight="1" x14ac:dyDescent="0.5">
      <c r="A44" s="273">
        <v>37</v>
      </c>
      <c r="B44" s="74" t="s">
        <v>113</v>
      </c>
      <c r="C44" s="274" t="s">
        <v>30</v>
      </c>
      <c r="D44" s="275">
        <f>+'2. สุรปเบิกจ่าย แยกงบ (GF)'!X43</f>
        <v>5674649</v>
      </c>
      <c r="E44" s="275">
        <f>+'2. สุรปเบิกจ่าย แยกงบ (GF)'!Y43</f>
        <v>0</v>
      </c>
      <c r="F44" s="275">
        <f>+'2. สุรปเบิกจ่าย แยกงบ (GF)'!Z43</f>
        <v>508610.2</v>
      </c>
      <c r="G44" s="778">
        <f t="shared" si="0"/>
        <v>5166038.8</v>
      </c>
      <c r="H44" s="779">
        <f t="shared" si="1"/>
        <v>8.9628486272895476</v>
      </c>
      <c r="I44" s="780">
        <f t="shared" si="2"/>
        <v>8.9628486272895476</v>
      </c>
      <c r="J44" s="781">
        <f t="shared" si="3"/>
        <v>508610.2</v>
      </c>
    </row>
    <row r="45" spans="1:10" ht="26.25" customHeight="1" x14ac:dyDescent="0.5">
      <c r="A45" s="273">
        <v>38</v>
      </c>
      <c r="B45" s="74" t="s">
        <v>113</v>
      </c>
      <c r="C45" s="274" t="s">
        <v>31</v>
      </c>
      <c r="D45" s="275">
        <f>+'2. สุรปเบิกจ่าย แยกงบ (GF)'!X44</f>
        <v>5337507</v>
      </c>
      <c r="E45" s="275">
        <f>+'2. สุรปเบิกจ่าย แยกงบ (GF)'!Y44</f>
        <v>0</v>
      </c>
      <c r="F45" s="275">
        <f>+'2. สุรปเบิกจ่าย แยกงบ (GF)'!Z44</f>
        <v>615744.93000000005</v>
      </c>
      <c r="G45" s="778">
        <f t="shared" si="0"/>
        <v>4721762.07</v>
      </c>
      <c r="H45" s="779">
        <f t="shared" si="1"/>
        <v>11.53618964808852</v>
      </c>
      <c r="I45" s="780">
        <f t="shared" si="2"/>
        <v>11.53618964808852</v>
      </c>
      <c r="J45" s="781">
        <f t="shared" si="3"/>
        <v>615744.93000000005</v>
      </c>
    </row>
    <row r="46" spans="1:10" ht="26.25" customHeight="1" x14ac:dyDescent="0.5">
      <c r="A46" s="273">
        <v>39</v>
      </c>
      <c r="B46" s="74" t="s">
        <v>113</v>
      </c>
      <c r="C46" s="274" t="s">
        <v>134</v>
      </c>
      <c r="D46" s="275">
        <f>+'2. สุรปเบิกจ่าย แยกงบ (GF)'!X45</f>
        <v>1803997</v>
      </c>
      <c r="E46" s="275">
        <f>+'2. สุรปเบิกจ่าย แยกงบ (GF)'!Y45</f>
        <v>0</v>
      </c>
      <c r="F46" s="275">
        <f>+'2. สุรปเบิกจ่าย แยกงบ (GF)'!Z45</f>
        <v>208630.2</v>
      </c>
      <c r="G46" s="778">
        <f t="shared" si="0"/>
        <v>1595366.8</v>
      </c>
      <c r="H46" s="779">
        <f t="shared" si="1"/>
        <v>11.564886194378373</v>
      </c>
      <c r="I46" s="780">
        <f t="shared" si="2"/>
        <v>11.564886194378373</v>
      </c>
      <c r="J46" s="781">
        <f t="shared" si="3"/>
        <v>208630.2</v>
      </c>
    </row>
    <row r="47" spans="1:10" ht="26.25" customHeight="1" x14ac:dyDescent="0.5">
      <c r="A47" s="273">
        <v>40</v>
      </c>
      <c r="B47" s="74" t="s">
        <v>113</v>
      </c>
      <c r="C47" s="274" t="s">
        <v>32</v>
      </c>
      <c r="D47" s="275">
        <f>+'2. สุรปเบิกจ่าย แยกงบ (GF)'!X46</f>
        <v>3647357</v>
      </c>
      <c r="E47" s="275">
        <f>+'2. สุรปเบิกจ่าย แยกงบ (GF)'!Y46</f>
        <v>621080</v>
      </c>
      <c r="F47" s="275">
        <f>+'2. สุรปเบิกจ่าย แยกงบ (GF)'!Z46</f>
        <v>380029.7</v>
      </c>
      <c r="G47" s="778">
        <f t="shared" si="0"/>
        <v>2646247.2999999998</v>
      </c>
      <c r="H47" s="779">
        <f t="shared" si="1"/>
        <v>10.41931733032988</v>
      </c>
      <c r="I47" s="780">
        <f t="shared" si="2"/>
        <v>27.447538039188377</v>
      </c>
      <c r="J47" s="781">
        <f t="shared" si="3"/>
        <v>1001109.7</v>
      </c>
    </row>
    <row r="48" spans="1:10" ht="26.25" customHeight="1" x14ac:dyDescent="0.5">
      <c r="A48" s="273">
        <v>41</v>
      </c>
      <c r="B48" s="74" t="s">
        <v>113</v>
      </c>
      <c r="C48" s="274" t="s">
        <v>33</v>
      </c>
      <c r="D48" s="275">
        <f>+'2. สุรปเบิกจ่าย แยกงบ (GF)'!X47</f>
        <v>4765576</v>
      </c>
      <c r="E48" s="275">
        <f>+'2. สุรปเบิกจ่าย แยกงบ (GF)'!Y47</f>
        <v>0</v>
      </c>
      <c r="F48" s="275">
        <f>+'2. สุรปเบิกจ่าย แยกงบ (GF)'!Z47</f>
        <v>466926.52</v>
      </c>
      <c r="G48" s="778">
        <f t="shared" si="0"/>
        <v>4298649.4800000004</v>
      </c>
      <c r="H48" s="779">
        <f t="shared" si="1"/>
        <v>9.7979031286039717</v>
      </c>
      <c r="I48" s="780">
        <f t="shared" si="2"/>
        <v>9.7979031286039717</v>
      </c>
      <c r="J48" s="781">
        <f t="shared" si="3"/>
        <v>466926.52</v>
      </c>
    </row>
    <row r="49" spans="1:10" ht="26.25" customHeight="1" x14ac:dyDescent="0.5">
      <c r="A49" s="273">
        <v>42</v>
      </c>
      <c r="B49" s="74" t="s">
        <v>113</v>
      </c>
      <c r="C49" s="274" t="s">
        <v>34</v>
      </c>
      <c r="D49" s="275">
        <f>+'2. สุรปเบิกจ่าย แยกงบ (GF)'!X48</f>
        <v>1966593</v>
      </c>
      <c r="E49" s="275">
        <f>+'2. สุรปเบิกจ่าย แยกงบ (GF)'!Y48</f>
        <v>0</v>
      </c>
      <c r="F49" s="275">
        <f>+'2. สุรปเบิกจ่าย แยกงบ (GF)'!Z48</f>
        <v>203928.46000000002</v>
      </c>
      <c r="G49" s="778">
        <f t="shared" si="0"/>
        <v>1762664.54</v>
      </c>
      <c r="H49" s="779">
        <f t="shared" si="1"/>
        <v>10.369632150628018</v>
      </c>
      <c r="I49" s="780">
        <f t="shared" si="2"/>
        <v>10.369632150628018</v>
      </c>
      <c r="J49" s="781">
        <f t="shared" si="3"/>
        <v>203928.46000000002</v>
      </c>
    </row>
    <row r="50" spans="1:10" ht="26.25" customHeight="1" x14ac:dyDescent="0.5">
      <c r="A50" s="273">
        <v>43</v>
      </c>
      <c r="B50" s="74" t="s">
        <v>113</v>
      </c>
      <c r="C50" s="274" t="s">
        <v>35</v>
      </c>
      <c r="D50" s="275">
        <f>+'2. สุรปเบิกจ่าย แยกงบ (GF)'!X49</f>
        <v>6762690</v>
      </c>
      <c r="E50" s="275">
        <f>+'2. สุรปเบิกจ่าย แยกงบ (GF)'!Y49</f>
        <v>925825.18</v>
      </c>
      <c r="F50" s="275">
        <f>+'2. สุรปเบิกจ่าย แยกงบ (GF)'!Z49</f>
        <v>483647.26</v>
      </c>
      <c r="G50" s="778">
        <f t="shared" si="0"/>
        <v>5353217.5600000005</v>
      </c>
      <c r="H50" s="779">
        <f t="shared" si="1"/>
        <v>7.1516993977248697</v>
      </c>
      <c r="I50" s="780">
        <f t="shared" si="2"/>
        <v>20.841890431174576</v>
      </c>
      <c r="J50" s="781">
        <f t="shared" si="3"/>
        <v>1409472.44</v>
      </c>
    </row>
    <row r="51" spans="1:10" ht="26.25" customHeight="1" x14ac:dyDescent="0.5">
      <c r="A51" s="273">
        <v>44</v>
      </c>
      <c r="B51" s="74" t="s">
        <v>113</v>
      </c>
      <c r="C51" s="274" t="s">
        <v>135</v>
      </c>
      <c r="D51" s="275">
        <f>+'2. สุรปเบิกจ่าย แยกงบ (GF)'!X50</f>
        <v>2560972</v>
      </c>
      <c r="E51" s="275">
        <f>+'2. สุรปเบิกจ่าย แยกงบ (GF)'!Y50</f>
        <v>474800</v>
      </c>
      <c r="F51" s="275">
        <f>+'2. สุรปเบิกจ่าย แยกงบ (GF)'!Z50</f>
        <v>278613.96000000002</v>
      </c>
      <c r="G51" s="778">
        <f t="shared" si="0"/>
        <v>1807558.04</v>
      </c>
      <c r="H51" s="779">
        <f t="shared" si="1"/>
        <v>10.879227105958208</v>
      </c>
      <c r="I51" s="780">
        <f t="shared" si="2"/>
        <v>29.419062762107512</v>
      </c>
      <c r="J51" s="781">
        <f t="shared" si="3"/>
        <v>753413.96</v>
      </c>
    </row>
    <row r="52" spans="1:10" ht="26.25" customHeight="1" x14ac:dyDescent="0.5">
      <c r="A52" s="273">
        <v>45</v>
      </c>
      <c r="B52" s="74" t="s">
        <v>113</v>
      </c>
      <c r="C52" s="274" t="s">
        <v>36</v>
      </c>
      <c r="D52" s="275">
        <f>+'2. สุรปเบิกจ่าย แยกงบ (GF)'!X51</f>
        <v>3303977</v>
      </c>
      <c r="E52" s="275">
        <f>+'2. สุรปเบิกจ่าย แยกงบ (GF)'!Y51</f>
        <v>156400</v>
      </c>
      <c r="F52" s="275">
        <f>+'2. สุรปเบิกจ่าย แยกงบ (GF)'!Z51</f>
        <v>337193.81000000006</v>
      </c>
      <c r="G52" s="778">
        <f t="shared" si="0"/>
        <v>2810383.19</v>
      </c>
      <c r="H52" s="779">
        <f t="shared" si="1"/>
        <v>10.205694833832078</v>
      </c>
      <c r="I52" s="780">
        <f t="shared" si="2"/>
        <v>14.939383960602633</v>
      </c>
      <c r="J52" s="781">
        <f t="shared" si="3"/>
        <v>493593.81000000006</v>
      </c>
    </row>
    <row r="53" spans="1:10" ht="26.25" customHeight="1" x14ac:dyDescent="0.5">
      <c r="A53" s="273">
        <v>46</v>
      </c>
      <c r="B53" s="74" t="s">
        <v>113</v>
      </c>
      <c r="C53" s="274" t="s">
        <v>37</v>
      </c>
      <c r="D53" s="275">
        <f>+'2. สุรปเบิกจ่าย แยกงบ (GF)'!X52</f>
        <v>5041710</v>
      </c>
      <c r="E53" s="275">
        <f>+'2. สุรปเบิกจ่าย แยกงบ (GF)'!Y52</f>
        <v>37529.5</v>
      </c>
      <c r="F53" s="275">
        <f>+'2. สุรปเบิกจ่าย แยกงบ (GF)'!Z52</f>
        <v>646835.56000000006</v>
      </c>
      <c r="G53" s="778">
        <f t="shared" si="0"/>
        <v>4357344.9399999995</v>
      </c>
      <c r="H53" s="779">
        <f t="shared" si="1"/>
        <v>12.829685959723983</v>
      </c>
      <c r="I53" s="780">
        <f t="shared" si="2"/>
        <v>13.574066338603371</v>
      </c>
      <c r="J53" s="781">
        <f t="shared" si="3"/>
        <v>684365.06</v>
      </c>
    </row>
    <row r="54" spans="1:10" ht="26.25" customHeight="1" x14ac:dyDescent="0.5">
      <c r="A54" s="273">
        <v>47</v>
      </c>
      <c r="B54" s="74" t="s">
        <v>113</v>
      </c>
      <c r="C54" s="274" t="s">
        <v>38</v>
      </c>
      <c r="D54" s="275">
        <f>+'2. สุรปเบิกจ่าย แยกงบ (GF)'!X53</f>
        <v>1781646</v>
      </c>
      <c r="E54" s="275">
        <f>+'2. สุรปเบิกจ่าย แยกงบ (GF)'!Y53</f>
        <v>0</v>
      </c>
      <c r="F54" s="275">
        <f>+'2. สุรปเบิกจ่าย แยกงบ (GF)'!Z53</f>
        <v>155342.62</v>
      </c>
      <c r="G54" s="778">
        <f t="shared" si="0"/>
        <v>1626303.38</v>
      </c>
      <c r="H54" s="779">
        <f t="shared" si="1"/>
        <v>8.7190508103180999</v>
      </c>
      <c r="I54" s="780">
        <f t="shared" si="2"/>
        <v>8.7190508103180999</v>
      </c>
      <c r="J54" s="781">
        <f t="shared" si="3"/>
        <v>155342.62</v>
      </c>
    </row>
    <row r="55" spans="1:10" ht="26.25" customHeight="1" x14ac:dyDescent="0.5">
      <c r="A55" s="273">
        <v>48</v>
      </c>
      <c r="B55" s="74" t="s">
        <v>113</v>
      </c>
      <c r="C55" s="274" t="s">
        <v>136</v>
      </c>
      <c r="D55" s="275">
        <f>+'2. สุรปเบิกจ่าย แยกงบ (GF)'!X54</f>
        <v>3915713</v>
      </c>
      <c r="E55" s="275">
        <f>+'2. สุรปเบิกจ่าย แยกงบ (GF)'!Y54</f>
        <v>0</v>
      </c>
      <c r="F55" s="275">
        <f>+'2. สุรปเบิกจ่าย แยกงบ (GF)'!Z54</f>
        <v>480219.33999999997</v>
      </c>
      <c r="G55" s="778">
        <f t="shared" si="0"/>
        <v>3435493.66</v>
      </c>
      <c r="H55" s="779">
        <f t="shared" si="1"/>
        <v>12.263905449658848</v>
      </c>
      <c r="I55" s="780">
        <f t="shared" si="2"/>
        <v>12.263905449658848</v>
      </c>
      <c r="J55" s="781">
        <f t="shared" si="3"/>
        <v>480219.33999999997</v>
      </c>
    </row>
    <row r="56" spans="1:10" ht="26.25" customHeight="1" x14ac:dyDescent="0.5">
      <c r="A56" s="273">
        <v>49</v>
      </c>
      <c r="B56" s="74" t="s">
        <v>113</v>
      </c>
      <c r="C56" s="274" t="s">
        <v>137</v>
      </c>
      <c r="D56" s="275">
        <f>+'2. สุรปเบิกจ่าย แยกงบ (GF)'!X55</f>
        <v>1809613</v>
      </c>
      <c r="E56" s="275">
        <f>+'2. สุรปเบิกจ่าย แยกงบ (GF)'!Y55</f>
        <v>0</v>
      </c>
      <c r="F56" s="275">
        <f>+'2. สุรปเบิกจ่าย แยกงบ (GF)'!Z55</f>
        <v>226396</v>
      </c>
      <c r="G56" s="778">
        <f t="shared" si="0"/>
        <v>1583217</v>
      </c>
      <c r="H56" s="779">
        <f t="shared" si="1"/>
        <v>12.510741246885384</v>
      </c>
      <c r="I56" s="780">
        <f t="shared" si="2"/>
        <v>12.510741246885384</v>
      </c>
      <c r="J56" s="781">
        <f t="shared" si="3"/>
        <v>226396</v>
      </c>
    </row>
    <row r="57" spans="1:10" ht="26.25" customHeight="1" x14ac:dyDescent="0.5">
      <c r="A57" s="273">
        <v>50</v>
      </c>
      <c r="B57" s="74" t="s">
        <v>113</v>
      </c>
      <c r="C57" s="274" t="s">
        <v>138</v>
      </c>
      <c r="D57" s="275">
        <f>+'2. สุรปเบิกจ่าย แยกงบ (GF)'!X56</f>
        <v>1696833</v>
      </c>
      <c r="E57" s="275">
        <f>+'2. สุรปเบิกจ่าย แยกงบ (GF)'!Y56</f>
        <v>0</v>
      </c>
      <c r="F57" s="275">
        <f>+'2. สุรปเบิกจ่าย แยกงบ (GF)'!Z56</f>
        <v>247349.26</v>
      </c>
      <c r="G57" s="778">
        <f t="shared" si="0"/>
        <v>1449483.74</v>
      </c>
      <c r="H57" s="779">
        <f t="shared" si="1"/>
        <v>14.577112774209365</v>
      </c>
      <c r="I57" s="780">
        <f t="shared" si="2"/>
        <v>14.577112774209365</v>
      </c>
      <c r="J57" s="781">
        <f t="shared" si="3"/>
        <v>247349.26</v>
      </c>
    </row>
    <row r="58" spans="1:10" ht="26.25" customHeight="1" x14ac:dyDescent="0.5">
      <c r="A58" s="273">
        <v>51</v>
      </c>
      <c r="B58" s="74" t="s">
        <v>113</v>
      </c>
      <c r="C58" s="274" t="s">
        <v>139</v>
      </c>
      <c r="D58" s="275">
        <f>+'2. สุรปเบิกจ่าย แยกงบ (GF)'!X57</f>
        <v>7995534</v>
      </c>
      <c r="E58" s="275">
        <f>+'2. สุรปเบิกจ่าย แยกงบ (GF)'!Y57</f>
        <v>34000</v>
      </c>
      <c r="F58" s="275">
        <f>+'2. สุรปเบิกจ่าย แยกงบ (GF)'!Z57</f>
        <v>513363</v>
      </c>
      <c r="G58" s="778">
        <f t="shared" si="0"/>
        <v>7448171</v>
      </c>
      <c r="H58" s="779">
        <f t="shared" si="1"/>
        <v>6.4206218121266199</v>
      </c>
      <c r="I58" s="780">
        <f t="shared" si="2"/>
        <v>6.8458592008989019</v>
      </c>
      <c r="J58" s="781">
        <f t="shared" si="3"/>
        <v>547363</v>
      </c>
    </row>
    <row r="59" spans="1:10" ht="26.25" customHeight="1" x14ac:dyDescent="0.5">
      <c r="A59" s="273">
        <v>52</v>
      </c>
      <c r="B59" s="74" t="s">
        <v>113</v>
      </c>
      <c r="C59" s="274" t="s">
        <v>140</v>
      </c>
      <c r="D59" s="275">
        <f>+'2. สุรปเบิกจ่าย แยกงบ (GF)'!X58</f>
        <v>4486583</v>
      </c>
      <c r="E59" s="275">
        <f>+'2. สุรปเบิกจ่าย แยกงบ (GF)'!Y58</f>
        <v>5000</v>
      </c>
      <c r="F59" s="275">
        <f>+'2. สุรปเบิกจ่าย แยกงบ (GF)'!Z58</f>
        <v>304409</v>
      </c>
      <c r="G59" s="778">
        <f t="shared" si="0"/>
        <v>4177174</v>
      </c>
      <c r="H59" s="779">
        <f t="shared" si="1"/>
        <v>6.7848739229832589</v>
      </c>
      <c r="I59" s="780">
        <f t="shared" si="2"/>
        <v>6.8963173087403042</v>
      </c>
      <c r="J59" s="781">
        <f t="shared" si="3"/>
        <v>309409</v>
      </c>
    </row>
    <row r="60" spans="1:10" ht="26.25" customHeight="1" x14ac:dyDescent="0.5">
      <c r="A60" s="273">
        <v>53</v>
      </c>
      <c r="B60" s="74" t="s">
        <v>113</v>
      </c>
      <c r="C60" s="274" t="s">
        <v>141</v>
      </c>
      <c r="D60" s="275">
        <f>+'2. สุรปเบิกจ่าย แยกงบ (GF)'!X59</f>
        <v>5119875</v>
      </c>
      <c r="E60" s="275">
        <f>+'2. สุรปเบิกจ่าย แยกงบ (GF)'!Y59</f>
        <v>644862</v>
      </c>
      <c r="F60" s="275">
        <f>+'2. สุรปเบิกจ่าย แยกงบ (GF)'!Z59</f>
        <v>488502.18</v>
      </c>
      <c r="G60" s="778">
        <f t="shared" si="0"/>
        <v>3986510.82</v>
      </c>
      <c r="H60" s="779">
        <f t="shared" si="1"/>
        <v>9.5412911448033402</v>
      </c>
      <c r="I60" s="780">
        <f t="shared" si="2"/>
        <v>22.136559583974218</v>
      </c>
      <c r="J60" s="781">
        <f t="shared" si="3"/>
        <v>1133364.18</v>
      </c>
    </row>
    <row r="61" spans="1:10" ht="26.25" customHeight="1" x14ac:dyDescent="0.5">
      <c r="A61" s="273">
        <v>54</v>
      </c>
      <c r="B61" s="74" t="s">
        <v>113</v>
      </c>
      <c r="C61" s="274" t="s">
        <v>142</v>
      </c>
      <c r="D61" s="275">
        <f>+'2. สุรปเบิกจ่าย แยกงบ (GF)'!X60</f>
        <v>5247728</v>
      </c>
      <c r="E61" s="275">
        <f>+'2. สุรปเบิกจ่าย แยกงบ (GF)'!Y60</f>
        <v>0</v>
      </c>
      <c r="F61" s="275">
        <f>+'2. สุรปเบิกจ่าย แยกงบ (GF)'!Z60</f>
        <v>548822.89</v>
      </c>
      <c r="G61" s="778">
        <f t="shared" si="0"/>
        <v>4698905.1100000003</v>
      </c>
      <c r="H61" s="779">
        <f t="shared" si="1"/>
        <v>10.458295285121485</v>
      </c>
      <c r="I61" s="780">
        <f t="shared" si="2"/>
        <v>10.458295285121485</v>
      </c>
      <c r="J61" s="781">
        <f t="shared" si="3"/>
        <v>548822.89</v>
      </c>
    </row>
    <row r="62" spans="1:10" ht="26.25" customHeight="1" x14ac:dyDescent="0.5">
      <c r="A62" s="273">
        <v>55</v>
      </c>
      <c r="B62" s="74" t="s">
        <v>113</v>
      </c>
      <c r="C62" s="274" t="s">
        <v>39</v>
      </c>
      <c r="D62" s="275">
        <f>+'2. สุรปเบิกจ่าย แยกงบ (GF)'!X61</f>
        <v>4055509</v>
      </c>
      <c r="E62" s="275">
        <f>+'2. สุรปเบิกจ่าย แยกงบ (GF)'!Y61</f>
        <v>227999</v>
      </c>
      <c r="F62" s="275">
        <f>+'2. สุรปเบิกจ่าย แยกงบ (GF)'!Z61</f>
        <v>528814.75</v>
      </c>
      <c r="G62" s="778">
        <f t="shared" si="0"/>
        <v>3298695.25</v>
      </c>
      <c r="H62" s="779">
        <f t="shared" si="1"/>
        <v>13.039417493587118</v>
      </c>
      <c r="I62" s="780">
        <f t="shared" si="2"/>
        <v>18.661375181265779</v>
      </c>
      <c r="J62" s="781">
        <f t="shared" si="3"/>
        <v>756813.75</v>
      </c>
    </row>
    <row r="63" spans="1:10" ht="26.25" customHeight="1" x14ac:dyDescent="0.5">
      <c r="A63" s="273">
        <v>56</v>
      </c>
      <c r="B63" s="74" t="s">
        <v>113</v>
      </c>
      <c r="C63" s="274" t="s">
        <v>143</v>
      </c>
      <c r="D63" s="275">
        <f>+'2. สุรปเบิกจ่าย แยกงบ (GF)'!X62</f>
        <v>2688511</v>
      </c>
      <c r="E63" s="275">
        <f>+'2. สุรปเบิกจ่าย แยกงบ (GF)'!Y62</f>
        <v>32180</v>
      </c>
      <c r="F63" s="275">
        <f>+'2. สุรปเบิกจ่าย แยกงบ (GF)'!Z62</f>
        <v>219117.04</v>
      </c>
      <c r="G63" s="778">
        <f t="shared" si="0"/>
        <v>2437213.96</v>
      </c>
      <c r="H63" s="779">
        <f t="shared" si="1"/>
        <v>8.1501262222843796</v>
      </c>
      <c r="I63" s="780">
        <f t="shared" si="2"/>
        <v>9.347071297086007</v>
      </c>
      <c r="J63" s="781">
        <f t="shared" si="3"/>
        <v>251297.04</v>
      </c>
    </row>
    <row r="64" spans="1:10" ht="26.25" customHeight="1" x14ac:dyDescent="0.5">
      <c r="A64" s="273">
        <v>57</v>
      </c>
      <c r="B64" s="74" t="s">
        <v>113</v>
      </c>
      <c r="C64" s="274" t="s">
        <v>144</v>
      </c>
      <c r="D64" s="275">
        <f>+'2. สุรปเบิกจ่าย แยกงบ (GF)'!X63</f>
        <v>6169588</v>
      </c>
      <c r="E64" s="275">
        <f>+'2. สุรปเบิกจ่าย แยกงบ (GF)'!Y63</f>
        <v>0</v>
      </c>
      <c r="F64" s="275">
        <f>+'2. สุรปเบิกจ่าย แยกงบ (GF)'!Z63</f>
        <v>683261.03</v>
      </c>
      <c r="G64" s="778">
        <f t="shared" si="0"/>
        <v>5486326.9699999997</v>
      </c>
      <c r="H64" s="779">
        <f t="shared" si="1"/>
        <v>11.074662197864752</v>
      </c>
      <c r="I64" s="780">
        <f t="shared" si="2"/>
        <v>11.074662197864752</v>
      </c>
      <c r="J64" s="781">
        <f t="shared" si="3"/>
        <v>683261.03</v>
      </c>
    </row>
    <row r="65" spans="1:10" ht="26.25" customHeight="1" x14ac:dyDescent="0.5">
      <c r="A65" s="273">
        <v>58</v>
      </c>
      <c r="B65" s="74" t="s">
        <v>113</v>
      </c>
      <c r="C65" s="274" t="s">
        <v>40</v>
      </c>
      <c r="D65" s="275">
        <f>+'2. สุรปเบิกจ่าย แยกงบ (GF)'!X64</f>
        <v>2835105</v>
      </c>
      <c r="E65" s="275">
        <f>+'2. สุรปเบิกจ่าย แยกงบ (GF)'!Y64</f>
        <v>14490</v>
      </c>
      <c r="F65" s="275">
        <f>+'2. สุรปเบิกจ่าย แยกงบ (GF)'!Z64</f>
        <v>330355</v>
      </c>
      <c r="G65" s="778">
        <f t="shared" si="0"/>
        <v>2490260</v>
      </c>
      <c r="H65" s="779">
        <f t="shared" si="1"/>
        <v>11.65230211932186</v>
      </c>
      <c r="I65" s="780">
        <f t="shared" si="2"/>
        <v>12.163394301092906</v>
      </c>
      <c r="J65" s="781">
        <f t="shared" si="3"/>
        <v>344845</v>
      </c>
    </row>
    <row r="66" spans="1:10" ht="26.25" customHeight="1" x14ac:dyDescent="0.5">
      <c r="A66" s="273">
        <v>59</v>
      </c>
      <c r="B66" s="74" t="s">
        <v>113</v>
      </c>
      <c r="C66" s="274" t="s">
        <v>145</v>
      </c>
      <c r="D66" s="275">
        <f>+'2. สุรปเบิกจ่าย แยกงบ (GF)'!X65</f>
        <v>7261351</v>
      </c>
      <c r="E66" s="275">
        <f>+'2. สุรปเบิกจ่าย แยกงบ (GF)'!Y65</f>
        <v>0</v>
      </c>
      <c r="F66" s="275">
        <f>+'2. สุรปเบิกจ่าย แยกงบ (GF)'!Z65</f>
        <v>711600</v>
      </c>
      <c r="G66" s="778">
        <f t="shared" si="0"/>
        <v>6549751</v>
      </c>
      <c r="H66" s="779">
        <f t="shared" si="1"/>
        <v>9.7998292604227508</v>
      </c>
      <c r="I66" s="780">
        <f t="shared" si="2"/>
        <v>9.7998292604227508</v>
      </c>
      <c r="J66" s="781">
        <f t="shared" si="3"/>
        <v>711600</v>
      </c>
    </row>
    <row r="67" spans="1:10" ht="26.25" customHeight="1" x14ac:dyDescent="0.5">
      <c r="A67" s="273">
        <v>60</v>
      </c>
      <c r="B67" s="74" t="s">
        <v>113</v>
      </c>
      <c r="C67" s="274" t="s">
        <v>146</v>
      </c>
      <c r="D67" s="275">
        <f>+'2. สุรปเบิกจ่าย แยกงบ (GF)'!X66</f>
        <v>2286532</v>
      </c>
      <c r="E67" s="275">
        <f>+'2. สุรปเบิกจ่าย แยกงบ (GF)'!Y66</f>
        <v>0</v>
      </c>
      <c r="F67" s="275">
        <f>+'2. สุรปเบิกจ่าย แยกงบ (GF)'!Z66</f>
        <v>258314.85</v>
      </c>
      <c r="G67" s="778">
        <f t="shared" si="0"/>
        <v>2028217.15</v>
      </c>
      <c r="H67" s="779">
        <f t="shared" si="1"/>
        <v>11.297233102357632</v>
      </c>
      <c r="I67" s="780">
        <f t="shared" si="2"/>
        <v>11.297233102357632</v>
      </c>
      <c r="J67" s="781">
        <f t="shared" si="3"/>
        <v>258314.85</v>
      </c>
    </row>
    <row r="68" spans="1:10" ht="26.25" customHeight="1" x14ac:dyDescent="0.5">
      <c r="A68" s="273">
        <v>61</v>
      </c>
      <c r="B68" s="74" t="s">
        <v>113</v>
      </c>
      <c r="C68" s="274" t="s">
        <v>147</v>
      </c>
      <c r="D68" s="275">
        <f>+'2. สุรปเบิกจ่าย แยกงบ (GF)'!X67</f>
        <v>2385165</v>
      </c>
      <c r="E68" s="275">
        <f>+'2. สุรปเบิกจ่าย แยกงบ (GF)'!Y67</f>
        <v>0</v>
      </c>
      <c r="F68" s="275">
        <f>+'2. สุรปเบิกจ่าย แยกงบ (GF)'!Z67</f>
        <v>272527.08</v>
      </c>
      <c r="G68" s="778">
        <f t="shared" si="0"/>
        <v>2112637.92</v>
      </c>
      <c r="H68" s="779">
        <f t="shared" si="1"/>
        <v>11.425921477130514</v>
      </c>
      <c r="I68" s="780">
        <f t="shared" si="2"/>
        <v>11.425921477130514</v>
      </c>
      <c r="J68" s="781">
        <f t="shared" si="3"/>
        <v>272527.08</v>
      </c>
    </row>
    <row r="69" spans="1:10" ht="26.25" customHeight="1" x14ac:dyDescent="0.5">
      <c r="A69" s="273">
        <v>62</v>
      </c>
      <c r="B69" s="74" t="s">
        <v>113</v>
      </c>
      <c r="C69" s="274" t="s">
        <v>148</v>
      </c>
      <c r="D69" s="275">
        <f>+'2. สุรปเบิกจ่าย แยกงบ (GF)'!X68</f>
        <v>2207382</v>
      </c>
      <c r="E69" s="275">
        <f>+'2. สุรปเบิกจ่าย แยกงบ (GF)'!Y68</f>
        <v>0</v>
      </c>
      <c r="F69" s="275">
        <f>+'2. สุรปเบิกจ่าย แยกงบ (GF)'!Z68</f>
        <v>256649.26</v>
      </c>
      <c r="G69" s="778">
        <f t="shared" si="0"/>
        <v>1950732.74</v>
      </c>
      <c r="H69" s="779">
        <f t="shared" si="1"/>
        <v>11.626862047439003</v>
      </c>
      <c r="I69" s="780">
        <f t="shared" si="2"/>
        <v>11.626862047439003</v>
      </c>
      <c r="J69" s="781">
        <f t="shared" si="3"/>
        <v>256649.26</v>
      </c>
    </row>
    <row r="70" spans="1:10" ht="26.25" customHeight="1" x14ac:dyDescent="0.5">
      <c r="A70" s="273">
        <v>63</v>
      </c>
      <c r="B70" s="74" t="s">
        <v>113</v>
      </c>
      <c r="C70" s="274" t="s">
        <v>149</v>
      </c>
      <c r="D70" s="275">
        <f>+'2. สุรปเบิกจ่าย แยกงบ (GF)'!X69</f>
        <v>2149447</v>
      </c>
      <c r="E70" s="275">
        <f>+'2. สุรปเบิกจ่าย แยกงบ (GF)'!Y69</f>
        <v>0</v>
      </c>
      <c r="F70" s="275">
        <f>+'2. สุรปเบิกจ่าย แยกงบ (GF)'!Z69</f>
        <v>266600</v>
      </c>
      <c r="G70" s="778">
        <f t="shared" si="0"/>
        <v>1882847</v>
      </c>
      <c r="H70" s="779">
        <f t="shared" si="1"/>
        <v>12.403190215902043</v>
      </c>
      <c r="I70" s="780">
        <f t="shared" si="2"/>
        <v>12.403190215902043</v>
      </c>
      <c r="J70" s="781">
        <f t="shared" si="3"/>
        <v>266600</v>
      </c>
    </row>
    <row r="71" spans="1:10" ht="26.25" customHeight="1" x14ac:dyDescent="0.5">
      <c r="A71" s="273">
        <v>64</v>
      </c>
      <c r="B71" s="74" t="s">
        <v>113</v>
      </c>
      <c r="C71" s="274" t="s">
        <v>41</v>
      </c>
      <c r="D71" s="275">
        <f>+'2. สุรปเบิกจ่าย แยกงบ (GF)'!X70</f>
        <v>2014228</v>
      </c>
      <c r="E71" s="275">
        <f>+'2. สุรปเบิกจ่าย แยกงบ (GF)'!Y70</f>
        <v>0</v>
      </c>
      <c r="F71" s="275">
        <f>+'2. สุรปเบิกจ่าย แยกงบ (GF)'!Z70</f>
        <v>290825.39</v>
      </c>
      <c r="G71" s="778">
        <f t="shared" si="0"/>
        <v>1723402.6099999999</v>
      </c>
      <c r="H71" s="779">
        <f t="shared" si="1"/>
        <v>14.43855362947988</v>
      </c>
      <c r="I71" s="780">
        <f t="shared" si="2"/>
        <v>14.43855362947988</v>
      </c>
      <c r="J71" s="781">
        <f t="shared" si="3"/>
        <v>290825.39</v>
      </c>
    </row>
    <row r="72" spans="1:10" ht="26.25" customHeight="1" x14ac:dyDescent="0.5">
      <c r="A72" s="273">
        <v>65</v>
      </c>
      <c r="B72" s="74" t="s">
        <v>113</v>
      </c>
      <c r="C72" s="274" t="s">
        <v>42</v>
      </c>
      <c r="D72" s="275">
        <f>+'2. สุรปเบิกจ่าย แยกงบ (GF)'!X71</f>
        <v>2041063</v>
      </c>
      <c r="E72" s="275">
        <f>+'2. สุรปเบิกจ่าย แยกงบ (GF)'!Y71</f>
        <v>0</v>
      </c>
      <c r="F72" s="275">
        <f>+'2. สุรปเบิกจ่าย แยกงบ (GF)'!Z71</f>
        <v>239352.22999999998</v>
      </c>
      <c r="G72" s="778">
        <f t="shared" si="0"/>
        <v>1801710.77</v>
      </c>
      <c r="H72" s="779">
        <f t="shared" si="1"/>
        <v>11.726841846625998</v>
      </c>
      <c r="I72" s="780">
        <f t="shared" si="2"/>
        <v>11.726841846625998</v>
      </c>
      <c r="J72" s="781">
        <f t="shared" si="3"/>
        <v>239352.22999999998</v>
      </c>
    </row>
    <row r="73" spans="1:10" ht="26.25" customHeight="1" x14ac:dyDescent="0.5">
      <c r="A73" s="273">
        <v>66</v>
      </c>
      <c r="B73" s="74" t="s">
        <v>113</v>
      </c>
      <c r="C73" s="274" t="s">
        <v>43</v>
      </c>
      <c r="D73" s="275">
        <f>+'2. สุรปเบิกจ่าย แยกงบ (GF)'!X72</f>
        <v>2387646</v>
      </c>
      <c r="E73" s="275">
        <f>+'2. สุรปเบิกจ่าย แยกงบ (GF)'!Y72</f>
        <v>73400</v>
      </c>
      <c r="F73" s="275">
        <f>+'2. สุรปเบิกจ่าย แยกงบ (GF)'!Z72</f>
        <v>277726.44</v>
      </c>
      <c r="G73" s="778">
        <f t="shared" ref="G73:G103" si="4">+D73-E73-F73</f>
        <v>2036519.56</v>
      </c>
      <c r="H73" s="779">
        <f t="shared" ref="H73:H103" si="5">F73*100/D73</f>
        <v>11.631809740639945</v>
      </c>
      <c r="I73" s="780">
        <f t="shared" ref="I73:I104" si="6">+J73*100/D73</f>
        <v>14.705967300010135</v>
      </c>
      <c r="J73" s="781">
        <f t="shared" ref="J73:J104" si="7">+E73+F73</f>
        <v>351126.44</v>
      </c>
    </row>
    <row r="74" spans="1:10" ht="26.25" customHeight="1" x14ac:dyDescent="0.5">
      <c r="A74" s="273">
        <v>67</v>
      </c>
      <c r="B74" s="74" t="s">
        <v>113</v>
      </c>
      <c r="C74" s="274" t="s">
        <v>44</v>
      </c>
      <c r="D74" s="275">
        <f>+'2. สุรปเบิกจ่าย แยกงบ (GF)'!X73</f>
        <v>6073794</v>
      </c>
      <c r="E74" s="275">
        <f>+'2. สุรปเบิกจ่าย แยกงบ (GF)'!Y73</f>
        <v>694365</v>
      </c>
      <c r="F74" s="275">
        <f>+'2. สุรปเบิกจ่าย แยกงบ (GF)'!Z73</f>
        <v>577685.26</v>
      </c>
      <c r="G74" s="778">
        <f t="shared" si="4"/>
        <v>4801743.74</v>
      </c>
      <c r="H74" s="779">
        <f t="shared" si="5"/>
        <v>9.5111105184008551</v>
      </c>
      <c r="I74" s="780">
        <f t="shared" si="6"/>
        <v>20.943256554305265</v>
      </c>
      <c r="J74" s="781">
        <f t="shared" si="7"/>
        <v>1272050.26</v>
      </c>
    </row>
    <row r="75" spans="1:10" ht="26.25" customHeight="1" x14ac:dyDescent="0.5">
      <c r="A75" s="273">
        <v>68</v>
      </c>
      <c r="B75" s="74" t="s">
        <v>113</v>
      </c>
      <c r="C75" s="274" t="s">
        <v>45</v>
      </c>
      <c r="D75" s="275">
        <f>+'2. สุรปเบิกจ่าย แยกงบ (GF)'!X74</f>
        <v>2667911</v>
      </c>
      <c r="E75" s="275">
        <f>+'2. สุรปเบิกจ่าย แยกงบ (GF)'!Y74</f>
        <v>201000</v>
      </c>
      <c r="F75" s="275">
        <f>+'2. สุรปเบิกจ่าย แยกงบ (GF)'!Z74</f>
        <v>236713.34</v>
      </c>
      <c r="G75" s="778">
        <f t="shared" si="4"/>
        <v>2230197.66</v>
      </c>
      <c r="H75" s="779">
        <f t="shared" si="5"/>
        <v>8.8726100683268676</v>
      </c>
      <c r="I75" s="780">
        <f t="shared" si="6"/>
        <v>16.406594522830783</v>
      </c>
      <c r="J75" s="781">
        <f t="shared" si="7"/>
        <v>437713.33999999997</v>
      </c>
    </row>
    <row r="76" spans="1:10" ht="26.25" customHeight="1" x14ac:dyDescent="0.5">
      <c r="A76" s="273">
        <v>69</v>
      </c>
      <c r="B76" s="74" t="s">
        <v>113</v>
      </c>
      <c r="C76" s="274" t="s">
        <v>63</v>
      </c>
      <c r="D76" s="275">
        <f>+'2. สุรปเบิกจ่าย แยกงบ (GF)'!X75</f>
        <v>3087643</v>
      </c>
      <c r="E76" s="275">
        <f>+'2. สุรปเบิกจ่าย แยกงบ (GF)'!Y75</f>
        <v>51955</v>
      </c>
      <c r="F76" s="275">
        <f>+'2. สุรปเบิกจ่าย แยกงบ (GF)'!Z75</f>
        <v>342382.76</v>
      </c>
      <c r="G76" s="778">
        <f t="shared" si="4"/>
        <v>2693305.24</v>
      </c>
      <c r="H76" s="779">
        <f t="shared" si="5"/>
        <v>11.088806575112473</v>
      </c>
      <c r="I76" s="780">
        <f t="shared" si="6"/>
        <v>12.771481677123942</v>
      </c>
      <c r="J76" s="781">
        <f t="shared" si="7"/>
        <v>394337.76</v>
      </c>
    </row>
    <row r="77" spans="1:10" ht="26.25" customHeight="1" x14ac:dyDescent="0.5">
      <c r="A77" s="273">
        <v>70</v>
      </c>
      <c r="B77" s="74" t="s">
        <v>113</v>
      </c>
      <c r="C77" s="274" t="s">
        <v>150</v>
      </c>
      <c r="D77" s="275">
        <f>+'2. สุรปเบิกจ่าย แยกงบ (GF)'!X76</f>
        <v>2926815</v>
      </c>
      <c r="E77" s="275">
        <f>+'2. สุรปเบิกจ่าย แยกงบ (GF)'!Y76</f>
        <v>0</v>
      </c>
      <c r="F77" s="275">
        <f>+'2. สุรปเบิกจ่าย แยกงบ (GF)'!Z76</f>
        <v>262373.21999999997</v>
      </c>
      <c r="G77" s="778">
        <f t="shared" si="4"/>
        <v>2664441.7800000003</v>
      </c>
      <c r="H77" s="779">
        <f t="shared" si="5"/>
        <v>8.9644620517525002</v>
      </c>
      <c r="I77" s="780">
        <f t="shared" si="6"/>
        <v>8.9644620517525002</v>
      </c>
      <c r="J77" s="781">
        <f t="shared" si="7"/>
        <v>262373.21999999997</v>
      </c>
    </row>
    <row r="78" spans="1:10" ht="26.25" customHeight="1" x14ac:dyDescent="0.5">
      <c r="A78" s="273">
        <v>71</v>
      </c>
      <c r="B78" s="74" t="s">
        <v>113</v>
      </c>
      <c r="C78" s="274" t="s">
        <v>46</v>
      </c>
      <c r="D78" s="275">
        <f>+'2. สุรปเบิกจ่าย แยกงบ (GF)'!X77</f>
        <v>3506392</v>
      </c>
      <c r="E78" s="275">
        <f>+'2. สุรปเบิกจ่าย แยกงบ (GF)'!Y77</f>
        <v>0</v>
      </c>
      <c r="F78" s="275">
        <f>+'2. สุรปเบิกจ่าย แยกงบ (GF)'!Z77</f>
        <v>335544.62</v>
      </c>
      <c r="G78" s="778">
        <f t="shared" si="4"/>
        <v>3170847.38</v>
      </c>
      <c r="H78" s="779">
        <f t="shared" si="5"/>
        <v>9.5695124789242048</v>
      </c>
      <c r="I78" s="780">
        <f t="shared" si="6"/>
        <v>9.5695124789242048</v>
      </c>
      <c r="J78" s="781">
        <f t="shared" si="7"/>
        <v>335544.62</v>
      </c>
    </row>
    <row r="79" spans="1:10" ht="26.25" customHeight="1" x14ac:dyDescent="0.5">
      <c r="A79" s="273">
        <v>72</v>
      </c>
      <c r="B79" s="74" t="s">
        <v>113</v>
      </c>
      <c r="C79" s="274" t="s">
        <v>151</v>
      </c>
      <c r="D79" s="275">
        <f>+'2. สุรปเบิกจ่าย แยกงบ (GF)'!X78</f>
        <v>2825985</v>
      </c>
      <c r="E79" s="275">
        <f>+'2. สุรปเบิกจ่าย แยกงบ (GF)'!Y78</f>
        <v>149730</v>
      </c>
      <c r="F79" s="275">
        <f>+'2. สุรปเบิกจ่าย แยกงบ (GF)'!Z78</f>
        <v>361076.66000000003</v>
      </c>
      <c r="G79" s="778">
        <f t="shared" si="4"/>
        <v>2315178.34</v>
      </c>
      <c r="H79" s="779">
        <f t="shared" si="5"/>
        <v>12.777019694018191</v>
      </c>
      <c r="I79" s="780">
        <f t="shared" si="6"/>
        <v>18.075349302986393</v>
      </c>
      <c r="J79" s="781">
        <f t="shared" si="7"/>
        <v>510806.66000000003</v>
      </c>
    </row>
    <row r="80" spans="1:10" ht="26.25" customHeight="1" x14ac:dyDescent="0.5">
      <c r="A80" s="273">
        <v>73</v>
      </c>
      <c r="B80" s="74" t="s">
        <v>113</v>
      </c>
      <c r="C80" s="274" t="s">
        <v>152</v>
      </c>
      <c r="D80" s="275">
        <f>+'2. สุรปเบิกจ่าย แยกงบ (GF)'!X79</f>
        <v>1942118</v>
      </c>
      <c r="E80" s="275">
        <f>+'2. สุรปเบิกจ่าย แยกงบ (GF)'!Y79</f>
        <v>0</v>
      </c>
      <c r="F80" s="275">
        <f>+'2. สุรปเบิกจ่าย แยกงบ (GF)'!Z79</f>
        <v>246149.14</v>
      </c>
      <c r="G80" s="778">
        <f t="shared" si="4"/>
        <v>1695968.8599999999</v>
      </c>
      <c r="H80" s="779">
        <f t="shared" si="5"/>
        <v>12.674262840877846</v>
      </c>
      <c r="I80" s="780">
        <f t="shared" si="6"/>
        <v>12.674262840877846</v>
      </c>
      <c r="J80" s="781">
        <f t="shared" si="7"/>
        <v>246149.14</v>
      </c>
    </row>
    <row r="81" spans="1:10" ht="26.25" customHeight="1" x14ac:dyDescent="0.5">
      <c r="A81" s="273">
        <v>74</v>
      </c>
      <c r="B81" s="74" t="s">
        <v>113</v>
      </c>
      <c r="C81" s="274" t="s">
        <v>47</v>
      </c>
      <c r="D81" s="275">
        <f>+'2. สุรปเบิกจ่าย แยกงบ (GF)'!X80</f>
        <v>2127561</v>
      </c>
      <c r="E81" s="275">
        <f>+'2. สุรปเบิกจ่าย แยกงบ (GF)'!Y80</f>
        <v>12990</v>
      </c>
      <c r="F81" s="275">
        <f>+'2. สุรปเบิกจ่าย แยกงบ (GF)'!Z80</f>
        <v>275182.21999999997</v>
      </c>
      <c r="G81" s="778">
        <f t="shared" si="4"/>
        <v>1839388.78</v>
      </c>
      <c r="H81" s="779">
        <f t="shared" si="5"/>
        <v>12.93416357979865</v>
      </c>
      <c r="I81" s="780">
        <f t="shared" si="6"/>
        <v>13.544721866964094</v>
      </c>
      <c r="J81" s="781">
        <f t="shared" si="7"/>
        <v>288172.21999999997</v>
      </c>
    </row>
    <row r="82" spans="1:10" ht="26.25" customHeight="1" x14ac:dyDescent="0.5">
      <c r="A82" s="273">
        <v>75</v>
      </c>
      <c r="B82" s="74" t="s">
        <v>113</v>
      </c>
      <c r="C82" s="274" t="s">
        <v>153</v>
      </c>
      <c r="D82" s="275">
        <f>+'2. สุรปเบิกจ่าย แยกงบ (GF)'!X81</f>
        <v>1853127</v>
      </c>
      <c r="E82" s="275">
        <f>+'2. สุรปเบิกจ่าย แยกงบ (GF)'!Y81</f>
        <v>0</v>
      </c>
      <c r="F82" s="275">
        <f>+'2. สุรปเบิกจ่าย แยกงบ (GF)'!Z81</f>
        <v>256972.4</v>
      </c>
      <c r="G82" s="778">
        <f t="shared" si="4"/>
        <v>1596154.6</v>
      </c>
      <c r="H82" s="779">
        <f t="shared" si="5"/>
        <v>13.866961087934071</v>
      </c>
      <c r="I82" s="780">
        <f t="shared" si="6"/>
        <v>13.866961087934071</v>
      </c>
      <c r="J82" s="781">
        <f t="shared" si="7"/>
        <v>256972.4</v>
      </c>
    </row>
    <row r="83" spans="1:10" ht="26.25" customHeight="1" x14ac:dyDescent="0.5">
      <c r="A83" s="273">
        <v>76</v>
      </c>
      <c r="B83" s="74" t="s">
        <v>113</v>
      </c>
      <c r="C83" s="274" t="s">
        <v>48</v>
      </c>
      <c r="D83" s="275">
        <f>+'2. สุรปเบิกจ่าย แยกงบ (GF)'!X82</f>
        <v>1531062</v>
      </c>
      <c r="E83" s="275">
        <f>+'2. สุรปเบิกจ่าย แยกงบ (GF)'!Y82</f>
        <v>0</v>
      </c>
      <c r="F83" s="275">
        <f>+'2. สุรปเบิกจ่าย แยกงบ (GF)'!Z82</f>
        <v>194844.32</v>
      </c>
      <c r="G83" s="778">
        <f t="shared" si="4"/>
        <v>1336217.68</v>
      </c>
      <c r="H83" s="779">
        <f t="shared" si="5"/>
        <v>12.726089472536056</v>
      </c>
      <c r="I83" s="780">
        <f t="shared" si="6"/>
        <v>12.726089472536056</v>
      </c>
      <c r="J83" s="781">
        <f t="shared" si="7"/>
        <v>194844.32</v>
      </c>
    </row>
    <row r="84" spans="1:10" ht="26.25" customHeight="1" x14ac:dyDescent="0.5">
      <c r="A84" s="273">
        <v>77</v>
      </c>
      <c r="B84" s="74" t="s">
        <v>113</v>
      </c>
      <c r="C84" s="274" t="s">
        <v>154</v>
      </c>
      <c r="D84" s="275">
        <f>+'2. สุรปเบิกจ่าย แยกงบ (GF)'!X83</f>
        <v>2494997</v>
      </c>
      <c r="E84" s="275">
        <f>+'2. สุรปเบิกจ่าย แยกงบ (GF)'!Y83</f>
        <v>0</v>
      </c>
      <c r="F84" s="275">
        <f>+'2. สุรปเบิกจ่าย แยกงบ (GF)'!Z83</f>
        <v>226305.8</v>
      </c>
      <c r="G84" s="778">
        <f t="shared" si="4"/>
        <v>2268691.2000000002</v>
      </c>
      <c r="H84" s="779">
        <f t="shared" si="5"/>
        <v>9.07038365176391</v>
      </c>
      <c r="I84" s="780">
        <f t="shared" si="6"/>
        <v>9.07038365176391</v>
      </c>
      <c r="J84" s="781">
        <f t="shared" si="7"/>
        <v>226305.8</v>
      </c>
    </row>
    <row r="85" spans="1:10" ht="26.25" customHeight="1" x14ac:dyDescent="0.5">
      <c r="A85" s="273">
        <v>78</v>
      </c>
      <c r="B85" s="74" t="s">
        <v>113</v>
      </c>
      <c r="C85" s="274" t="s">
        <v>49</v>
      </c>
      <c r="D85" s="275">
        <f>+'2. สุรปเบิกจ่าย แยกงบ (GF)'!X84</f>
        <v>2382640</v>
      </c>
      <c r="E85" s="275">
        <f>+'2. สุรปเบิกจ่าย แยกงบ (GF)'!Y84</f>
        <v>0</v>
      </c>
      <c r="F85" s="275">
        <f>+'2. สุรปเบิกจ่าย แยกงบ (GF)'!Z84</f>
        <v>238467.57</v>
      </c>
      <c r="G85" s="778">
        <f t="shared" si="4"/>
        <v>2144172.4300000002</v>
      </c>
      <c r="H85" s="779">
        <f t="shared" si="5"/>
        <v>10.008543884094953</v>
      </c>
      <c r="I85" s="780">
        <f t="shared" si="6"/>
        <v>10.008543884094953</v>
      </c>
      <c r="J85" s="781">
        <f t="shared" si="7"/>
        <v>238467.57</v>
      </c>
    </row>
    <row r="86" spans="1:10" ht="26.25" customHeight="1" x14ac:dyDescent="0.5">
      <c r="A86" s="273">
        <v>79</v>
      </c>
      <c r="B86" s="74" t="s">
        <v>113</v>
      </c>
      <c r="C86" s="274" t="s">
        <v>50</v>
      </c>
      <c r="D86" s="275">
        <f>+'2. สุรปเบิกจ่าย แยกงบ (GF)'!X85</f>
        <v>2156370</v>
      </c>
      <c r="E86" s="275">
        <f>+'2. สุรปเบิกจ่าย แยกงบ (GF)'!Y85</f>
        <v>0</v>
      </c>
      <c r="F86" s="275">
        <f>+'2. สุรปเบิกจ่าย แยกงบ (GF)'!Z85</f>
        <v>228768.89</v>
      </c>
      <c r="G86" s="778">
        <f t="shared" si="4"/>
        <v>1927601.1099999999</v>
      </c>
      <c r="H86" s="779">
        <f t="shared" si="5"/>
        <v>10.608981297272731</v>
      </c>
      <c r="I86" s="780">
        <f t="shared" si="6"/>
        <v>10.608981297272731</v>
      </c>
      <c r="J86" s="781">
        <f t="shared" si="7"/>
        <v>228768.89</v>
      </c>
    </row>
    <row r="87" spans="1:10" ht="26.25" customHeight="1" x14ac:dyDescent="0.5">
      <c r="A87" s="273">
        <v>80</v>
      </c>
      <c r="B87" s="74" t="s">
        <v>113</v>
      </c>
      <c r="C87" s="274" t="s">
        <v>155</v>
      </c>
      <c r="D87" s="275">
        <f>+'2. สุรปเบิกจ่าย แยกงบ (GF)'!X86</f>
        <v>1628789</v>
      </c>
      <c r="E87" s="275">
        <f>+'2. สุรปเบิกจ่าย แยกงบ (GF)'!Y86</f>
        <v>0</v>
      </c>
      <c r="F87" s="275">
        <f>+'2. สุรปเบิกจ่าย แยกงบ (GF)'!Z86</f>
        <v>209205.38</v>
      </c>
      <c r="G87" s="778">
        <f t="shared" si="4"/>
        <v>1419583.62</v>
      </c>
      <c r="H87" s="779">
        <f t="shared" si="5"/>
        <v>12.844228442112515</v>
      </c>
      <c r="I87" s="780">
        <f t="shared" si="6"/>
        <v>12.844228442112515</v>
      </c>
      <c r="J87" s="781">
        <f t="shared" si="7"/>
        <v>209205.38</v>
      </c>
    </row>
    <row r="88" spans="1:10" ht="26.25" customHeight="1" x14ac:dyDescent="0.5">
      <c r="A88" s="273">
        <v>81</v>
      </c>
      <c r="B88" s="74" t="s">
        <v>113</v>
      </c>
      <c r="C88" s="274" t="s">
        <v>51</v>
      </c>
      <c r="D88" s="275">
        <f>+'2. สุรปเบิกจ่าย แยกงบ (GF)'!X87</f>
        <v>2383507</v>
      </c>
      <c r="E88" s="275">
        <f>+'2. สุรปเบิกจ่าย แยกงบ (GF)'!Y87</f>
        <v>0</v>
      </c>
      <c r="F88" s="275">
        <f>+'2. สุรปเบิกจ่าย แยกงบ (GF)'!Z87</f>
        <v>366872.8</v>
      </c>
      <c r="G88" s="778">
        <f t="shared" si="4"/>
        <v>2016634.2</v>
      </c>
      <c r="H88" s="779">
        <f t="shared" si="5"/>
        <v>15.392142754353145</v>
      </c>
      <c r="I88" s="780">
        <f t="shared" si="6"/>
        <v>15.392142754353145</v>
      </c>
      <c r="J88" s="781">
        <f t="shared" si="7"/>
        <v>366872.8</v>
      </c>
    </row>
    <row r="89" spans="1:10" ht="26.25" customHeight="1" x14ac:dyDescent="0.5">
      <c r="A89" s="273">
        <v>82</v>
      </c>
      <c r="B89" s="74" t="s">
        <v>113</v>
      </c>
      <c r="C89" s="274" t="s">
        <v>156</v>
      </c>
      <c r="D89" s="275">
        <f>+'2. สุรปเบิกจ่าย แยกงบ (GF)'!X88</f>
        <v>2073107</v>
      </c>
      <c r="E89" s="275">
        <f>+'2. สุรปเบิกจ่าย แยกงบ (GF)'!Y88</f>
        <v>0</v>
      </c>
      <c r="F89" s="275">
        <f>+'2. สุรปเบิกจ่าย แยกงบ (GF)'!Z88</f>
        <v>266868.08</v>
      </c>
      <c r="G89" s="778">
        <f t="shared" si="4"/>
        <v>1806238.92</v>
      </c>
      <c r="H89" s="779">
        <f t="shared" si="5"/>
        <v>12.872856056151468</v>
      </c>
      <c r="I89" s="780">
        <f t="shared" si="6"/>
        <v>12.872856056151468</v>
      </c>
      <c r="J89" s="781">
        <f t="shared" si="7"/>
        <v>266868.08</v>
      </c>
    </row>
    <row r="90" spans="1:10" ht="26.25" customHeight="1" x14ac:dyDescent="0.5">
      <c r="A90" s="273">
        <v>83</v>
      </c>
      <c r="B90" s="74" t="s">
        <v>113</v>
      </c>
      <c r="C90" s="274" t="s">
        <v>157</v>
      </c>
      <c r="D90" s="275">
        <f>+'2. สุรปเบิกจ่าย แยกงบ (GF)'!X89</f>
        <v>1953757</v>
      </c>
      <c r="E90" s="275">
        <f>+'2. สุรปเบิกจ่าย แยกงบ (GF)'!Y89</f>
        <v>0</v>
      </c>
      <c r="F90" s="275">
        <f>+'2. สุรปเบิกจ่าย แยกงบ (GF)'!Z89</f>
        <v>185869.99</v>
      </c>
      <c r="G90" s="778">
        <f t="shared" si="4"/>
        <v>1767887.01</v>
      </c>
      <c r="H90" s="779">
        <f t="shared" si="5"/>
        <v>9.5134650829146103</v>
      </c>
      <c r="I90" s="780">
        <f t="shared" si="6"/>
        <v>9.5134650829146103</v>
      </c>
      <c r="J90" s="781">
        <f t="shared" si="7"/>
        <v>185869.99</v>
      </c>
    </row>
    <row r="91" spans="1:10" ht="26.25" customHeight="1" x14ac:dyDescent="0.5">
      <c r="A91" s="273">
        <v>84</v>
      </c>
      <c r="B91" s="74" t="s">
        <v>113</v>
      </c>
      <c r="C91" s="274" t="s">
        <v>158</v>
      </c>
      <c r="D91" s="275">
        <f>+'2. สุรปเบิกจ่าย แยกงบ (GF)'!X90</f>
        <v>2461777</v>
      </c>
      <c r="E91" s="275">
        <f>+'2. สุรปเบิกจ่าย แยกงบ (GF)'!Y90</f>
        <v>0</v>
      </c>
      <c r="F91" s="275">
        <f>+'2. สุรปเบิกจ่าย แยกงบ (GF)'!Z90</f>
        <v>280165</v>
      </c>
      <c r="G91" s="778">
        <f t="shared" si="4"/>
        <v>2181612</v>
      </c>
      <c r="H91" s="779">
        <f t="shared" si="5"/>
        <v>11.380600273704726</v>
      </c>
      <c r="I91" s="780">
        <f t="shared" si="6"/>
        <v>11.380600273704726</v>
      </c>
      <c r="J91" s="781">
        <f t="shared" si="7"/>
        <v>280165</v>
      </c>
    </row>
    <row r="92" spans="1:10" ht="26.25" customHeight="1" x14ac:dyDescent="0.5">
      <c r="A92" s="273">
        <v>85</v>
      </c>
      <c r="B92" s="74" t="s">
        <v>113</v>
      </c>
      <c r="C92" s="274" t="s">
        <v>52</v>
      </c>
      <c r="D92" s="275">
        <f>+'2. สุรปเบิกจ่าย แยกงบ (GF)'!X91</f>
        <v>2502415</v>
      </c>
      <c r="E92" s="275">
        <f>+'2. สุรปเบิกจ่าย แยกงบ (GF)'!Y91</f>
        <v>0</v>
      </c>
      <c r="F92" s="275">
        <f>+'2. สุรปเบิกจ่าย แยกงบ (GF)'!Z91</f>
        <v>309748.15000000002</v>
      </c>
      <c r="G92" s="778">
        <f t="shared" si="4"/>
        <v>2192666.85</v>
      </c>
      <c r="H92" s="779">
        <f t="shared" si="5"/>
        <v>12.377968882059932</v>
      </c>
      <c r="I92" s="780">
        <f t="shared" si="6"/>
        <v>12.377968882059932</v>
      </c>
      <c r="J92" s="781">
        <f t="shared" si="7"/>
        <v>309748.15000000002</v>
      </c>
    </row>
    <row r="93" spans="1:10" ht="26.25" customHeight="1" x14ac:dyDescent="0.5">
      <c r="A93" s="273">
        <v>86</v>
      </c>
      <c r="B93" s="74" t="s">
        <v>113</v>
      </c>
      <c r="C93" s="274" t="s">
        <v>53</v>
      </c>
      <c r="D93" s="275">
        <f>+'2. สุรปเบิกจ่าย แยกงบ (GF)'!X92</f>
        <v>2671061</v>
      </c>
      <c r="E93" s="275">
        <f>+'2. สุรปเบิกจ่าย แยกงบ (GF)'!Y92</f>
        <v>0</v>
      </c>
      <c r="F93" s="275">
        <f>+'2. สุรปเบิกจ่าย แยกงบ (GF)'!Z92</f>
        <v>313325.78000000003</v>
      </c>
      <c r="G93" s="778">
        <f t="shared" si="4"/>
        <v>2357735.2199999997</v>
      </c>
      <c r="H93" s="779">
        <f t="shared" si="5"/>
        <v>11.730386539281582</v>
      </c>
      <c r="I93" s="780">
        <f t="shared" si="6"/>
        <v>11.730386539281582</v>
      </c>
      <c r="J93" s="781">
        <f t="shared" si="7"/>
        <v>313325.78000000003</v>
      </c>
    </row>
    <row r="94" spans="1:10" ht="26.25" customHeight="1" x14ac:dyDescent="0.5">
      <c r="A94" s="273">
        <v>87</v>
      </c>
      <c r="B94" s="74" t="s">
        <v>113</v>
      </c>
      <c r="C94" s="274" t="s">
        <v>159</v>
      </c>
      <c r="D94" s="275">
        <f>+'2. สุรปเบิกจ่าย แยกงบ (GF)'!X93</f>
        <v>3534048</v>
      </c>
      <c r="E94" s="275">
        <f>+'2. สุรปเบิกจ่าย แยกงบ (GF)'!Y93</f>
        <v>0</v>
      </c>
      <c r="F94" s="275">
        <f>+'2. สุรปเบิกจ่าย แยกงบ (GF)'!Z93</f>
        <v>294164.3</v>
      </c>
      <c r="G94" s="778">
        <f t="shared" si="4"/>
        <v>3239883.7</v>
      </c>
      <c r="H94" s="779">
        <f t="shared" si="5"/>
        <v>8.323721126594771</v>
      </c>
      <c r="I94" s="780">
        <f t="shared" si="6"/>
        <v>8.323721126594771</v>
      </c>
      <c r="J94" s="781">
        <f t="shared" si="7"/>
        <v>294164.3</v>
      </c>
    </row>
    <row r="95" spans="1:10" ht="26.25" customHeight="1" x14ac:dyDescent="0.5">
      <c r="A95" s="273">
        <v>88</v>
      </c>
      <c r="B95" s="74" t="s">
        <v>113</v>
      </c>
      <c r="C95" s="274" t="s">
        <v>160</v>
      </c>
      <c r="D95" s="275">
        <f>+'2. สุรปเบิกจ่าย แยกงบ (GF)'!X94</f>
        <v>2637111</v>
      </c>
      <c r="E95" s="275">
        <f>+'2. สุรปเบิกจ่าย แยกงบ (GF)'!Y94</f>
        <v>0</v>
      </c>
      <c r="F95" s="275">
        <f>+'2. สุรปเบิกจ่าย แยกงบ (GF)'!Z94</f>
        <v>266956.28000000003</v>
      </c>
      <c r="G95" s="778">
        <f t="shared" si="4"/>
        <v>2370154.7199999997</v>
      </c>
      <c r="H95" s="779">
        <f t="shared" si="5"/>
        <v>10.123058149619036</v>
      </c>
      <c r="I95" s="780">
        <f t="shared" si="6"/>
        <v>10.123058149619036</v>
      </c>
      <c r="J95" s="781">
        <f t="shared" si="7"/>
        <v>266956.28000000003</v>
      </c>
    </row>
    <row r="96" spans="1:10" ht="26.25" customHeight="1" x14ac:dyDescent="0.5">
      <c r="A96" s="273">
        <v>89</v>
      </c>
      <c r="B96" s="74" t="s">
        <v>113</v>
      </c>
      <c r="C96" s="274" t="s">
        <v>161</v>
      </c>
      <c r="D96" s="275">
        <f>+'2. สุรปเบิกจ่าย แยกงบ (GF)'!X95</f>
        <v>6094119</v>
      </c>
      <c r="E96" s="275">
        <f>+'2. สุรปเบิกจ่าย แยกงบ (GF)'!Y95</f>
        <v>0</v>
      </c>
      <c r="F96" s="275">
        <f>+'2. สุรปเบิกจ่าย แยกงบ (GF)'!Z95</f>
        <v>329279.74</v>
      </c>
      <c r="G96" s="778">
        <f t="shared" si="4"/>
        <v>5764839.2599999998</v>
      </c>
      <c r="H96" s="779">
        <f t="shared" si="5"/>
        <v>5.4032377772734668</v>
      </c>
      <c r="I96" s="780">
        <f t="shared" si="6"/>
        <v>5.4032377772734668</v>
      </c>
      <c r="J96" s="781">
        <f t="shared" si="7"/>
        <v>329279.74</v>
      </c>
    </row>
    <row r="97" spans="1:10" ht="26.25" customHeight="1" x14ac:dyDescent="0.5">
      <c r="A97" s="273">
        <v>90</v>
      </c>
      <c r="B97" s="74" t="s">
        <v>113</v>
      </c>
      <c r="C97" s="274" t="s">
        <v>54</v>
      </c>
      <c r="D97" s="275">
        <f>+'2. สุรปเบิกจ่าย แยกงบ (GF)'!X96</f>
        <v>3178481</v>
      </c>
      <c r="E97" s="275">
        <f>+'2. สุรปเบิกจ่าย แยกงบ (GF)'!Y96</f>
        <v>0</v>
      </c>
      <c r="F97" s="275">
        <f>+'2. สุรปเบิกจ่าย แยกงบ (GF)'!Z96</f>
        <v>408506.12</v>
      </c>
      <c r="G97" s="778">
        <f t="shared" si="4"/>
        <v>2769974.88</v>
      </c>
      <c r="H97" s="779">
        <f t="shared" si="5"/>
        <v>12.852243571693522</v>
      </c>
      <c r="I97" s="780">
        <f t="shared" si="6"/>
        <v>12.852243571693522</v>
      </c>
      <c r="J97" s="781">
        <f t="shared" si="7"/>
        <v>408506.12</v>
      </c>
    </row>
    <row r="98" spans="1:10" ht="26.25" customHeight="1" x14ac:dyDescent="0.5">
      <c r="A98" s="273">
        <v>91</v>
      </c>
      <c r="B98" s="74" t="s">
        <v>113</v>
      </c>
      <c r="C98" s="274" t="s">
        <v>55</v>
      </c>
      <c r="D98" s="275">
        <f>+'2. สุรปเบิกจ่าย แยกงบ (GF)'!X97</f>
        <v>3244667</v>
      </c>
      <c r="E98" s="275">
        <f>+'2. สุรปเบิกจ่าย แยกงบ (GF)'!Y97</f>
        <v>288000</v>
      </c>
      <c r="F98" s="275">
        <f>+'2. สุรปเบิกจ่าย แยกงบ (GF)'!Z97</f>
        <v>323209.27</v>
      </c>
      <c r="G98" s="778">
        <f t="shared" si="4"/>
        <v>2633457.73</v>
      </c>
      <c r="H98" s="779">
        <f t="shared" si="5"/>
        <v>9.9612462542381088</v>
      </c>
      <c r="I98" s="780">
        <f t="shared" si="6"/>
        <v>18.837349718784701</v>
      </c>
      <c r="J98" s="781">
        <f t="shared" si="7"/>
        <v>611209.27</v>
      </c>
    </row>
    <row r="99" spans="1:10" ht="26.25" customHeight="1" x14ac:dyDescent="0.5">
      <c r="A99" s="273">
        <v>92</v>
      </c>
      <c r="B99" s="74" t="s">
        <v>115</v>
      </c>
      <c r="C99" s="274" t="s">
        <v>20</v>
      </c>
      <c r="D99" s="275">
        <f>+'2. สุรปเบิกจ่าย แยกงบ (GF)'!X98</f>
        <v>7626482</v>
      </c>
      <c r="E99" s="275">
        <f>+'2. สุรปเบิกจ่าย แยกงบ (GF)'!Y98</f>
        <v>0</v>
      </c>
      <c r="F99" s="275">
        <f>+'2. สุรปเบิกจ่าย แยกงบ (GF)'!Z98</f>
        <v>766082.96</v>
      </c>
      <c r="G99" s="778">
        <f t="shared" si="4"/>
        <v>6860399.04</v>
      </c>
      <c r="H99" s="779">
        <f t="shared" si="5"/>
        <v>10.045037279311746</v>
      </c>
      <c r="I99" s="780">
        <f t="shared" si="6"/>
        <v>10.045037279311746</v>
      </c>
      <c r="J99" s="781">
        <f t="shared" si="7"/>
        <v>766082.96</v>
      </c>
    </row>
    <row r="100" spans="1:10" ht="26.25" customHeight="1" x14ac:dyDescent="0.5">
      <c r="A100" s="273">
        <v>93</v>
      </c>
      <c r="B100" s="74" t="s">
        <v>115</v>
      </c>
      <c r="C100" s="274" t="s">
        <v>162</v>
      </c>
      <c r="D100" s="275">
        <f>+'2. สุรปเบิกจ่าย แยกงบ (GF)'!X99</f>
        <v>9550100</v>
      </c>
      <c r="E100" s="275">
        <f>+'2. สุรปเบิกจ่าย แยกงบ (GF)'!Y99</f>
        <v>0</v>
      </c>
      <c r="F100" s="275">
        <f>+'2. สุรปเบิกจ่าย แยกงบ (GF)'!Z99</f>
        <v>637235.98</v>
      </c>
      <c r="G100" s="778">
        <f t="shared" si="4"/>
        <v>8912864.0199999996</v>
      </c>
      <c r="H100" s="779">
        <f t="shared" si="5"/>
        <v>6.6725581931079256</v>
      </c>
      <c r="I100" s="780">
        <f t="shared" si="6"/>
        <v>6.6725581931079256</v>
      </c>
      <c r="J100" s="781">
        <f t="shared" si="7"/>
        <v>637235.98</v>
      </c>
    </row>
    <row r="101" spans="1:10" ht="26.25" customHeight="1" x14ac:dyDescent="0.5">
      <c r="A101" s="273">
        <v>94</v>
      </c>
      <c r="B101" s="74" t="s">
        <v>113</v>
      </c>
      <c r="C101" s="274" t="s">
        <v>89</v>
      </c>
      <c r="D101" s="275">
        <f>+'2. สุรปเบิกจ่าย แยกงบ (GF)'!X100</f>
        <v>2282012</v>
      </c>
      <c r="E101" s="275">
        <f>+'2. สุรปเบิกจ่าย แยกงบ (GF)'!Y100</f>
        <v>0</v>
      </c>
      <c r="F101" s="275">
        <f>+'2. สุรปเบิกจ่าย แยกงบ (GF)'!Z100</f>
        <v>335609.03</v>
      </c>
      <c r="G101" s="778">
        <f t="shared" si="4"/>
        <v>1946402.97</v>
      </c>
      <c r="H101" s="779">
        <f t="shared" si="5"/>
        <v>14.706716266172132</v>
      </c>
      <c r="I101" s="780">
        <f t="shared" si="6"/>
        <v>14.706716266172132</v>
      </c>
      <c r="J101" s="781">
        <f t="shared" si="7"/>
        <v>335609.03</v>
      </c>
    </row>
    <row r="102" spans="1:10" ht="26.25" customHeight="1" x14ac:dyDescent="0.5">
      <c r="A102" s="273">
        <v>95</v>
      </c>
      <c r="B102" s="74" t="s">
        <v>115</v>
      </c>
      <c r="C102" s="274" t="s">
        <v>43</v>
      </c>
      <c r="D102" s="275">
        <f>+'2. สุรปเบิกจ่าย แยกงบ (GF)'!X101</f>
        <v>8938256</v>
      </c>
      <c r="E102" s="275">
        <f>+'2. สุรปเบิกจ่าย แยกงบ (GF)'!Y101</f>
        <v>17900</v>
      </c>
      <c r="F102" s="275">
        <f>+'2. สุรปเบิกจ่าย แยกงบ (GF)'!Z101</f>
        <v>1335525.6000000001</v>
      </c>
      <c r="G102" s="778">
        <f t="shared" si="4"/>
        <v>7584830.4000000004</v>
      </c>
      <c r="H102" s="779">
        <f t="shared" si="5"/>
        <v>14.941679898181482</v>
      </c>
      <c r="I102" s="780">
        <f t="shared" si="6"/>
        <v>15.141942678750754</v>
      </c>
      <c r="J102" s="781">
        <f t="shared" si="7"/>
        <v>1353425.6</v>
      </c>
    </row>
    <row r="103" spans="1:10" ht="26.25" customHeight="1" thickBot="1" x14ac:dyDescent="0.55000000000000004">
      <c r="A103" s="678">
        <v>96</v>
      </c>
      <c r="B103" s="679" t="s">
        <v>115</v>
      </c>
      <c r="C103" s="782" t="s">
        <v>222</v>
      </c>
      <c r="D103" s="783">
        <f>+'2. สุรปเบิกจ่าย แยกงบ (GF)'!X102</f>
        <v>6773785</v>
      </c>
      <c r="E103" s="783">
        <f>+'2. สุรปเบิกจ่าย แยกงบ (GF)'!Y102</f>
        <v>700799.55</v>
      </c>
      <c r="F103" s="783">
        <f>+'2. สุรปเบิกจ่าย แยกงบ (GF)'!Z102</f>
        <v>714624.76</v>
      </c>
      <c r="G103" s="784">
        <f t="shared" si="4"/>
        <v>5358360.6900000004</v>
      </c>
      <c r="H103" s="785">
        <f t="shared" si="5"/>
        <v>10.549858904585841</v>
      </c>
      <c r="I103" s="786">
        <f t="shared" si="6"/>
        <v>20.895619066740384</v>
      </c>
      <c r="J103" s="781">
        <f t="shared" si="7"/>
        <v>1415424.31</v>
      </c>
    </row>
    <row r="104" spans="1:10" s="791" customFormat="1" ht="29.25" customHeight="1" thickTop="1" thickBot="1" x14ac:dyDescent="0.55000000000000004">
      <c r="A104" s="1136" t="s">
        <v>164</v>
      </c>
      <c r="B104" s="1137"/>
      <c r="C104" s="1138"/>
      <c r="D104" s="787">
        <f>SUM(D8:D103)</f>
        <v>993916800</v>
      </c>
      <c r="E104" s="787">
        <f>SUM(E8:E103)</f>
        <v>18608157.960000001</v>
      </c>
      <c r="F104" s="787">
        <f>SUM(F8:F103)</f>
        <v>118445704.55999999</v>
      </c>
      <c r="G104" s="788">
        <f>SUM(G8:G103)</f>
        <v>856862937.48000002</v>
      </c>
      <c r="H104" s="789">
        <f>F104*100/D104</f>
        <v>11.91706434180406</v>
      </c>
      <c r="I104" s="790">
        <f t="shared" si="6"/>
        <v>13.789269133995923</v>
      </c>
      <c r="J104" s="781">
        <f t="shared" si="7"/>
        <v>137053862.51999998</v>
      </c>
    </row>
    <row r="105" spans="1:10" ht="26.25" customHeight="1" thickTop="1" x14ac:dyDescent="0.65">
      <c r="A105" s="282" t="s">
        <v>165</v>
      </c>
      <c r="B105" s="282"/>
      <c r="C105" s="282" t="s">
        <v>848</v>
      </c>
      <c r="D105" s="683"/>
      <c r="E105" s="683"/>
    </row>
  </sheetData>
  <mergeCells count="8">
    <mergeCell ref="A1:I1"/>
    <mergeCell ref="A2:I2"/>
    <mergeCell ref="A4:I4"/>
    <mergeCell ref="A5:I5"/>
    <mergeCell ref="A104:C104"/>
    <mergeCell ref="A3:H3"/>
    <mergeCell ref="A6:A7"/>
    <mergeCell ref="B6:C7"/>
  </mergeCells>
  <pageMargins left="0.47244094488188981" right="0.35433070866141736" top="0.74803149606299213" bottom="0.74803149606299213" header="0.31496062992125984" footer="0.31496062992125984"/>
  <pageSetup paperSize="9" scale="80" orientation="portrait" r:id="rId1"/>
  <headerFooter>
    <oddFooter>&amp;Lกลุ่มงานบัญชีและงบประมาณ&amp;Rหน้าที่ &amp;P จาก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104"/>
  <sheetViews>
    <sheetView zoomScale="90" zoomScaleNormal="90" workbookViewId="0">
      <selection activeCell="A3" sqref="A3:AB3"/>
    </sheetView>
  </sheetViews>
  <sheetFormatPr defaultRowHeight="23.25" x14ac:dyDescent="0.5"/>
  <cols>
    <col min="1" max="1" width="6.140625" style="49" customWidth="1"/>
    <col min="2" max="2" width="4.140625" style="49" customWidth="1"/>
    <col min="3" max="3" width="17" style="49" customWidth="1"/>
    <col min="4" max="4" width="17.140625" style="17" customWidth="1"/>
    <col min="5" max="5" width="16.140625" style="17" customWidth="1"/>
    <col min="6" max="6" width="17.140625" style="18" customWidth="1"/>
    <col min="7" max="7" width="16.7109375" style="17" customWidth="1"/>
    <col min="8" max="8" width="15" style="16" customWidth="1"/>
    <col min="9" max="9" width="16.85546875" style="17" customWidth="1"/>
    <col min="10" max="10" width="16.140625" style="17" customWidth="1"/>
    <col min="11" max="11" width="16.140625" style="18" customWidth="1"/>
    <col min="12" max="12" width="18.85546875" style="17" customWidth="1"/>
    <col min="13" max="13" width="16.140625" style="16" customWidth="1"/>
    <col min="14" max="14" width="17" style="17" customWidth="1"/>
    <col min="15" max="15" width="17.5703125" style="17" customWidth="1"/>
    <col min="16" max="16" width="16.140625" style="18" customWidth="1"/>
    <col min="17" max="17" width="16.85546875" style="17" customWidth="1"/>
    <col min="18" max="18" width="16.140625" style="16" customWidth="1"/>
    <col min="19" max="20" width="16.140625" style="17" customWidth="1"/>
    <col min="21" max="21" width="16.140625" style="18" customWidth="1"/>
    <col min="22" max="22" width="16.140625" style="17" customWidth="1"/>
    <col min="23" max="23" width="16.140625" style="16" customWidth="1"/>
    <col min="24" max="25" width="18.42578125" style="17" customWidth="1"/>
    <col min="26" max="26" width="17.140625" style="18" customWidth="1"/>
    <col min="27" max="27" width="16.85546875" style="17" customWidth="1"/>
    <col min="28" max="28" width="16.140625" style="16" customWidth="1"/>
    <col min="29" max="29" width="28" style="16" hidden="1" customWidth="1"/>
    <col min="30" max="16384" width="9.140625" style="16"/>
  </cols>
  <sheetData>
    <row r="1" spans="1:29" s="6" customFormat="1" ht="38.25" x14ac:dyDescent="0.8">
      <c r="A1" s="1146" t="s">
        <v>57</v>
      </c>
      <c r="B1" s="1146"/>
      <c r="C1" s="1146"/>
      <c r="D1" s="1146"/>
      <c r="E1" s="1146"/>
      <c r="F1" s="1146"/>
      <c r="G1" s="1146"/>
      <c r="H1" s="1146"/>
      <c r="I1" s="1146"/>
      <c r="J1" s="1146"/>
      <c r="K1" s="1146"/>
      <c r="L1" s="1146"/>
      <c r="M1" s="1146"/>
      <c r="N1" s="1146"/>
      <c r="O1" s="1146"/>
      <c r="P1" s="1146"/>
      <c r="Q1" s="1146"/>
      <c r="R1" s="1146"/>
      <c r="S1" s="1146"/>
      <c r="T1" s="1146"/>
      <c r="U1" s="1146"/>
      <c r="V1" s="1146"/>
      <c r="W1" s="1146"/>
      <c r="X1" s="1146"/>
      <c r="Y1" s="1146"/>
      <c r="Z1" s="1146"/>
      <c r="AA1" s="1146"/>
      <c r="AB1" s="1146"/>
    </row>
    <row r="2" spans="1:29" s="7" customFormat="1" ht="38.25" x14ac:dyDescent="0.5">
      <c r="A2" s="1147" t="s">
        <v>1086</v>
      </c>
      <c r="B2" s="1147"/>
      <c r="C2" s="1147"/>
      <c r="D2" s="1147"/>
      <c r="E2" s="1147"/>
      <c r="F2" s="1147"/>
      <c r="G2" s="1147"/>
      <c r="H2" s="1147"/>
      <c r="I2" s="1147"/>
      <c r="J2" s="1147"/>
      <c r="K2" s="1147"/>
      <c r="L2" s="1147"/>
      <c r="M2" s="1147"/>
      <c r="N2" s="1147"/>
      <c r="O2" s="1147"/>
      <c r="P2" s="1147"/>
      <c r="Q2" s="1147"/>
      <c r="R2" s="1147"/>
      <c r="S2" s="1147"/>
      <c r="T2" s="1147"/>
      <c r="U2" s="1147"/>
      <c r="V2" s="1147"/>
      <c r="W2" s="1147"/>
      <c r="X2" s="1147"/>
      <c r="Y2" s="1147"/>
      <c r="Z2" s="1147"/>
      <c r="AA2" s="1147"/>
      <c r="AB2" s="1147"/>
    </row>
    <row r="3" spans="1:29" s="7" customFormat="1" ht="38.25" x14ac:dyDescent="0.5">
      <c r="A3" s="1148" t="str">
        <f>+'1. สรุปเบิกจ่าย65รวมงบ(GF)'!A5:H5</f>
        <v>ตั้งแต่วันที่ 1  ตุลาคม 2564 ถึงวันที่ 31 ตุลาคม 2564</v>
      </c>
      <c r="B3" s="1148"/>
      <c r="C3" s="1148"/>
      <c r="D3" s="1148"/>
      <c r="E3" s="1148"/>
      <c r="F3" s="1148"/>
      <c r="G3" s="1148"/>
      <c r="H3" s="1148"/>
      <c r="I3" s="1148"/>
      <c r="J3" s="1148"/>
      <c r="K3" s="1148"/>
      <c r="L3" s="1148"/>
      <c r="M3" s="1148"/>
      <c r="N3" s="1148"/>
      <c r="O3" s="1148"/>
      <c r="P3" s="1148"/>
      <c r="Q3" s="1148"/>
      <c r="R3" s="1148"/>
      <c r="S3" s="1148"/>
      <c r="T3" s="1148"/>
      <c r="U3" s="1148"/>
      <c r="V3" s="1148"/>
      <c r="W3" s="1148"/>
      <c r="X3" s="1148"/>
      <c r="Y3" s="1148"/>
      <c r="Z3" s="1148"/>
      <c r="AA3" s="1148"/>
      <c r="AB3" s="1148"/>
    </row>
    <row r="4" spans="1:29" s="9" customFormat="1" ht="27.75" x14ac:dyDescent="0.5">
      <c r="A4" s="41" t="s">
        <v>168</v>
      </c>
      <c r="B4" s="1149" t="s">
        <v>1</v>
      </c>
      <c r="C4" s="1149"/>
      <c r="D4" s="1145" t="s">
        <v>13</v>
      </c>
      <c r="E4" s="1145"/>
      <c r="F4" s="1145"/>
      <c r="G4" s="1145"/>
      <c r="H4" s="1145"/>
      <c r="I4" s="1145" t="s">
        <v>14</v>
      </c>
      <c r="J4" s="1145"/>
      <c r="K4" s="1145"/>
      <c r="L4" s="1145"/>
      <c r="M4" s="1145"/>
      <c r="N4" s="1145" t="s">
        <v>15</v>
      </c>
      <c r="O4" s="1145"/>
      <c r="P4" s="1145"/>
      <c r="Q4" s="1145"/>
      <c r="R4" s="1145"/>
      <c r="S4" s="1145" t="s">
        <v>16</v>
      </c>
      <c r="T4" s="1145"/>
      <c r="U4" s="1145"/>
      <c r="V4" s="1145"/>
      <c r="W4" s="1145"/>
      <c r="X4" s="1145" t="s">
        <v>75</v>
      </c>
      <c r="Y4" s="1145"/>
      <c r="Z4" s="1145"/>
      <c r="AA4" s="1145"/>
      <c r="AB4" s="1145"/>
      <c r="AC4" s="230" t="s">
        <v>385</v>
      </c>
    </row>
    <row r="5" spans="1:29" s="9" customFormat="1" ht="27.75" x14ac:dyDescent="0.5">
      <c r="A5" s="41" t="s">
        <v>169</v>
      </c>
      <c r="B5" s="1149"/>
      <c r="C5" s="1149"/>
      <c r="D5" s="10" t="s">
        <v>67</v>
      </c>
      <c r="E5" s="11" t="s">
        <v>109</v>
      </c>
      <c r="F5" s="12" t="s">
        <v>110</v>
      </c>
      <c r="G5" s="10" t="s">
        <v>60</v>
      </c>
      <c r="H5" s="8" t="s">
        <v>66</v>
      </c>
      <c r="I5" s="10" t="s">
        <v>67</v>
      </c>
      <c r="J5" s="11" t="s">
        <v>109</v>
      </c>
      <c r="K5" s="12" t="s">
        <v>110</v>
      </c>
      <c r="L5" s="10" t="s">
        <v>60</v>
      </c>
      <c r="M5" s="8" t="s">
        <v>66</v>
      </c>
      <c r="N5" s="10" t="s">
        <v>67</v>
      </c>
      <c r="O5" s="11" t="s">
        <v>109</v>
      </c>
      <c r="P5" s="12" t="s">
        <v>110</v>
      </c>
      <c r="Q5" s="10" t="s">
        <v>60</v>
      </c>
      <c r="R5" s="8" t="s">
        <v>66</v>
      </c>
      <c r="S5" s="10" t="s">
        <v>67</v>
      </c>
      <c r="T5" s="11" t="s">
        <v>109</v>
      </c>
      <c r="U5" s="12" t="s">
        <v>110</v>
      </c>
      <c r="V5" s="10" t="s">
        <v>60</v>
      </c>
      <c r="W5" s="8" t="s">
        <v>66</v>
      </c>
      <c r="X5" s="10" t="s">
        <v>67</v>
      </c>
      <c r="Y5" s="11" t="s">
        <v>109</v>
      </c>
      <c r="Z5" s="12" t="s">
        <v>110</v>
      </c>
      <c r="AA5" s="10" t="s">
        <v>60</v>
      </c>
      <c r="AB5" s="8" t="s">
        <v>66</v>
      </c>
      <c r="AC5" s="231" t="s">
        <v>387</v>
      </c>
    </row>
    <row r="6" spans="1:29" s="9" customFormat="1" ht="27.75" x14ac:dyDescent="0.5">
      <c r="A6" s="42"/>
      <c r="B6" s="1149"/>
      <c r="C6" s="1149"/>
      <c r="D6" s="14" t="s">
        <v>2</v>
      </c>
      <c r="E6" s="15" t="s">
        <v>2</v>
      </c>
      <c r="F6" s="15" t="s">
        <v>2</v>
      </c>
      <c r="G6" s="14" t="s">
        <v>2</v>
      </c>
      <c r="H6" s="13" t="s">
        <v>111</v>
      </c>
      <c r="I6" s="14" t="s">
        <v>2</v>
      </c>
      <c r="J6" s="15" t="s">
        <v>2</v>
      </c>
      <c r="K6" s="15" t="s">
        <v>2</v>
      </c>
      <c r="L6" s="14" t="s">
        <v>2</v>
      </c>
      <c r="M6" s="13" t="s">
        <v>111</v>
      </c>
      <c r="N6" s="14" t="s">
        <v>2</v>
      </c>
      <c r="O6" s="15" t="s">
        <v>2</v>
      </c>
      <c r="P6" s="15" t="s">
        <v>2</v>
      </c>
      <c r="Q6" s="14" t="s">
        <v>2</v>
      </c>
      <c r="R6" s="13" t="s">
        <v>170</v>
      </c>
      <c r="S6" s="14" t="s">
        <v>2</v>
      </c>
      <c r="T6" s="15" t="s">
        <v>2</v>
      </c>
      <c r="U6" s="15" t="s">
        <v>2</v>
      </c>
      <c r="V6" s="14" t="s">
        <v>2</v>
      </c>
      <c r="W6" s="13" t="s">
        <v>111</v>
      </c>
      <c r="X6" s="14" t="s">
        <v>2</v>
      </c>
      <c r="Y6" s="15" t="s">
        <v>2</v>
      </c>
      <c r="Z6" s="15" t="s">
        <v>2</v>
      </c>
      <c r="AA6" s="14" t="s">
        <v>2</v>
      </c>
      <c r="AB6" s="13" t="s">
        <v>111</v>
      </c>
      <c r="AC6" s="232" t="s">
        <v>386</v>
      </c>
    </row>
    <row r="7" spans="1:29" s="31" customFormat="1" ht="35.25" customHeight="1" x14ac:dyDescent="0.5">
      <c r="A7" s="43">
        <v>1</v>
      </c>
      <c r="B7" s="1140" t="s">
        <v>112</v>
      </c>
      <c r="C7" s="1141"/>
      <c r="D7" s="36">
        <f>+'3.งบบุคลากร (GF)'!D8</f>
        <v>446566804</v>
      </c>
      <c r="E7" s="36">
        <f>+'3.งบบุคลากร (GF)'!E8</f>
        <v>0</v>
      </c>
      <c r="F7" s="36">
        <f>+'3.งบบุคลากร (GF)'!F8</f>
        <v>73302504.729999989</v>
      </c>
      <c r="G7" s="50">
        <f>+D7-E7-F7</f>
        <v>373264299.26999998</v>
      </c>
      <c r="H7" s="38">
        <f>F7*100/D7</f>
        <v>16.414678402741281</v>
      </c>
      <c r="I7" s="36">
        <f>+'4. งบดำเนินงาน (GF)'!D8</f>
        <v>47969385</v>
      </c>
      <c r="J7" s="36">
        <f>+'4. งบดำเนินงาน (GF)'!E8</f>
        <v>995958.4</v>
      </c>
      <c r="K7" s="36">
        <f>+'4. งบดำเนินงาน (GF)'!F8</f>
        <v>811293.88</v>
      </c>
      <c r="L7" s="37">
        <f>+I7-J7-K7</f>
        <v>46162132.719999999</v>
      </c>
      <c r="M7" s="38">
        <f>K7*100/I7</f>
        <v>1.691274299222306</v>
      </c>
      <c r="N7" s="36">
        <f>+'5.งบลงทุน'!F8</f>
        <v>26493900</v>
      </c>
      <c r="O7" s="36">
        <f>+'5.งบลงทุน'!G8</f>
        <v>6235800</v>
      </c>
      <c r="P7" s="36">
        <f>+'5.งบลงทุน'!H8</f>
        <v>0</v>
      </c>
      <c r="Q7" s="37">
        <f>+N7-O7-P7</f>
        <v>20258100</v>
      </c>
      <c r="R7" s="38">
        <f>P7*100/N7</f>
        <v>0</v>
      </c>
      <c r="S7" s="36">
        <f>+'6.งบรายจ่ายอื่น (GF)'!D7</f>
        <v>10620600</v>
      </c>
      <c r="T7" s="36">
        <f>+'6.งบรายจ่ายอื่น (GF)'!E7</f>
        <v>0</v>
      </c>
      <c r="U7" s="36">
        <f>+'6.งบรายจ่ายอื่น (GF)'!F7</f>
        <v>0</v>
      </c>
      <c r="V7" s="37">
        <f>+S7-T7-U7</f>
        <v>10620600</v>
      </c>
      <c r="W7" s="38">
        <f>U7*100/S7</f>
        <v>0</v>
      </c>
      <c r="X7" s="36">
        <f>+D7+I7+N7+S7</f>
        <v>531650689</v>
      </c>
      <c r="Y7" s="36">
        <f>+E7+J7+O7+T7</f>
        <v>7231758.4000000004</v>
      </c>
      <c r="Z7" s="36">
        <f>+F7+K7+P7+U7</f>
        <v>74113798.609999985</v>
      </c>
      <c r="AA7" s="50">
        <f>+X7-Y7-Z7</f>
        <v>450305131.99000001</v>
      </c>
      <c r="AB7" s="38">
        <f>Z7*100/X7</f>
        <v>13.940318360050123</v>
      </c>
      <c r="AC7" s="227"/>
    </row>
    <row r="8" spans="1:29" s="30" customFormat="1" ht="35.25" customHeight="1" x14ac:dyDescent="0.5">
      <c r="A8" s="44">
        <v>2</v>
      </c>
      <c r="B8" s="45" t="s">
        <v>113</v>
      </c>
      <c r="C8" s="46" t="s">
        <v>114</v>
      </c>
      <c r="D8" s="36">
        <f>+'3.งบบุคลากร (GF)'!D9</f>
        <v>8458319</v>
      </c>
      <c r="E8" s="36">
        <f>+'3.งบบุคลากร (GF)'!E9</f>
        <v>0</v>
      </c>
      <c r="F8" s="36">
        <f>+'3.งบบุคลากร (GF)'!F9</f>
        <v>1092680.6399999999</v>
      </c>
      <c r="G8" s="50">
        <f t="shared" ref="G8:G71" si="0">+D8-E8-F8</f>
        <v>7365638.3600000003</v>
      </c>
      <c r="H8" s="38">
        <f t="shared" ref="H8:H71" si="1">F8*100/D8</f>
        <v>12.918413694257687</v>
      </c>
      <c r="I8" s="36">
        <f>+'4. งบดำเนินงาน (GF)'!D9</f>
        <v>4010528</v>
      </c>
      <c r="J8" s="36">
        <f>+'4. งบดำเนินงาน (GF)'!E9</f>
        <v>0</v>
      </c>
      <c r="K8" s="36">
        <f>+'4. งบดำเนินงาน (GF)'!F9</f>
        <v>227096</v>
      </c>
      <c r="L8" s="37">
        <f t="shared" ref="L8:L71" si="2">+I8-J8-K8</f>
        <v>3783432</v>
      </c>
      <c r="M8" s="38">
        <f t="shared" ref="M8:M71" si="3">K8*100/I8</f>
        <v>5.6624963097128358</v>
      </c>
      <c r="N8" s="36">
        <f>+'5.งบลงทุน'!F9</f>
        <v>552400</v>
      </c>
      <c r="O8" s="36">
        <f>+'5.งบลงทุน'!G9</f>
        <v>8400</v>
      </c>
      <c r="P8" s="36">
        <f>+'5.งบลงทุน'!H9</f>
        <v>0</v>
      </c>
      <c r="Q8" s="37">
        <f t="shared" ref="Q8:Q71" si="4">+N8-O8-P8</f>
        <v>544000</v>
      </c>
      <c r="R8" s="38">
        <f t="shared" ref="R8:R71" si="5">P8*100/N8</f>
        <v>0</v>
      </c>
      <c r="S8" s="36">
        <f>+'6.งบรายจ่ายอื่น (GF)'!D8</f>
        <v>30000</v>
      </c>
      <c r="T8" s="36">
        <f>+'6.งบรายจ่ายอื่น (GF)'!E8</f>
        <v>0</v>
      </c>
      <c r="U8" s="36">
        <f>+'6.งบรายจ่ายอื่น (GF)'!F8</f>
        <v>0</v>
      </c>
      <c r="V8" s="37">
        <f t="shared" ref="V8:V71" si="6">+S8-T8-U8</f>
        <v>30000</v>
      </c>
      <c r="W8" s="38">
        <f t="shared" ref="W8:W71" si="7">U8*100/S8</f>
        <v>0</v>
      </c>
      <c r="X8" s="36">
        <f t="shared" ref="X8:X71" si="8">+D8+I8+N8+S8</f>
        <v>13051247</v>
      </c>
      <c r="Y8" s="36">
        <f t="shared" ref="Y8:Y71" si="9">+E8+J8+O8+T8</f>
        <v>8400</v>
      </c>
      <c r="Z8" s="36">
        <f t="shared" ref="Z8:Z71" si="10">+F8+K8+P8+U8</f>
        <v>1319776.6399999999</v>
      </c>
      <c r="AA8" s="50">
        <f t="shared" ref="AA8:AA71" si="11">+X8-Y8-Z8</f>
        <v>11723070.359999999</v>
      </c>
      <c r="AB8" s="38">
        <f t="shared" ref="AB8:AB71" si="12">Z8*100/X8</f>
        <v>10.112264674785481</v>
      </c>
      <c r="AC8" s="228" t="s">
        <v>382</v>
      </c>
    </row>
    <row r="9" spans="1:29" s="30" customFormat="1" ht="35.25" customHeight="1" x14ac:dyDescent="0.5">
      <c r="A9" s="44">
        <v>3</v>
      </c>
      <c r="B9" s="45" t="s">
        <v>115</v>
      </c>
      <c r="C9" s="46" t="s">
        <v>18</v>
      </c>
      <c r="D9" s="36">
        <f>+'3.งบบุคลากร (GF)'!D10</f>
        <v>6342305</v>
      </c>
      <c r="E9" s="36">
        <f>+'3.งบบุคลากร (GF)'!E10</f>
        <v>0</v>
      </c>
      <c r="F9" s="36">
        <f>+'3.งบบุคลากร (GF)'!F10</f>
        <v>956853.55</v>
      </c>
      <c r="G9" s="50">
        <f>+D9-E9-F9</f>
        <v>5385451.4500000002</v>
      </c>
      <c r="H9" s="38">
        <f t="shared" si="1"/>
        <v>15.086842244262929</v>
      </c>
      <c r="I9" s="36">
        <f>+'4. งบดำเนินงาน (GF)'!D10</f>
        <v>4589200</v>
      </c>
      <c r="J9" s="36">
        <f>+'4. งบดำเนินงาน (GF)'!E10</f>
        <v>1137792.3999999999</v>
      </c>
      <c r="K9" s="36">
        <f>+'4. งบดำเนินงาน (GF)'!F10</f>
        <v>249859.26</v>
      </c>
      <c r="L9" s="37">
        <f t="shared" si="2"/>
        <v>3201548.34</v>
      </c>
      <c r="M9" s="38">
        <f t="shared" si="3"/>
        <v>5.4445057962172054</v>
      </c>
      <c r="N9" s="36">
        <f>+'5.งบลงทุน'!F10</f>
        <v>473600</v>
      </c>
      <c r="O9" s="36">
        <f>+'5.งบลงทุน'!G10</f>
        <v>0</v>
      </c>
      <c r="P9" s="36">
        <f>+'5.งบลงทุน'!H10</f>
        <v>51698.5</v>
      </c>
      <c r="Q9" s="37">
        <f t="shared" si="4"/>
        <v>421901.5</v>
      </c>
      <c r="R9" s="38">
        <f t="shared" si="5"/>
        <v>10.916068412162161</v>
      </c>
      <c r="S9" s="36">
        <f>+'6.งบรายจ่ายอื่น (GF)'!D9</f>
        <v>106000</v>
      </c>
      <c r="T9" s="36">
        <f>+'6.งบรายจ่ายอื่น (GF)'!E9</f>
        <v>0</v>
      </c>
      <c r="U9" s="36">
        <f>+'6.งบรายจ่ายอื่น (GF)'!F9</f>
        <v>0</v>
      </c>
      <c r="V9" s="37">
        <f t="shared" si="6"/>
        <v>106000</v>
      </c>
      <c r="W9" s="38">
        <f t="shared" si="7"/>
        <v>0</v>
      </c>
      <c r="X9" s="36">
        <f t="shared" si="8"/>
        <v>11511105</v>
      </c>
      <c r="Y9" s="36">
        <f t="shared" si="9"/>
        <v>1137792.3999999999</v>
      </c>
      <c r="Z9" s="36">
        <f t="shared" si="10"/>
        <v>1258411.31</v>
      </c>
      <c r="AA9" s="50">
        <f t="shared" si="11"/>
        <v>9114901.2899999991</v>
      </c>
      <c r="AB9" s="38">
        <f t="shared" si="12"/>
        <v>10.932150388689879</v>
      </c>
      <c r="AC9" s="228"/>
    </row>
    <row r="10" spans="1:29" s="30" customFormat="1" ht="35.25" customHeight="1" x14ac:dyDescent="0.5">
      <c r="A10" s="44">
        <v>4</v>
      </c>
      <c r="B10" s="45" t="s">
        <v>115</v>
      </c>
      <c r="C10" s="46" t="s">
        <v>76</v>
      </c>
      <c r="D10" s="36">
        <f>+'3.งบบุคลากร (GF)'!D11</f>
        <v>2607638</v>
      </c>
      <c r="E10" s="36">
        <f>+'3.งบบุคลากร (GF)'!E11</f>
        <v>0</v>
      </c>
      <c r="F10" s="36">
        <f>+'3.งบบุคลากร (GF)'!F11</f>
        <v>341740</v>
      </c>
      <c r="G10" s="50">
        <f t="shared" si="0"/>
        <v>2265898</v>
      </c>
      <c r="H10" s="38">
        <f t="shared" si="1"/>
        <v>13.105346677721371</v>
      </c>
      <c r="I10" s="36">
        <f>+'4. งบดำเนินงาน (GF)'!D11</f>
        <v>2011621</v>
      </c>
      <c r="J10" s="36">
        <f>+'4. งบดำเนินงาน (GF)'!E11</f>
        <v>12500</v>
      </c>
      <c r="K10" s="36">
        <f>+'4. งบดำเนินงาน (GF)'!F11</f>
        <v>41444.629999999997</v>
      </c>
      <c r="L10" s="37">
        <f t="shared" si="2"/>
        <v>1957676.37</v>
      </c>
      <c r="M10" s="38">
        <f t="shared" si="3"/>
        <v>2.0602603571945211</v>
      </c>
      <c r="N10" s="36">
        <f>+'5.งบลงทุน'!F11</f>
        <v>246100</v>
      </c>
      <c r="O10" s="36">
        <f>+'5.งบลงทุน'!G11</f>
        <v>0</v>
      </c>
      <c r="P10" s="36">
        <f>+'5.งบลงทุน'!H11</f>
        <v>0</v>
      </c>
      <c r="Q10" s="37">
        <f t="shared" si="4"/>
        <v>246100</v>
      </c>
      <c r="R10" s="38">
        <f t="shared" si="5"/>
        <v>0</v>
      </c>
      <c r="S10" s="36">
        <f>+'6.งบรายจ่ายอื่น (GF)'!D10</f>
        <v>63000</v>
      </c>
      <c r="T10" s="36">
        <f>+'6.งบรายจ่ายอื่น (GF)'!E10</f>
        <v>0</v>
      </c>
      <c r="U10" s="36">
        <f>+'6.งบรายจ่ายอื่น (GF)'!F10</f>
        <v>0</v>
      </c>
      <c r="V10" s="37">
        <f t="shared" si="6"/>
        <v>63000</v>
      </c>
      <c r="W10" s="38">
        <f t="shared" si="7"/>
        <v>0</v>
      </c>
      <c r="X10" s="36">
        <f t="shared" si="8"/>
        <v>4928359</v>
      </c>
      <c r="Y10" s="36">
        <f t="shared" si="9"/>
        <v>12500</v>
      </c>
      <c r="Z10" s="36">
        <f t="shared" si="10"/>
        <v>383184.63</v>
      </c>
      <c r="AA10" s="50">
        <f t="shared" si="11"/>
        <v>4532674.37</v>
      </c>
      <c r="AB10" s="38">
        <f t="shared" si="12"/>
        <v>7.7750957265897229</v>
      </c>
      <c r="AC10" s="228"/>
    </row>
    <row r="11" spans="1:29" s="30" customFormat="1" ht="35.25" customHeight="1" x14ac:dyDescent="0.5">
      <c r="A11" s="44">
        <v>5</v>
      </c>
      <c r="B11" s="45" t="s">
        <v>115</v>
      </c>
      <c r="C11" s="46" t="s">
        <v>116</v>
      </c>
      <c r="D11" s="36">
        <f>+'3.งบบุคลากร (GF)'!D12</f>
        <v>2808815</v>
      </c>
      <c r="E11" s="36">
        <f>+'3.งบบุคลากร (GF)'!E12</f>
        <v>0</v>
      </c>
      <c r="F11" s="36">
        <f>+'3.งบบุคลากร (GF)'!F12</f>
        <v>448143.87</v>
      </c>
      <c r="G11" s="50">
        <f t="shared" si="0"/>
        <v>2360671.13</v>
      </c>
      <c r="H11" s="38">
        <f t="shared" si="1"/>
        <v>15.954908742654821</v>
      </c>
      <c r="I11" s="36">
        <f>+'4. งบดำเนินงาน (GF)'!D12</f>
        <v>2090540</v>
      </c>
      <c r="J11" s="36">
        <f>+'4. งบดำเนินงาน (GF)'!E12</f>
        <v>0</v>
      </c>
      <c r="K11" s="36">
        <f>+'4. งบดำเนินงาน (GF)'!F12</f>
        <v>76104.350000000006</v>
      </c>
      <c r="L11" s="37">
        <f t="shared" si="2"/>
        <v>2014435.65</v>
      </c>
      <c r="M11" s="38">
        <f t="shared" si="3"/>
        <v>3.6404158734106979</v>
      </c>
      <c r="N11" s="36">
        <f>+'5.งบลงทุน'!F12</f>
        <v>147600</v>
      </c>
      <c r="O11" s="36">
        <f>+'5.งบลงทุน'!G12</f>
        <v>0</v>
      </c>
      <c r="P11" s="36">
        <f>+'5.งบลงทุน'!H12</f>
        <v>0</v>
      </c>
      <c r="Q11" s="37">
        <f t="shared" si="4"/>
        <v>147600</v>
      </c>
      <c r="R11" s="38">
        <f t="shared" si="5"/>
        <v>0</v>
      </c>
      <c r="S11" s="36">
        <f>+'6.งบรายจ่ายอื่น (GF)'!D11</f>
        <v>73000</v>
      </c>
      <c r="T11" s="36">
        <f>+'6.งบรายจ่ายอื่น (GF)'!E11</f>
        <v>0</v>
      </c>
      <c r="U11" s="36">
        <f>+'6.งบรายจ่ายอื่น (GF)'!F11</f>
        <v>0</v>
      </c>
      <c r="V11" s="37">
        <f t="shared" si="6"/>
        <v>73000</v>
      </c>
      <c r="W11" s="38">
        <f t="shared" si="7"/>
        <v>0</v>
      </c>
      <c r="X11" s="36">
        <f t="shared" si="8"/>
        <v>5119955</v>
      </c>
      <c r="Y11" s="36">
        <f t="shared" si="9"/>
        <v>0</v>
      </c>
      <c r="Z11" s="36">
        <f t="shared" si="10"/>
        <v>524248.22</v>
      </c>
      <c r="AA11" s="50">
        <f t="shared" si="11"/>
        <v>4595706.78</v>
      </c>
      <c r="AB11" s="38">
        <f t="shared" si="12"/>
        <v>10.239313040837272</v>
      </c>
      <c r="AC11" s="228"/>
    </row>
    <row r="12" spans="1:29" s="30" customFormat="1" ht="35.25" customHeight="1" x14ac:dyDescent="0.5">
      <c r="A12" s="44">
        <v>6</v>
      </c>
      <c r="B12" s="45" t="s">
        <v>115</v>
      </c>
      <c r="C12" s="46" t="s">
        <v>73</v>
      </c>
      <c r="D12" s="36">
        <f>+'3.งบบุคลากร (GF)'!D13</f>
        <v>2654616</v>
      </c>
      <c r="E12" s="36">
        <f>+'3.งบบุคลากร (GF)'!E13</f>
        <v>0</v>
      </c>
      <c r="F12" s="36">
        <f>+'3.งบบุคลากร (GF)'!F13</f>
        <v>407340</v>
      </c>
      <c r="G12" s="50">
        <f t="shared" si="0"/>
        <v>2247276</v>
      </c>
      <c r="H12" s="38">
        <f t="shared" si="1"/>
        <v>15.344592212206964</v>
      </c>
      <c r="I12" s="36">
        <f>+'4. งบดำเนินงาน (GF)'!D13</f>
        <v>1838645</v>
      </c>
      <c r="J12" s="36">
        <f>+'4. งบดำเนินงาน (GF)'!E13</f>
        <v>0</v>
      </c>
      <c r="K12" s="36">
        <f>+'4. งบดำเนินงาน (GF)'!F13</f>
        <v>98203.75</v>
      </c>
      <c r="L12" s="37">
        <f t="shared" si="2"/>
        <v>1740441.25</v>
      </c>
      <c r="M12" s="38">
        <f t="shared" si="3"/>
        <v>5.3410935770635444</v>
      </c>
      <c r="N12" s="36">
        <f>+'5.งบลงทุน'!F13</f>
        <v>278700</v>
      </c>
      <c r="O12" s="36">
        <f>+'5.งบลงทุน'!G13</f>
        <v>0</v>
      </c>
      <c r="P12" s="36">
        <f>+'5.งบลงทุน'!H13</f>
        <v>0</v>
      </c>
      <c r="Q12" s="37">
        <f t="shared" si="4"/>
        <v>278700</v>
      </c>
      <c r="R12" s="38">
        <f t="shared" si="5"/>
        <v>0</v>
      </c>
      <c r="S12" s="36">
        <f>+'6.งบรายจ่ายอื่น (GF)'!D12</f>
        <v>62000</v>
      </c>
      <c r="T12" s="36">
        <f>+'6.งบรายจ่ายอื่น (GF)'!E12</f>
        <v>0</v>
      </c>
      <c r="U12" s="36">
        <f>+'6.งบรายจ่ายอื่น (GF)'!F12</f>
        <v>0</v>
      </c>
      <c r="V12" s="37">
        <f t="shared" si="6"/>
        <v>62000</v>
      </c>
      <c r="W12" s="38">
        <f t="shared" si="7"/>
        <v>0</v>
      </c>
      <c r="X12" s="36">
        <f t="shared" si="8"/>
        <v>4833961</v>
      </c>
      <c r="Y12" s="36">
        <f t="shared" si="9"/>
        <v>0</v>
      </c>
      <c r="Z12" s="36">
        <f t="shared" si="10"/>
        <v>505543.75</v>
      </c>
      <c r="AA12" s="50">
        <f t="shared" si="11"/>
        <v>4328417.25</v>
      </c>
      <c r="AB12" s="38">
        <f t="shared" si="12"/>
        <v>10.458167742768302</v>
      </c>
      <c r="AC12" s="228" t="s">
        <v>383</v>
      </c>
    </row>
    <row r="13" spans="1:29" s="30" customFormat="1" ht="35.25" customHeight="1" x14ac:dyDescent="0.5">
      <c r="A13" s="44">
        <v>7</v>
      </c>
      <c r="B13" s="45" t="s">
        <v>115</v>
      </c>
      <c r="C13" s="46" t="s">
        <v>106</v>
      </c>
      <c r="D13" s="36">
        <f>+'3.งบบุคลากร (GF)'!D14</f>
        <v>2734176</v>
      </c>
      <c r="E13" s="36">
        <f>+'3.งบบุคลากร (GF)'!E14</f>
        <v>0</v>
      </c>
      <c r="F13" s="36">
        <f>+'3.งบบุคลากร (GF)'!F14</f>
        <v>426826.45</v>
      </c>
      <c r="G13" s="50">
        <f t="shared" si="0"/>
        <v>2307349.5499999998</v>
      </c>
      <c r="H13" s="38">
        <f t="shared" si="1"/>
        <v>15.610789137202579</v>
      </c>
      <c r="I13" s="36">
        <f>+'4. งบดำเนินงาน (GF)'!D14</f>
        <v>2839267</v>
      </c>
      <c r="J13" s="36">
        <f>+'4. งบดำเนินงาน (GF)'!E14</f>
        <v>0</v>
      </c>
      <c r="K13" s="36">
        <f>+'4. งบดำเนินงาน (GF)'!F14</f>
        <v>27140</v>
      </c>
      <c r="L13" s="37">
        <f t="shared" si="2"/>
        <v>2812127</v>
      </c>
      <c r="M13" s="38">
        <f t="shared" si="3"/>
        <v>0.95588051423131393</v>
      </c>
      <c r="N13" s="36">
        <f>+'5.งบลงทุน'!F14</f>
        <v>2478200</v>
      </c>
      <c r="O13" s="36">
        <f>+'5.งบลงทุน'!G14</f>
        <v>0</v>
      </c>
      <c r="P13" s="36">
        <f>+'5.งบลงทุน'!H14</f>
        <v>0</v>
      </c>
      <c r="Q13" s="37">
        <f t="shared" si="4"/>
        <v>2478200</v>
      </c>
      <c r="R13" s="38">
        <f t="shared" si="5"/>
        <v>0</v>
      </c>
      <c r="S13" s="36">
        <f>+'6.งบรายจ่ายอื่น (GF)'!D13</f>
        <v>71000</v>
      </c>
      <c r="T13" s="36">
        <f>+'6.งบรายจ่ายอื่น (GF)'!E13</f>
        <v>0</v>
      </c>
      <c r="U13" s="36">
        <f>+'6.งบรายจ่ายอื่น (GF)'!F13</f>
        <v>0</v>
      </c>
      <c r="V13" s="37">
        <f t="shared" si="6"/>
        <v>71000</v>
      </c>
      <c r="W13" s="38">
        <f t="shared" si="7"/>
        <v>0</v>
      </c>
      <c r="X13" s="36">
        <f t="shared" si="8"/>
        <v>8122643</v>
      </c>
      <c r="Y13" s="36">
        <f t="shared" si="9"/>
        <v>0</v>
      </c>
      <c r="Z13" s="36">
        <f t="shared" si="10"/>
        <v>453966.45</v>
      </c>
      <c r="AA13" s="50">
        <f t="shared" si="11"/>
        <v>7668676.5499999998</v>
      </c>
      <c r="AB13" s="38">
        <f t="shared" si="12"/>
        <v>5.5889006817116051</v>
      </c>
      <c r="AC13" s="228"/>
    </row>
    <row r="14" spans="1:29" s="30" customFormat="1" ht="35.25" customHeight="1" x14ac:dyDescent="0.5">
      <c r="A14" s="44">
        <v>8</v>
      </c>
      <c r="B14" s="45" t="s">
        <v>115</v>
      </c>
      <c r="C14" s="46" t="s">
        <v>117</v>
      </c>
      <c r="D14" s="36">
        <f>+'3.งบบุคลากร (GF)'!D15</f>
        <v>5427503</v>
      </c>
      <c r="E14" s="36">
        <f>+'3.งบบุคลากร (GF)'!E15</f>
        <v>0</v>
      </c>
      <c r="F14" s="36">
        <f>+'3.งบบุคลากร (GF)'!F15</f>
        <v>665640</v>
      </c>
      <c r="G14" s="50">
        <f t="shared" si="0"/>
        <v>4761863</v>
      </c>
      <c r="H14" s="38">
        <f t="shared" si="1"/>
        <v>12.264203262531591</v>
      </c>
      <c r="I14" s="36">
        <f>+'4. งบดำเนินงาน (GF)'!D15</f>
        <v>3392417</v>
      </c>
      <c r="J14" s="36">
        <f>+'4. งบดำเนินงาน (GF)'!E15</f>
        <v>330779.3</v>
      </c>
      <c r="K14" s="36">
        <f>+'4. งบดำเนินงาน (GF)'!F15</f>
        <v>106344.03</v>
      </c>
      <c r="L14" s="37">
        <f t="shared" si="2"/>
        <v>2955293.6700000004</v>
      </c>
      <c r="M14" s="38">
        <f t="shared" si="3"/>
        <v>3.1347570183736257</v>
      </c>
      <c r="N14" s="36">
        <f>+'5.งบลงทุน'!F15</f>
        <v>535600</v>
      </c>
      <c r="O14" s="36">
        <f>+'5.งบลงทุน'!G15</f>
        <v>47700</v>
      </c>
      <c r="P14" s="36">
        <f>+'5.งบลงทุน'!H15</f>
        <v>0</v>
      </c>
      <c r="Q14" s="37">
        <f t="shared" si="4"/>
        <v>487900</v>
      </c>
      <c r="R14" s="38">
        <f t="shared" si="5"/>
        <v>0</v>
      </c>
      <c r="S14" s="36">
        <f>+'6.งบรายจ่ายอื่น (GF)'!D14</f>
        <v>90000</v>
      </c>
      <c r="T14" s="36">
        <f>+'6.งบรายจ่ายอื่น (GF)'!E14</f>
        <v>0</v>
      </c>
      <c r="U14" s="36">
        <f>+'6.งบรายจ่ายอื่น (GF)'!F14</f>
        <v>0</v>
      </c>
      <c r="V14" s="37">
        <f t="shared" si="6"/>
        <v>90000</v>
      </c>
      <c r="W14" s="38">
        <f t="shared" si="7"/>
        <v>0</v>
      </c>
      <c r="X14" s="36">
        <f t="shared" si="8"/>
        <v>9445520</v>
      </c>
      <c r="Y14" s="36">
        <f t="shared" si="9"/>
        <v>378479.3</v>
      </c>
      <c r="Z14" s="36">
        <f t="shared" si="10"/>
        <v>771984.03</v>
      </c>
      <c r="AA14" s="50">
        <f t="shared" si="11"/>
        <v>8295056.669999999</v>
      </c>
      <c r="AB14" s="38">
        <f t="shared" si="12"/>
        <v>8.17301779044457</v>
      </c>
      <c r="AC14" s="228" t="s">
        <v>383</v>
      </c>
    </row>
    <row r="15" spans="1:29" s="30" customFormat="1" ht="35.25" customHeight="1" x14ac:dyDescent="0.5">
      <c r="A15" s="44">
        <v>9</v>
      </c>
      <c r="B15" s="45" t="s">
        <v>115</v>
      </c>
      <c r="C15" s="46" t="s">
        <v>118</v>
      </c>
      <c r="D15" s="36">
        <f>+'3.งบบุคลากร (GF)'!D16</f>
        <v>4900402</v>
      </c>
      <c r="E15" s="36">
        <f>+'3.งบบุคลากร (GF)'!E16</f>
        <v>0</v>
      </c>
      <c r="F15" s="36">
        <f>+'3.งบบุคลากร (GF)'!F16</f>
        <v>795529.03</v>
      </c>
      <c r="G15" s="50">
        <f t="shared" si="0"/>
        <v>4104872.9699999997</v>
      </c>
      <c r="H15" s="38">
        <f t="shared" si="1"/>
        <v>16.233954479652894</v>
      </c>
      <c r="I15" s="36">
        <f>+'4. งบดำเนินงาน (GF)'!D16</f>
        <v>3831557</v>
      </c>
      <c r="J15" s="36">
        <f>+'4. งบดำเนินงาน (GF)'!E16</f>
        <v>0</v>
      </c>
      <c r="K15" s="36">
        <f>+'4. งบดำเนินงาน (GF)'!F16</f>
        <v>148121.31</v>
      </c>
      <c r="L15" s="37">
        <f t="shared" si="2"/>
        <v>3683435.69</v>
      </c>
      <c r="M15" s="38">
        <f t="shared" si="3"/>
        <v>3.8658255638634635</v>
      </c>
      <c r="N15" s="36">
        <f>+'5.งบลงทุน'!F16</f>
        <v>145700</v>
      </c>
      <c r="O15" s="36">
        <f>+'5.งบลงทุน'!G16</f>
        <v>5500</v>
      </c>
      <c r="P15" s="36">
        <f>+'5.งบลงทุน'!H16</f>
        <v>0</v>
      </c>
      <c r="Q15" s="37">
        <f t="shared" si="4"/>
        <v>140200</v>
      </c>
      <c r="R15" s="38">
        <f t="shared" si="5"/>
        <v>0</v>
      </c>
      <c r="S15" s="36">
        <f>+'6.งบรายจ่ายอื่น (GF)'!D15</f>
        <v>99000</v>
      </c>
      <c r="T15" s="36">
        <f>+'6.งบรายจ่ายอื่น (GF)'!E15</f>
        <v>0</v>
      </c>
      <c r="U15" s="36">
        <f>+'6.งบรายจ่ายอื่น (GF)'!F15</f>
        <v>0</v>
      </c>
      <c r="V15" s="37">
        <f t="shared" si="6"/>
        <v>99000</v>
      </c>
      <c r="W15" s="38">
        <f t="shared" si="7"/>
        <v>0</v>
      </c>
      <c r="X15" s="36">
        <f t="shared" si="8"/>
        <v>8976659</v>
      </c>
      <c r="Y15" s="36">
        <f t="shared" si="9"/>
        <v>5500</v>
      </c>
      <c r="Z15" s="36">
        <f t="shared" si="10"/>
        <v>943650.34000000008</v>
      </c>
      <c r="AA15" s="50">
        <f t="shared" si="11"/>
        <v>8027508.6600000001</v>
      </c>
      <c r="AB15" s="38">
        <f t="shared" si="12"/>
        <v>10.512266757598793</v>
      </c>
      <c r="AC15" s="228"/>
    </row>
    <row r="16" spans="1:29" s="30" customFormat="1" ht="35.25" customHeight="1" x14ac:dyDescent="0.5">
      <c r="A16" s="44">
        <v>10</v>
      </c>
      <c r="B16" s="45" t="s">
        <v>115</v>
      </c>
      <c r="C16" s="46" t="s">
        <v>119</v>
      </c>
      <c r="D16" s="36">
        <f>+'3.งบบุคลากร (GF)'!D17</f>
        <v>6783318</v>
      </c>
      <c r="E16" s="36">
        <f>+'3.งบบุคลากร (GF)'!E17</f>
        <v>0</v>
      </c>
      <c r="F16" s="36">
        <f>+'3.งบบุคลากร (GF)'!F17</f>
        <v>1074183.22</v>
      </c>
      <c r="G16" s="50">
        <f t="shared" si="0"/>
        <v>5709134.7800000003</v>
      </c>
      <c r="H16" s="38">
        <f t="shared" si="1"/>
        <v>15.835660660461444</v>
      </c>
      <c r="I16" s="36">
        <f>+'4. งบดำเนินงาน (GF)'!D17</f>
        <v>6774983</v>
      </c>
      <c r="J16" s="36">
        <f>+'4. งบดำเนินงาน (GF)'!E17</f>
        <v>0</v>
      </c>
      <c r="K16" s="36">
        <f>+'4. งบดำเนินงาน (GF)'!F17</f>
        <v>101736</v>
      </c>
      <c r="L16" s="37">
        <f t="shared" si="2"/>
        <v>6673247</v>
      </c>
      <c r="M16" s="38">
        <f t="shared" si="3"/>
        <v>1.5016421443419119</v>
      </c>
      <c r="N16" s="36">
        <f>+'5.งบลงทุน'!F17</f>
        <v>1507300</v>
      </c>
      <c r="O16" s="36">
        <f>+'5.งบลงทุน'!G17</f>
        <v>0</v>
      </c>
      <c r="P16" s="36">
        <f>+'5.งบลงทุน'!H17</f>
        <v>160000</v>
      </c>
      <c r="Q16" s="37">
        <f t="shared" si="4"/>
        <v>1347300</v>
      </c>
      <c r="R16" s="38">
        <f t="shared" si="5"/>
        <v>10.615006966098321</v>
      </c>
      <c r="S16" s="36">
        <f>+'6.งบรายจ่ายอื่น (GF)'!D16</f>
        <v>161000</v>
      </c>
      <c r="T16" s="36">
        <f>+'6.งบรายจ่ายอื่น (GF)'!E16</f>
        <v>0</v>
      </c>
      <c r="U16" s="36">
        <f>+'6.งบรายจ่ายอื่น (GF)'!F16</f>
        <v>0</v>
      </c>
      <c r="V16" s="37">
        <f t="shared" si="6"/>
        <v>161000</v>
      </c>
      <c r="W16" s="38">
        <f t="shared" si="7"/>
        <v>0</v>
      </c>
      <c r="X16" s="36">
        <f t="shared" si="8"/>
        <v>15226601</v>
      </c>
      <c r="Y16" s="36">
        <f t="shared" si="9"/>
        <v>0</v>
      </c>
      <c r="Z16" s="36">
        <f t="shared" si="10"/>
        <v>1335919.22</v>
      </c>
      <c r="AA16" s="50">
        <f t="shared" si="11"/>
        <v>13890681.779999999</v>
      </c>
      <c r="AB16" s="38">
        <f t="shared" si="12"/>
        <v>8.7735878808409051</v>
      </c>
      <c r="AC16" s="228"/>
    </row>
    <row r="17" spans="1:29" s="30" customFormat="1" ht="35.25" customHeight="1" x14ac:dyDescent="0.5">
      <c r="A17" s="44">
        <v>11</v>
      </c>
      <c r="B17" s="45" t="s">
        <v>115</v>
      </c>
      <c r="C17" s="46" t="s">
        <v>120</v>
      </c>
      <c r="D17" s="36">
        <f>+'3.งบบุคลากร (GF)'!D18</f>
        <v>5557043</v>
      </c>
      <c r="E17" s="36">
        <f>+'3.งบบุคลากร (GF)'!E18</f>
        <v>0</v>
      </c>
      <c r="F17" s="36">
        <f>+'3.งบบุคลากร (GF)'!F18</f>
        <v>740483.87</v>
      </c>
      <c r="G17" s="50">
        <f t="shared" si="0"/>
        <v>4816559.13</v>
      </c>
      <c r="H17" s="38">
        <f t="shared" si="1"/>
        <v>13.325141986484539</v>
      </c>
      <c r="I17" s="36">
        <f>+'4. งบดำเนินงาน (GF)'!D18</f>
        <v>7660884</v>
      </c>
      <c r="J17" s="36">
        <f>+'4. งบดำเนินงาน (GF)'!E18</f>
        <v>3224017.85</v>
      </c>
      <c r="K17" s="36">
        <f>+'4. งบดำเนินงาน (GF)'!F18</f>
        <v>222755.26</v>
      </c>
      <c r="L17" s="37">
        <f t="shared" si="2"/>
        <v>4214110.8900000006</v>
      </c>
      <c r="M17" s="38">
        <f t="shared" si="3"/>
        <v>2.9076965530348717</v>
      </c>
      <c r="N17" s="36">
        <f>+'5.งบลงทุน'!F18</f>
        <v>972100</v>
      </c>
      <c r="O17" s="36">
        <f>+'5.งบลงทุน'!G18</f>
        <v>0</v>
      </c>
      <c r="P17" s="36">
        <f>+'5.งบลงทุน'!H18</f>
        <v>0</v>
      </c>
      <c r="Q17" s="37">
        <f t="shared" si="4"/>
        <v>972100</v>
      </c>
      <c r="R17" s="38">
        <f t="shared" si="5"/>
        <v>0</v>
      </c>
      <c r="S17" s="36">
        <f>+'6.งบรายจ่ายอื่น (GF)'!D17</f>
        <v>177000</v>
      </c>
      <c r="T17" s="36">
        <f>+'6.งบรายจ่ายอื่น (GF)'!E17</f>
        <v>0</v>
      </c>
      <c r="U17" s="36">
        <f>+'6.งบรายจ่ายอื่น (GF)'!F17</f>
        <v>0</v>
      </c>
      <c r="V17" s="37">
        <f t="shared" si="6"/>
        <v>177000</v>
      </c>
      <c r="W17" s="38">
        <f t="shared" si="7"/>
        <v>0</v>
      </c>
      <c r="X17" s="36">
        <f t="shared" si="8"/>
        <v>14367027</v>
      </c>
      <c r="Y17" s="36">
        <f t="shared" si="9"/>
        <v>3224017.85</v>
      </c>
      <c r="Z17" s="36">
        <f t="shared" si="10"/>
        <v>963239.13</v>
      </c>
      <c r="AA17" s="50">
        <f t="shared" si="11"/>
        <v>10179770.02</v>
      </c>
      <c r="AB17" s="38">
        <f t="shared" si="12"/>
        <v>6.7045125619935151</v>
      </c>
      <c r="AC17" s="228"/>
    </row>
    <row r="18" spans="1:29" s="30" customFormat="1" ht="35.25" customHeight="1" x14ac:dyDescent="0.5">
      <c r="A18" s="44">
        <v>12</v>
      </c>
      <c r="B18" s="45" t="s">
        <v>115</v>
      </c>
      <c r="C18" s="46" t="s">
        <v>121</v>
      </c>
      <c r="D18" s="36">
        <f>+'3.งบบุคลากร (GF)'!D19</f>
        <v>6297260</v>
      </c>
      <c r="E18" s="36">
        <f>+'3.งบบุคลากร (GF)'!E19</f>
        <v>0</v>
      </c>
      <c r="F18" s="36">
        <f>+'3.งบบุคลากร (GF)'!F19</f>
        <v>817023</v>
      </c>
      <c r="G18" s="50">
        <f t="shared" si="0"/>
        <v>5480237</v>
      </c>
      <c r="H18" s="38">
        <f t="shared" si="1"/>
        <v>12.974261821808215</v>
      </c>
      <c r="I18" s="36">
        <f>+'4. งบดำเนินงาน (GF)'!D19</f>
        <v>8165160</v>
      </c>
      <c r="J18" s="36">
        <f>+'4. งบดำเนินงาน (GF)'!E19</f>
        <v>0</v>
      </c>
      <c r="K18" s="36">
        <f>+'4. งบดำเนินงาน (GF)'!F19</f>
        <v>169048.44</v>
      </c>
      <c r="L18" s="37">
        <f t="shared" si="2"/>
        <v>7996111.5599999996</v>
      </c>
      <c r="M18" s="38">
        <f t="shared" si="3"/>
        <v>2.0703628587804772</v>
      </c>
      <c r="N18" s="36">
        <f>+'5.งบลงทุน'!F19</f>
        <v>894000</v>
      </c>
      <c r="O18" s="36">
        <f>+'5.งบลงทุน'!G19</f>
        <v>23000</v>
      </c>
      <c r="P18" s="36">
        <f>+'5.งบลงทุน'!H19</f>
        <v>170000</v>
      </c>
      <c r="Q18" s="37">
        <f t="shared" si="4"/>
        <v>701000</v>
      </c>
      <c r="R18" s="38">
        <f t="shared" si="5"/>
        <v>19.01565995525727</v>
      </c>
      <c r="S18" s="36">
        <f>+'6.งบรายจ่ายอื่น (GF)'!D18</f>
        <v>179000</v>
      </c>
      <c r="T18" s="36">
        <f>+'6.งบรายจ่ายอื่น (GF)'!E18</f>
        <v>0</v>
      </c>
      <c r="U18" s="36">
        <f>+'6.งบรายจ่ายอื่น (GF)'!F18</f>
        <v>0</v>
      </c>
      <c r="V18" s="37">
        <f t="shared" si="6"/>
        <v>179000</v>
      </c>
      <c r="W18" s="38">
        <f t="shared" si="7"/>
        <v>0</v>
      </c>
      <c r="X18" s="36">
        <f t="shared" si="8"/>
        <v>15535420</v>
      </c>
      <c r="Y18" s="36">
        <f t="shared" si="9"/>
        <v>23000</v>
      </c>
      <c r="Z18" s="36">
        <f t="shared" si="10"/>
        <v>1156071.44</v>
      </c>
      <c r="AA18" s="50">
        <f t="shared" si="11"/>
        <v>14356348.560000001</v>
      </c>
      <c r="AB18" s="38">
        <f t="shared" si="12"/>
        <v>7.4415203451210203</v>
      </c>
      <c r="AC18" s="228" t="s">
        <v>383</v>
      </c>
    </row>
    <row r="19" spans="1:29" s="30" customFormat="1" ht="35.25" customHeight="1" x14ac:dyDescent="0.5">
      <c r="A19" s="44">
        <v>13</v>
      </c>
      <c r="B19" s="45" t="s">
        <v>115</v>
      </c>
      <c r="C19" s="46" t="s">
        <v>122</v>
      </c>
      <c r="D19" s="36">
        <f>+'3.งบบุคลากร (GF)'!D20</f>
        <v>5907977</v>
      </c>
      <c r="E19" s="36">
        <f>+'3.งบบุคลากร (GF)'!E20</f>
        <v>0</v>
      </c>
      <c r="F19" s="36">
        <f>+'3.งบบุคลากร (GF)'!F20</f>
        <v>729569.67</v>
      </c>
      <c r="G19" s="50">
        <f t="shared" si="0"/>
        <v>5178407.33</v>
      </c>
      <c r="H19" s="38">
        <f t="shared" si="1"/>
        <v>12.348891507194425</v>
      </c>
      <c r="I19" s="36">
        <f>+'4. งบดำเนินงาน (GF)'!D20</f>
        <v>5075208</v>
      </c>
      <c r="J19" s="36">
        <f>+'4. งบดำเนินงาน (GF)'!E20</f>
        <v>0</v>
      </c>
      <c r="K19" s="36">
        <f>+'4. งบดำเนินงาน (GF)'!F20</f>
        <v>126155.58</v>
      </c>
      <c r="L19" s="37">
        <f t="shared" si="2"/>
        <v>4949052.42</v>
      </c>
      <c r="M19" s="38">
        <f t="shared" si="3"/>
        <v>2.4857223585713135</v>
      </c>
      <c r="N19" s="36">
        <f>+'5.งบลงทุน'!F20</f>
        <v>244400</v>
      </c>
      <c r="O19" s="36">
        <f>+'5.งบลงทุน'!G20</f>
        <v>0</v>
      </c>
      <c r="P19" s="36">
        <f>+'5.งบลงทุน'!H20</f>
        <v>0</v>
      </c>
      <c r="Q19" s="37">
        <f t="shared" si="4"/>
        <v>244400</v>
      </c>
      <c r="R19" s="38">
        <f t="shared" si="5"/>
        <v>0</v>
      </c>
      <c r="S19" s="36">
        <f>+'6.งบรายจ่ายอื่น (GF)'!D19</f>
        <v>159000</v>
      </c>
      <c r="T19" s="36">
        <f>+'6.งบรายจ่ายอื่น (GF)'!E19</f>
        <v>0</v>
      </c>
      <c r="U19" s="36">
        <f>+'6.งบรายจ่ายอื่น (GF)'!F19</f>
        <v>0</v>
      </c>
      <c r="V19" s="37">
        <f t="shared" si="6"/>
        <v>159000</v>
      </c>
      <c r="W19" s="38">
        <f t="shared" si="7"/>
        <v>0</v>
      </c>
      <c r="X19" s="36">
        <f t="shared" si="8"/>
        <v>11386585</v>
      </c>
      <c r="Y19" s="36">
        <f t="shared" si="9"/>
        <v>0</v>
      </c>
      <c r="Z19" s="36">
        <f t="shared" si="10"/>
        <v>855725.25</v>
      </c>
      <c r="AA19" s="50">
        <f t="shared" si="11"/>
        <v>10530859.75</v>
      </c>
      <c r="AB19" s="38">
        <f t="shared" si="12"/>
        <v>7.5152053930129181</v>
      </c>
      <c r="AC19" s="228"/>
    </row>
    <row r="20" spans="1:29" s="30" customFormat="1" ht="35.25" customHeight="1" x14ac:dyDescent="0.5">
      <c r="A20" s="44">
        <v>14</v>
      </c>
      <c r="B20" s="45" t="s">
        <v>115</v>
      </c>
      <c r="C20" s="46" t="s">
        <v>123</v>
      </c>
      <c r="D20" s="36">
        <f>+'3.งบบุคลากร (GF)'!D21</f>
        <v>8959202</v>
      </c>
      <c r="E20" s="36">
        <f>+'3.งบบุคลากร (GF)'!E21</f>
        <v>0</v>
      </c>
      <c r="F20" s="36">
        <f>+'3.งบบุคลากร (GF)'!F21</f>
        <v>1428050</v>
      </c>
      <c r="G20" s="50">
        <f t="shared" si="0"/>
        <v>7531152</v>
      </c>
      <c r="H20" s="38">
        <f t="shared" si="1"/>
        <v>15.939477645442082</v>
      </c>
      <c r="I20" s="36">
        <f>+'4. งบดำเนินงาน (GF)'!D21</f>
        <v>6698830</v>
      </c>
      <c r="J20" s="36">
        <f>+'4. งบดำเนินงาน (GF)'!E21</f>
        <v>0</v>
      </c>
      <c r="K20" s="36">
        <f>+'4. งบดำเนินงาน (GF)'!F21</f>
        <v>457603.39</v>
      </c>
      <c r="L20" s="37">
        <f t="shared" si="2"/>
        <v>6241226.6100000003</v>
      </c>
      <c r="M20" s="38">
        <f t="shared" si="3"/>
        <v>6.8310942358590978</v>
      </c>
      <c r="N20" s="36">
        <f>+'5.งบลงทุน'!F21</f>
        <v>643700</v>
      </c>
      <c r="O20" s="36">
        <f>+'5.งบลงทุน'!G21</f>
        <v>109500</v>
      </c>
      <c r="P20" s="36">
        <f>+'5.งบลงทุน'!H21</f>
        <v>218500</v>
      </c>
      <c r="Q20" s="37">
        <f t="shared" si="4"/>
        <v>315700</v>
      </c>
      <c r="R20" s="38">
        <f t="shared" si="5"/>
        <v>33.94438402982756</v>
      </c>
      <c r="S20" s="36">
        <f>+'6.งบรายจ่ายอื่น (GF)'!D20</f>
        <v>161000</v>
      </c>
      <c r="T20" s="36">
        <f>+'6.งบรายจ่ายอื่น (GF)'!E20</f>
        <v>0</v>
      </c>
      <c r="U20" s="36">
        <f>+'6.งบรายจ่ายอื่น (GF)'!F20</f>
        <v>0</v>
      </c>
      <c r="V20" s="37">
        <f t="shared" si="6"/>
        <v>161000</v>
      </c>
      <c r="W20" s="38">
        <f t="shared" si="7"/>
        <v>0</v>
      </c>
      <c r="X20" s="36">
        <f t="shared" si="8"/>
        <v>16462732</v>
      </c>
      <c r="Y20" s="36">
        <f t="shared" si="9"/>
        <v>109500</v>
      </c>
      <c r="Z20" s="36">
        <f t="shared" si="10"/>
        <v>2104153.39</v>
      </c>
      <c r="AA20" s="50">
        <f t="shared" si="11"/>
        <v>14249078.609999999</v>
      </c>
      <c r="AB20" s="38">
        <f t="shared" si="12"/>
        <v>12.781313514670591</v>
      </c>
      <c r="AC20" s="228" t="s">
        <v>384</v>
      </c>
    </row>
    <row r="21" spans="1:29" s="30" customFormat="1" ht="35.25" customHeight="1" x14ac:dyDescent="0.5">
      <c r="A21" s="44">
        <v>15</v>
      </c>
      <c r="B21" s="45" t="s">
        <v>115</v>
      </c>
      <c r="C21" s="46" t="s">
        <v>124</v>
      </c>
      <c r="D21" s="36">
        <f>+'3.งบบุคลากร (GF)'!D22</f>
        <v>6574376</v>
      </c>
      <c r="E21" s="36">
        <f>+'3.งบบุคลากร (GF)'!E22</f>
        <v>0</v>
      </c>
      <c r="F21" s="36">
        <f>+'3.งบบุคลากร (GF)'!F22</f>
        <v>1042545.49</v>
      </c>
      <c r="G21" s="50">
        <f t="shared" si="0"/>
        <v>5531830.5099999998</v>
      </c>
      <c r="H21" s="38">
        <f t="shared" si="1"/>
        <v>15.857710146179652</v>
      </c>
      <c r="I21" s="36">
        <f>+'4. งบดำเนินงาน (GF)'!D22</f>
        <v>4536013</v>
      </c>
      <c r="J21" s="36">
        <f>+'4. งบดำเนินงาน (GF)'!E22</f>
        <v>34770</v>
      </c>
      <c r="K21" s="36">
        <f>+'4. งบดำเนินงาน (GF)'!F22</f>
        <v>153283.56</v>
      </c>
      <c r="L21" s="37">
        <f t="shared" si="2"/>
        <v>4347959.4400000004</v>
      </c>
      <c r="M21" s="38">
        <f t="shared" si="3"/>
        <v>3.379257510946287</v>
      </c>
      <c r="N21" s="36">
        <f>+'5.งบลงทุน'!F22</f>
        <v>572800</v>
      </c>
      <c r="O21" s="36">
        <f>+'5.งบลงทุน'!G22</f>
        <v>85350</v>
      </c>
      <c r="P21" s="36">
        <f>+'5.งบลงทุน'!H22</f>
        <v>74300</v>
      </c>
      <c r="Q21" s="37">
        <f t="shared" si="4"/>
        <v>413150</v>
      </c>
      <c r="R21" s="38">
        <f t="shared" si="5"/>
        <v>12.971368715083798</v>
      </c>
      <c r="S21" s="36">
        <f>+'6.งบรายจ่ายอื่น (GF)'!D21</f>
        <v>161000</v>
      </c>
      <c r="T21" s="36">
        <f>+'6.งบรายจ่ายอื่น (GF)'!E21</f>
        <v>0</v>
      </c>
      <c r="U21" s="36">
        <f>+'6.งบรายจ่ายอื่น (GF)'!F21</f>
        <v>0</v>
      </c>
      <c r="V21" s="37">
        <f t="shared" si="6"/>
        <v>161000</v>
      </c>
      <c r="W21" s="38">
        <f t="shared" si="7"/>
        <v>0</v>
      </c>
      <c r="X21" s="36">
        <f t="shared" si="8"/>
        <v>11844189</v>
      </c>
      <c r="Y21" s="36">
        <f t="shared" si="9"/>
        <v>120120</v>
      </c>
      <c r="Z21" s="36">
        <f t="shared" si="10"/>
        <v>1270129.05</v>
      </c>
      <c r="AA21" s="50">
        <f t="shared" si="11"/>
        <v>10453939.949999999</v>
      </c>
      <c r="AB21" s="38">
        <f t="shared" si="12"/>
        <v>10.723647267026895</v>
      </c>
      <c r="AC21" s="228"/>
    </row>
    <row r="22" spans="1:29" s="30" customFormat="1" ht="35.25" customHeight="1" x14ac:dyDescent="0.5">
      <c r="A22" s="44">
        <v>16</v>
      </c>
      <c r="B22" s="45" t="s">
        <v>115</v>
      </c>
      <c r="C22" s="46" t="s">
        <v>125</v>
      </c>
      <c r="D22" s="36">
        <f>+'3.งบบุคลากร (GF)'!D23</f>
        <v>5130925</v>
      </c>
      <c r="E22" s="36">
        <f>+'3.งบบุคลากร (GF)'!E23</f>
        <v>0</v>
      </c>
      <c r="F22" s="36">
        <f>+'3.งบบุคลากร (GF)'!F23</f>
        <v>826466.67</v>
      </c>
      <c r="G22" s="50">
        <f t="shared" si="0"/>
        <v>4304458.33</v>
      </c>
      <c r="H22" s="38">
        <f t="shared" si="1"/>
        <v>16.10755701944581</v>
      </c>
      <c r="I22" s="36">
        <f>+'4. งบดำเนินงาน (GF)'!D23</f>
        <v>3750315</v>
      </c>
      <c r="J22" s="36">
        <f>+'4. งบดำเนินงาน (GF)'!E23</f>
        <v>289584</v>
      </c>
      <c r="K22" s="36">
        <f>+'4. งบดำเนินงาน (GF)'!F23</f>
        <v>286748.26</v>
      </c>
      <c r="L22" s="37">
        <f t="shared" si="2"/>
        <v>3173982.74</v>
      </c>
      <c r="M22" s="38">
        <f t="shared" si="3"/>
        <v>7.6459780045142871</v>
      </c>
      <c r="N22" s="36">
        <f>+'5.งบลงทุน'!F23</f>
        <v>95400</v>
      </c>
      <c r="O22" s="36">
        <f>+'5.งบลงทุน'!G23</f>
        <v>95400</v>
      </c>
      <c r="P22" s="36">
        <f>+'5.งบลงทุน'!H23</f>
        <v>0</v>
      </c>
      <c r="Q22" s="37">
        <f t="shared" si="4"/>
        <v>0</v>
      </c>
      <c r="R22" s="38">
        <f t="shared" si="5"/>
        <v>0</v>
      </c>
      <c r="S22" s="36">
        <f>+'6.งบรายจ่ายอื่น (GF)'!D22</f>
        <v>265500</v>
      </c>
      <c r="T22" s="36">
        <f>+'6.งบรายจ่ายอื่น (GF)'!E22</f>
        <v>0</v>
      </c>
      <c r="U22" s="36">
        <f>+'6.งบรายจ่ายอื่น (GF)'!F22</f>
        <v>0</v>
      </c>
      <c r="V22" s="37">
        <f t="shared" si="6"/>
        <v>265500</v>
      </c>
      <c r="W22" s="38">
        <f t="shared" si="7"/>
        <v>0</v>
      </c>
      <c r="X22" s="36">
        <f t="shared" si="8"/>
        <v>9242140</v>
      </c>
      <c r="Y22" s="36">
        <f t="shared" si="9"/>
        <v>384984</v>
      </c>
      <c r="Z22" s="36">
        <f t="shared" si="10"/>
        <v>1113214.9300000002</v>
      </c>
      <c r="AA22" s="50">
        <f t="shared" si="11"/>
        <v>7743941.0700000003</v>
      </c>
      <c r="AB22" s="38">
        <f t="shared" si="12"/>
        <v>12.044990986935927</v>
      </c>
      <c r="AC22" s="228"/>
    </row>
    <row r="23" spans="1:29" s="30" customFormat="1" ht="35.25" customHeight="1" x14ac:dyDescent="0.5">
      <c r="A23" s="44">
        <v>17</v>
      </c>
      <c r="B23" s="45" t="s">
        <v>113</v>
      </c>
      <c r="C23" s="46" t="s">
        <v>126</v>
      </c>
      <c r="D23" s="36">
        <f>+'3.งบบุคลากร (GF)'!D24</f>
        <v>2713295</v>
      </c>
      <c r="E23" s="36">
        <f>+'3.งบบุคลากร (GF)'!E24</f>
        <v>0</v>
      </c>
      <c r="F23" s="36">
        <f>+'3.งบบุคลากร (GF)'!F24</f>
        <v>435850</v>
      </c>
      <c r="G23" s="50">
        <f t="shared" si="0"/>
        <v>2277445</v>
      </c>
      <c r="H23" s="38">
        <f t="shared" si="1"/>
        <v>16.063494754532773</v>
      </c>
      <c r="I23" s="36">
        <f>+'4. งบดำเนินงาน (GF)'!D24</f>
        <v>2187056</v>
      </c>
      <c r="J23" s="36">
        <f>+'4. งบดำเนินงาน (GF)'!E24</f>
        <v>0</v>
      </c>
      <c r="K23" s="36">
        <f>+'4. งบดำเนินงาน (GF)'!F24</f>
        <v>195327.92</v>
      </c>
      <c r="L23" s="37">
        <f t="shared" si="2"/>
        <v>1991728.08</v>
      </c>
      <c r="M23" s="38">
        <f t="shared" si="3"/>
        <v>8.9310890987702187</v>
      </c>
      <c r="N23" s="36">
        <f>+'5.งบลงทุน'!F24</f>
        <v>188400</v>
      </c>
      <c r="O23" s="36">
        <f>+'5.งบลงทุน'!G24</f>
        <v>0</v>
      </c>
      <c r="P23" s="36">
        <f>+'5.งบลงทุน'!H24</f>
        <v>0</v>
      </c>
      <c r="Q23" s="37">
        <f t="shared" si="4"/>
        <v>188400</v>
      </c>
      <c r="R23" s="38">
        <f t="shared" si="5"/>
        <v>0</v>
      </c>
      <c r="S23" s="36">
        <f>+'6.งบรายจ่ายอื่น (GF)'!D23</f>
        <v>20000</v>
      </c>
      <c r="T23" s="36">
        <f>+'6.งบรายจ่ายอื่น (GF)'!E23</f>
        <v>0</v>
      </c>
      <c r="U23" s="36">
        <f>+'6.งบรายจ่ายอื่น (GF)'!F23</f>
        <v>0</v>
      </c>
      <c r="V23" s="37">
        <f t="shared" si="6"/>
        <v>20000</v>
      </c>
      <c r="W23" s="38">
        <f t="shared" si="7"/>
        <v>0</v>
      </c>
      <c r="X23" s="36">
        <f t="shared" si="8"/>
        <v>5108751</v>
      </c>
      <c r="Y23" s="36">
        <f t="shared" si="9"/>
        <v>0</v>
      </c>
      <c r="Z23" s="36">
        <f t="shared" si="10"/>
        <v>631177.92000000004</v>
      </c>
      <c r="AA23" s="50">
        <f t="shared" si="11"/>
        <v>4477573.08</v>
      </c>
      <c r="AB23" s="38">
        <f t="shared" si="12"/>
        <v>12.354838198221055</v>
      </c>
      <c r="AC23" s="228"/>
    </row>
    <row r="24" spans="1:29" s="30" customFormat="1" ht="35.25" customHeight="1" x14ac:dyDescent="0.5">
      <c r="A24" s="44">
        <v>18</v>
      </c>
      <c r="B24" s="45" t="s">
        <v>113</v>
      </c>
      <c r="C24" s="46" t="s">
        <v>127</v>
      </c>
      <c r="D24" s="36">
        <f>+'3.งบบุคลากร (GF)'!D25</f>
        <v>2017610</v>
      </c>
      <c r="E24" s="36">
        <f>+'3.งบบุคลากร (GF)'!E25</f>
        <v>0</v>
      </c>
      <c r="F24" s="36">
        <f>+'3.งบบุคลากร (GF)'!F25</f>
        <v>324160</v>
      </c>
      <c r="G24" s="50">
        <f t="shared" si="0"/>
        <v>1693450</v>
      </c>
      <c r="H24" s="38">
        <f t="shared" si="1"/>
        <v>16.066534166662535</v>
      </c>
      <c r="I24" s="36">
        <f>+'4. งบดำเนินงาน (GF)'!D25</f>
        <v>1152148</v>
      </c>
      <c r="J24" s="36">
        <f>+'4. งบดำเนินงาน (GF)'!E25</f>
        <v>0</v>
      </c>
      <c r="K24" s="36">
        <f>+'4. งบดำเนินงาน (GF)'!F25</f>
        <v>53290.22</v>
      </c>
      <c r="L24" s="37">
        <f t="shared" si="2"/>
        <v>1098857.78</v>
      </c>
      <c r="M24" s="38">
        <f t="shared" si="3"/>
        <v>4.6252929311164888</v>
      </c>
      <c r="N24" s="36">
        <f>+'5.งบลงทุน'!F25</f>
        <v>275100</v>
      </c>
      <c r="O24" s="36">
        <f>+'5.งบลงทุน'!G25</f>
        <v>0</v>
      </c>
      <c r="P24" s="36">
        <f>+'5.งบลงทุน'!H25</f>
        <v>0</v>
      </c>
      <c r="Q24" s="37">
        <f t="shared" si="4"/>
        <v>275100</v>
      </c>
      <c r="R24" s="38">
        <f t="shared" si="5"/>
        <v>0</v>
      </c>
      <c r="S24" s="36">
        <f>+'6.งบรายจ่ายอื่น (GF)'!D24</f>
        <v>15000</v>
      </c>
      <c r="T24" s="36">
        <f>+'6.งบรายจ่ายอื่น (GF)'!E24</f>
        <v>0</v>
      </c>
      <c r="U24" s="36">
        <f>+'6.งบรายจ่ายอื่น (GF)'!F24</f>
        <v>0</v>
      </c>
      <c r="V24" s="37">
        <f t="shared" si="6"/>
        <v>15000</v>
      </c>
      <c r="W24" s="38">
        <f t="shared" si="7"/>
        <v>0</v>
      </c>
      <c r="X24" s="36">
        <f t="shared" si="8"/>
        <v>3459858</v>
      </c>
      <c r="Y24" s="36">
        <f t="shared" si="9"/>
        <v>0</v>
      </c>
      <c r="Z24" s="36">
        <f t="shared" si="10"/>
        <v>377450.22</v>
      </c>
      <c r="AA24" s="50">
        <f t="shared" si="11"/>
        <v>3082407.7800000003</v>
      </c>
      <c r="AB24" s="38">
        <f t="shared" si="12"/>
        <v>10.909413623333675</v>
      </c>
      <c r="AC24" s="228"/>
    </row>
    <row r="25" spans="1:29" s="30" customFormat="1" ht="35.25" customHeight="1" x14ac:dyDescent="0.5">
      <c r="A25" s="44">
        <v>19</v>
      </c>
      <c r="B25" s="45" t="s">
        <v>113</v>
      </c>
      <c r="C25" s="46" t="s">
        <v>19</v>
      </c>
      <c r="D25" s="36">
        <f>+'3.งบบุคลากร (GF)'!D26</f>
        <v>1515653</v>
      </c>
      <c r="E25" s="36">
        <f>+'3.งบบุคลากร (GF)'!E26</f>
        <v>0</v>
      </c>
      <c r="F25" s="36">
        <f>+'3.งบบุคลากร (GF)'!F26</f>
        <v>243540</v>
      </c>
      <c r="G25" s="50">
        <f t="shared" si="0"/>
        <v>1272113</v>
      </c>
      <c r="H25" s="38">
        <f t="shared" si="1"/>
        <v>16.068321706881456</v>
      </c>
      <c r="I25" s="36">
        <f>+'4. งบดำเนินงาน (GF)'!D26</f>
        <v>1237236</v>
      </c>
      <c r="J25" s="36">
        <f>+'4. งบดำเนินงาน (GF)'!E26</f>
        <v>0</v>
      </c>
      <c r="K25" s="36">
        <f>+'4. งบดำเนินงาน (GF)'!F26</f>
        <v>48654.73</v>
      </c>
      <c r="L25" s="37">
        <f t="shared" si="2"/>
        <v>1188581.27</v>
      </c>
      <c r="M25" s="38">
        <f t="shared" si="3"/>
        <v>3.9325342941847796</v>
      </c>
      <c r="N25" s="36">
        <f>+'5.งบลงทุน'!F26</f>
        <v>51200</v>
      </c>
      <c r="O25" s="36">
        <f>+'5.งบลงทุน'!G26</f>
        <v>0</v>
      </c>
      <c r="P25" s="36">
        <f>+'5.งบลงทุน'!H26</f>
        <v>34950</v>
      </c>
      <c r="Q25" s="37">
        <f t="shared" si="4"/>
        <v>16250</v>
      </c>
      <c r="R25" s="38">
        <f t="shared" si="5"/>
        <v>68.26171875</v>
      </c>
      <c r="S25" s="36">
        <f>+'6.งบรายจ่ายอื่น (GF)'!D25</f>
        <v>10000</v>
      </c>
      <c r="T25" s="36">
        <f>+'6.งบรายจ่ายอื่น (GF)'!E25</f>
        <v>0</v>
      </c>
      <c r="U25" s="36">
        <f>+'6.งบรายจ่ายอื่น (GF)'!F25</f>
        <v>0</v>
      </c>
      <c r="V25" s="37">
        <f t="shared" si="6"/>
        <v>10000</v>
      </c>
      <c r="W25" s="38">
        <f t="shared" si="7"/>
        <v>0</v>
      </c>
      <c r="X25" s="36">
        <f t="shared" si="8"/>
        <v>2814089</v>
      </c>
      <c r="Y25" s="36">
        <f t="shared" si="9"/>
        <v>0</v>
      </c>
      <c r="Z25" s="36">
        <f t="shared" si="10"/>
        <v>327144.73</v>
      </c>
      <c r="AA25" s="50">
        <f t="shared" si="11"/>
        <v>2486944.27</v>
      </c>
      <c r="AB25" s="38">
        <f t="shared" si="12"/>
        <v>11.625244617352188</v>
      </c>
      <c r="AC25" s="228"/>
    </row>
    <row r="26" spans="1:29" s="30" customFormat="1" ht="35.25" customHeight="1" x14ac:dyDescent="0.5">
      <c r="A26" s="44">
        <v>20</v>
      </c>
      <c r="B26" s="45" t="s">
        <v>113</v>
      </c>
      <c r="C26" s="46" t="s">
        <v>20</v>
      </c>
      <c r="D26" s="36">
        <f>+'3.งบบุคลากร (GF)'!D27</f>
        <v>1829860</v>
      </c>
      <c r="E26" s="36">
        <f>+'3.งบบุคลากร (GF)'!E27</f>
        <v>0</v>
      </c>
      <c r="F26" s="36">
        <f>+'3.งบบุคลากร (GF)'!F27</f>
        <v>215398.48</v>
      </c>
      <c r="G26" s="50">
        <f t="shared" si="0"/>
        <v>1614461.52</v>
      </c>
      <c r="H26" s="38">
        <f t="shared" si="1"/>
        <v>11.771309280491403</v>
      </c>
      <c r="I26" s="36">
        <f>+'4. งบดำเนินงาน (GF)'!D27</f>
        <v>1374785</v>
      </c>
      <c r="J26" s="36">
        <f>+'4. งบดำเนินงาน (GF)'!E27</f>
        <v>0</v>
      </c>
      <c r="K26" s="36">
        <f>+'4. งบดำเนินงาน (GF)'!F27</f>
        <v>104858.82</v>
      </c>
      <c r="L26" s="37">
        <f t="shared" si="2"/>
        <v>1269926.18</v>
      </c>
      <c r="M26" s="38">
        <f t="shared" si="3"/>
        <v>7.6272886305858734</v>
      </c>
      <c r="N26" s="36">
        <f>+'5.งบลงทุน'!F27</f>
        <v>138100</v>
      </c>
      <c r="O26" s="36">
        <f>+'5.งบลงทุน'!G27</f>
        <v>35600</v>
      </c>
      <c r="P26" s="36">
        <f>+'5.งบลงทุน'!H27</f>
        <v>0</v>
      </c>
      <c r="Q26" s="37">
        <f t="shared" si="4"/>
        <v>102500</v>
      </c>
      <c r="R26" s="38">
        <f t="shared" si="5"/>
        <v>0</v>
      </c>
      <c r="S26" s="36">
        <f>+'6.งบรายจ่ายอื่น (GF)'!D26</f>
        <v>15000</v>
      </c>
      <c r="T26" s="36">
        <f>+'6.งบรายจ่ายอื่น (GF)'!E26</f>
        <v>0</v>
      </c>
      <c r="U26" s="36">
        <f>+'6.งบรายจ่ายอื่น (GF)'!F26</f>
        <v>0</v>
      </c>
      <c r="V26" s="37">
        <f t="shared" si="6"/>
        <v>15000</v>
      </c>
      <c r="W26" s="38">
        <f t="shared" si="7"/>
        <v>0</v>
      </c>
      <c r="X26" s="36">
        <f t="shared" si="8"/>
        <v>3357745</v>
      </c>
      <c r="Y26" s="36">
        <f t="shared" si="9"/>
        <v>35600</v>
      </c>
      <c r="Z26" s="36">
        <f t="shared" si="10"/>
        <v>320257.30000000005</v>
      </c>
      <c r="AA26" s="50">
        <f t="shared" si="11"/>
        <v>3001887.7</v>
      </c>
      <c r="AB26" s="38">
        <f t="shared" si="12"/>
        <v>9.5378684206215798</v>
      </c>
      <c r="AC26" s="228" t="s">
        <v>383</v>
      </c>
    </row>
    <row r="27" spans="1:29" s="30" customFormat="1" ht="35.25" customHeight="1" x14ac:dyDescent="0.5">
      <c r="A27" s="44">
        <v>21</v>
      </c>
      <c r="B27" s="45" t="s">
        <v>113</v>
      </c>
      <c r="C27" s="46" t="s">
        <v>128</v>
      </c>
      <c r="D27" s="36">
        <f>+'3.งบบุคลากร (GF)'!D28</f>
        <v>1082515</v>
      </c>
      <c r="E27" s="36">
        <f>+'3.งบบุคลากร (GF)'!E28</f>
        <v>0</v>
      </c>
      <c r="F27" s="36">
        <f>+'3.งบบุคลากร (GF)'!F28</f>
        <v>135430</v>
      </c>
      <c r="G27" s="50">
        <f t="shared" si="0"/>
        <v>947085</v>
      </c>
      <c r="H27" s="38">
        <f t="shared" si="1"/>
        <v>12.510681145295909</v>
      </c>
      <c r="I27" s="36">
        <f>+'4. งบดำเนินงาน (GF)'!D28</f>
        <v>512205</v>
      </c>
      <c r="J27" s="36">
        <f>+'4. งบดำเนินงาน (GF)'!E28</f>
        <v>7800</v>
      </c>
      <c r="K27" s="36">
        <f>+'4. งบดำเนินงาน (GF)'!F28</f>
        <v>11445.7</v>
      </c>
      <c r="L27" s="37">
        <f t="shared" si="2"/>
        <v>492959.3</v>
      </c>
      <c r="M27" s="38">
        <f t="shared" si="3"/>
        <v>2.2345935709335127</v>
      </c>
      <c r="N27" s="36">
        <f>+'5.งบลงทุน'!F28</f>
        <v>12900</v>
      </c>
      <c r="O27" s="36">
        <f>+'5.งบลงทุน'!G28</f>
        <v>0</v>
      </c>
      <c r="P27" s="36">
        <f>+'5.งบลงทุน'!H28</f>
        <v>0</v>
      </c>
      <c r="Q27" s="37">
        <f t="shared" si="4"/>
        <v>12900</v>
      </c>
      <c r="R27" s="38">
        <f t="shared" si="5"/>
        <v>0</v>
      </c>
      <c r="S27" s="36">
        <f>+'6.งบรายจ่ายอื่น (GF)'!D27</f>
        <v>0</v>
      </c>
      <c r="T27" s="36">
        <f>+'6.งบรายจ่ายอื่น (GF)'!E27</f>
        <v>0</v>
      </c>
      <c r="U27" s="36">
        <f>+'6.งบรายจ่ายอื่น (GF)'!F27</f>
        <v>0</v>
      </c>
      <c r="V27" s="37">
        <f t="shared" si="6"/>
        <v>0</v>
      </c>
      <c r="W27" s="38" t="e">
        <f t="shared" si="7"/>
        <v>#DIV/0!</v>
      </c>
      <c r="X27" s="36">
        <f t="shared" si="8"/>
        <v>1607620</v>
      </c>
      <c r="Y27" s="36">
        <f t="shared" si="9"/>
        <v>7800</v>
      </c>
      <c r="Z27" s="36">
        <f t="shared" si="10"/>
        <v>146875.70000000001</v>
      </c>
      <c r="AA27" s="50">
        <f t="shared" si="11"/>
        <v>1452944.3</v>
      </c>
      <c r="AB27" s="38">
        <f t="shared" si="12"/>
        <v>9.1362200022393356</v>
      </c>
      <c r="AC27" s="228"/>
    </row>
    <row r="28" spans="1:29" s="30" customFormat="1" ht="35.25" customHeight="1" x14ac:dyDescent="0.5">
      <c r="A28" s="44">
        <v>22</v>
      </c>
      <c r="B28" s="45" t="s">
        <v>113</v>
      </c>
      <c r="C28" s="46" t="s">
        <v>129</v>
      </c>
      <c r="D28" s="36">
        <f>+'3.งบบุคลากร (GF)'!D29</f>
        <v>1086289</v>
      </c>
      <c r="E28" s="36">
        <f>+'3.งบบุคลากร (GF)'!E29</f>
        <v>0</v>
      </c>
      <c r="F28" s="36">
        <f>+'3.งบบุคลากร (GF)'!F29</f>
        <v>141470</v>
      </c>
      <c r="G28" s="50">
        <f t="shared" si="0"/>
        <v>944819</v>
      </c>
      <c r="H28" s="38">
        <f t="shared" si="1"/>
        <v>13.023237830816662</v>
      </c>
      <c r="I28" s="36">
        <f>+'4. งบดำเนินงาน (GF)'!D29</f>
        <v>536272</v>
      </c>
      <c r="J28" s="36">
        <f>+'4. งบดำเนินงาน (GF)'!E29</f>
        <v>0</v>
      </c>
      <c r="K28" s="36">
        <f>+'4. งบดำเนินงาน (GF)'!F29</f>
        <v>73364.77</v>
      </c>
      <c r="L28" s="37">
        <f t="shared" si="2"/>
        <v>462907.23</v>
      </c>
      <c r="M28" s="38">
        <f t="shared" si="3"/>
        <v>13.68051473878927</v>
      </c>
      <c r="N28" s="36">
        <f>+'5.งบลงทุน'!F29</f>
        <v>82500</v>
      </c>
      <c r="O28" s="36">
        <f>+'5.งบลงทุน'!G29</f>
        <v>0</v>
      </c>
      <c r="P28" s="36">
        <f>+'5.งบลงทุน'!H29</f>
        <v>0</v>
      </c>
      <c r="Q28" s="37">
        <f t="shared" si="4"/>
        <v>82500</v>
      </c>
      <c r="R28" s="38">
        <f t="shared" si="5"/>
        <v>0</v>
      </c>
      <c r="S28" s="36">
        <f>+'6.งบรายจ่ายอื่น (GF)'!D28</f>
        <v>0</v>
      </c>
      <c r="T28" s="36">
        <f>+'6.งบรายจ่ายอื่น (GF)'!E28</f>
        <v>0</v>
      </c>
      <c r="U28" s="36">
        <f>+'6.งบรายจ่ายอื่น (GF)'!F28</f>
        <v>0</v>
      </c>
      <c r="V28" s="37">
        <f t="shared" si="6"/>
        <v>0</v>
      </c>
      <c r="W28" s="38" t="e">
        <f t="shared" si="7"/>
        <v>#DIV/0!</v>
      </c>
      <c r="X28" s="36">
        <f t="shared" si="8"/>
        <v>1705061</v>
      </c>
      <c r="Y28" s="36">
        <f t="shared" si="9"/>
        <v>0</v>
      </c>
      <c r="Z28" s="36">
        <f t="shared" si="10"/>
        <v>214834.77000000002</v>
      </c>
      <c r="AA28" s="50">
        <f t="shared" si="11"/>
        <v>1490226.23</v>
      </c>
      <c r="AB28" s="38">
        <f t="shared" si="12"/>
        <v>12.599828979725652</v>
      </c>
      <c r="AC28" s="228" t="s">
        <v>383</v>
      </c>
    </row>
    <row r="29" spans="1:29" s="30" customFormat="1" ht="35.25" customHeight="1" x14ac:dyDescent="0.5">
      <c r="A29" s="44">
        <v>23</v>
      </c>
      <c r="B29" s="45" t="s">
        <v>113</v>
      </c>
      <c r="C29" s="46" t="s">
        <v>130</v>
      </c>
      <c r="D29" s="36">
        <f>+'3.งบบุคลากร (GF)'!D30</f>
        <v>1828125</v>
      </c>
      <c r="E29" s="36">
        <f>+'3.งบบุคลากร (GF)'!E30</f>
        <v>0</v>
      </c>
      <c r="F29" s="36">
        <f>+'3.งบบุคลากร (GF)'!F30</f>
        <v>288220</v>
      </c>
      <c r="G29" s="50">
        <f t="shared" si="0"/>
        <v>1539905</v>
      </c>
      <c r="H29" s="38">
        <f t="shared" si="1"/>
        <v>15.765880341880342</v>
      </c>
      <c r="I29" s="36">
        <f>+'4. งบดำเนินงาน (GF)'!D30</f>
        <v>1634531</v>
      </c>
      <c r="J29" s="36">
        <f>+'4. งบดำเนินงาน (GF)'!E30</f>
        <v>8510.7800000000007</v>
      </c>
      <c r="K29" s="36">
        <f>+'4. งบดำเนินงาน (GF)'!F30</f>
        <v>56655.75</v>
      </c>
      <c r="L29" s="37">
        <f t="shared" si="2"/>
        <v>1569364.47</v>
      </c>
      <c r="M29" s="38">
        <f t="shared" si="3"/>
        <v>3.4661777598589443</v>
      </c>
      <c r="N29" s="36">
        <f>+'5.งบลงทุน'!F30</f>
        <v>442800</v>
      </c>
      <c r="O29" s="36">
        <f>+'5.งบลงทุน'!G30</f>
        <v>177900</v>
      </c>
      <c r="P29" s="36">
        <f>+'5.งบลงทุน'!H30</f>
        <v>0</v>
      </c>
      <c r="Q29" s="37">
        <f t="shared" si="4"/>
        <v>264900</v>
      </c>
      <c r="R29" s="38">
        <f t="shared" si="5"/>
        <v>0</v>
      </c>
      <c r="S29" s="36">
        <f>+'6.งบรายจ่ายอื่น (GF)'!D29</f>
        <v>15000</v>
      </c>
      <c r="T29" s="36">
        <f>+'6.งบรายจ่ายอื่น (GF)'!E29</f>
        <v>0</v>
      </c>
      <c r="U29" s="36">
        <f>+'6.งบรายจ่ายอื่น (GF)'!F29</f>
        <v>0</v>
      </c>
      <c r="V29" s="37">
        <f t="shared" si="6"/>
        <v>15000</v>
      </c>
      <c r="W29" s="38">
        <f t="shared" si="7"/>
        <v>0</v>
      </c>
      <c r="X29" s="36">
        <f t="shared" si="8"/>
        <v>3920456</v>
      </c>
      <c r="Y29" s="36">
        <f t="shared" si="9"/>
        <v>186410.78</v>
      </c>
      <c r="Z29" s="36">
        <f t="shared" si="10"/>
        <v>344875.75</v>
      </c>
      <c r="AA29" s="50">
        <f t="shared" si="11"/>
        <v>3389169.47</v>
      </c>
      <c r="AB29" s="38">
        <f t="shared" si="12"/>
        <v>8.7968274608872026</v>
      </c>
      <c r="AC29" s="228"/>
    </row>
    <row r="30" spans="1:29" s="30" customFormat="1" ht="35.25" customHeight="1" x14ac:dyDescent="0.5">
      <c r="A30" s="44">
        <v>24</v>
      </c>
      <c r="B30" s="45" t="s">
        <v>113</v>
      </c>
      <c r="C30" s="46" t="s">
        <v>21</v>
      </c>
      <c r="D30" s="36">
        <f>+'3.งบบุคลากร (GF)'!D31</f>
        <v>3637338</v>
      </c>
      <c r="E30" s="36">
        <f>+'3.งบบุคลากร (GF)'!E31</f>
        <v>0</v>
      </c>
      <c r="F30" s="36">
        <f>+'3.งบบุคลากร (GF)'!F31</f>
        <v>576090</v>
      </c>
      <c r="G30" s="50">
        <f t="shared" si="0"/>
        <v>3061248</v>
      </c>
      <c r="H30" s="38">
        <f t="shared" si="1"/>
        <v>15.838231145964439</v>
      </c>
      <c r="I30" s="36">
        <f>+'4. งบดำเนินงาน (GF)'!D31</f>
        <v>1472585</v>
      </c>
      <c r="J30" s="36">
        <f>+'4. งบดำเนินงาน (GF)'!E31</f>
        <v>0</v>
      </c>
      <c r="K30" s="36">
        <f>+'4. งบดำเนินงาน (GF)'!F31</f>
        <v>18640.599999999999</v>
      </c>
      <c r="L30" s="37">
        <f t="shared" si="2"/>
        <v>1453944.4</v>
      </c>
      <c r="M30" s="38">
        <f t="shared" si="3"/>
        <v>1.2658420396785244</v>
      </c>
      <c r="N30" s="36">
        <f>+'5.งบลงทุน'!F31</f>
        <v>369500</v>
      </c>
      <c r="O30" s="36">
        <f>+'5.งบลงทุน'!G31</f>
        <v>82600</v>
      </c>
      <c r="P30" s="36">
        <f>+'5.งบลงทุน'!H31</f>
        <v>0</v>
      </c>
      <c r="Q30" s="37">
        <f t="shared" si="4"/>
        <v>286900</v>
      </c>
      <c r="R30" s="38">
        <f t="shared" si="5"/>
        <v>0</v>
      </c>
      <c r="S30" s="36">
        <f>+'6.งบรายจ่ายอื่น (GF)'!D30</f>
        <v>15000</v>
      </c>
      <c r="T30" s="36">
        <f>+'6.งบรายจ่ายอื่น (GF)'!E30</f>
        <v>0</v>
      </c>
      <c r="U30" s="36">
        <f>+'6.งบรายจ่ายอื่น (GF)'!F30</f>
        <v>0</v>
      </c>
      <c r="V30" s="37">
        <f t="shared" si="6"/>
        <v>15000</v>
      </c>
      <c r="W30" s="38">
        <f t="shared" si="7"/>
        <v>0</v>
      </c>
      <c r="X30" s="36">
        <f t="shared" si="8"/>
        <v>5494423</v>
      </c>
      <c r="Y30" s="36">
        <f t="shared" si="9"/>
        <v>82600</v>
      </c>
      <c r="Z30" s="36">
        <f t="shared" si="10"/>
        <v>594730.6</v>
      </c>
      <c r="AA30" s="50">
        <f t="shared" si="11"/>
        <v>4817092.4000000004</v>
      </c>
      <c r="AB30" s="38">
        <f t="shared" si="12"/>
        <v>10.824259435431163</v>
      </c>
      <c r="AC30" s="228" t="s">
        <v>383</v>
      </c>
    </row>
    <row r="31" spans="1:29" s="30" customFormat="1" ht="35.25" customHeight="1" x14ac:dyDescent="0.5">
      <c r="A31" s="44">
        <v>25</v>
      </c>
      <c r="B31" s="45" t="s">
        <v>113</v>
      </c>
      <c r="C31" s="46" t="s">
        <v>22</v>
      </c>
      <c r="D31" s="36">
        <f>+'3.งบบุคลากร (GF)'!D32</f>
        <v>1489176</v>
      </c>
      <c r="E31" s="36">
        <f>+'3.งบบุคลากร (GF)'!E32</f>
        <v>0</v>
      </c>
      <c r="F31" s="36">
        <f>+'3.งบบุคลากร (GF)'!F32</f>
        <v>197585.81</v>
      </c>
      <c r="G31" s="50">
        <f t="shared" si="0"/>
        <v>1291590.19</v>
      </c>
      <c r="H31" s="38">
        <f t="shared" si="1"/>
        <v>13.268130160572021</v>
      </c>
      <c r="I31" s="36">
        <f>+'4. งบดำเนินงาน (GF)'!D32</f>
        <v>1461492</v>
      </c>
      <c r="J31" s="36">
        <f>+'4. งบดำเนินงาน (GF)'!E32</f>
        <v>0</v>
      </c>
      <c r="K31" s="36">
        <f>+'4. งบดำเนินงาน (GF)'!F32</f>
        <v>224735.43</v>
      </c>
      <c r="L31" s="37">
        <f t="shared" si="2"/>
        <v>1236756.57</v>
      </c>
      <c r="M31" s="38">
        <f t="shared" si="3"/>
        <v>15.377123514873841</v>
      </c>
      <c r="N31" s="36">
        <f>+'5.งบลงทุน'!F32</f>
        <v>29800</v>
      </c>
      <c r="O31" s="36">
        <f>+'5.งบลงทุน'!G32</f>
        <v>0</v>
      </c>
      <c r="P31" s="36">
        <f>+'5.งบลงทุน'!H32</f>
        <v>13990</v>
      </c>
      <c r="Q31" s="37">
        <f t="shared" si="4"/>
        <v>15810</v>
      </c>
      <c r="R31" s="38">
        <f t="shared" si="5"/>
        <v>46.946308724832214</v>
      </c>
      <c r="S31" s="36">
        <f>+'6.งบรายจ่ายอื่น (GF)'!D31</f>
        <v>15000</v>
      </c>
      <c r="T31" s="36">
        <f>+'6.งบรายจ่ายอื่น (GF)'!E31</f>
        <v>0</v>
      </c>
      <c r="U31" s="36">
        <f>+'6.งบรายจ่ายอื่น (GF)'!F31</f>
        <v>0</v>
      </c>
      <c r="V31" s="37">
        <f t="shared" si="6"/>
        <v>15000</v>
      </c>
      <c r="W31" s="38">
        <f t="shared" si="7"/>
        <v>0</v>
      </c>
      <c r="X31" s="36">
        <f t="shared" si="8"/>
        <v>2995468</v>
      </c>
      <c r="Y31" s="36">
        <f t="shared" si="9"/>
        <v>0</v>
      </c>
      <c r="Z31" s="36">
        <f t="shared" si="10"/>
        <v>436311.24</v>
      </c>
      <c r="AA31" s="50">
        <f t="shared" si="11"/>
        <v>2559156.7599999998</v>
      </c>
      <c r="AB31" s="38">
        <f t="shared" si="12"/>
        <v>14.565711935497225</v>
      </c>
      <c r="AC31" s="228" t="s">
        <v>383</v>
      </c>
    </row>
    <row r="32" spans="1:29" s="30" customFormat="1" ht="35.25" customHeight="1" x14ac:dyDescent="0.5">
      <c r="A32" s="44">
        <v>26</v>
      </c>
      <c r="B32" s="45" t="s">
        <v>113</v>
      </c>
      <c r="C32" s="46" t="s">
        <v>131</v>
      </c>
      <c r="D32" s="36">
        <f>+'3.งบบุคลากร (GF)'!D33</f>
        <v>954170</v>
      </c>
      <c r="E32" s="36">
        <f>+'3.งบบุคลากร (GF)'!E33</f>
        <v>0</v>
      </c>
      <c r="F32" s="36">
        <f>+'3.งบบุคลากร (GF)'!F33</f>
        <v>125720</v>
      </c>
      <c r="G32" s="50">
        <f t="shared" si="0"/>
        <v>828450</v>
      </c>
      <c r="H32" s="38">
        <f t="shared" si="1"/>
        <v>13.175849167339154</v>
      </c>
      <c r="I32" s="36">
        <f>+'4. งบดำเนินงาน (GF)'!D33</f>
        <v>1201538</v>
      </c>
      <c r="J32" s="36">
        <f>+'4. งบดำเนินงาน (GF)'!E33</f>
        <v>0</v>
      </c>
      <c r="K32" s="36">
        <f>+'4. งบดำเนินงาน (GF)'!F33</f>
        <v>65424.800000000003</v>
      </c>
      <c r="L32" s="37">
        <f t="shared" si="2"/>
        <v>1136113.2</v>
      </c>
      <c r="M32" s="38">
        <f t="shared" si="3"/>
        <v>5.4450878790350368</v>
      </c>
      <c r="N32" s="36">
        <f>+'5.งบลงทุน'!F33</f>
        <v>174800</v>
      </c>
      <c r="O32" s="36">
        <f>+'5.งบลงทุน'!G33</f>
        <v>0</v>
      </c>
      <c r="P32" s="36">
        <f>+'5.งบลงทุน'!H33</f>
        <v>0</v>
      </c>
      <c r="Q32" s="37">
        <f t="shared" si="4"/>
        <v>174800</v>
      </c>
      <c r="R32" s="38">
        <f t="shared" si="5"/>
        <v>0</v>
      </c>
      <c r="S32" s="36">
        <f>+'6.งบรายจ่ายอื่น (GF)'!D32</f>
        <v>15000</v>
      </c>
      <c r="T32" s="36">
        <f>+'6.งบรายจ่ายอื่น (GF)'!E32</f>
        <v>0</v>
      </c>
      <c r="U32" s="36">
        <f>+'6.งบรายจ่ายอื่น (GF)'!F32</f>
        <v>0</v>
      </c>
      <c r="V32" s="37">
        <f t="shared" si="6"/>
        <v>15000</v>
      </c>
      <c r="W32" s="38">
        <f t="shared" si="7"/>
        <v>0</v>
      </c>
      <c r="X32" s="36">
        <f t="shared" si="8"/>
        <v>2345508</v>
      </c>
      <c r="Y32" s="36">
        <f t="shared" si="9"/>
        <v>0</v>
      </c>
      <c r="Z32" s="36">
        <f t="shared" si="10"/>
        <v>191144.8</v>
      </c>
      <c r="AA32" s="50">
        <f t="shared" si="11"/>
        <v>2154363.2000000002</v>
      </c>
      <c r="AB32" s="38">
        <f t="shared" si="12"/>
        <v>8.1493987656405356</v>
      </c>
      <c r="AC32" s="228"/>
    </row>
    <row r="33" spans="1:29" s="30" customFormat="1" ht="35.25" customHeight="1" x14ac:dyDescent="0.5">
      <c r="A33" s="44">
        <v>27</v>
      </c>
      <c r="B33" s="45" t="s">
        <v>113</v>
      </c>
      <c r="C33" s="46" t="s">
        <v>132</v>
      </c>
      <c r="D33" s="36">
        <f>+'3.งบบุคลากร (GF)'!D34</f>
        <v>974029</v>
      </c>
      <c r="E33" s="36">
        <f>+'3.งบบุคลากร (GF)'!E34</f>
        <v>0</v>
      </c>
      <c r="F33" s="36">
        <f>+'3.งบบุคลากร (GF)'!F34</f>
        <v>123460</v>
      </c>
      <c r="G33" s="50">
        <f t="shared" si="0"/>
        <v>850569</v>
      </c>
      <c r="H33" s="38">
        <f t="shared" si="1"/>
        <v>12.675187289084821</v>
      </c>
      <c r="I33" s="36">
        <f>+'4. งบดำเนินงาน (GF)'!D34</f>
        <v>573623</v>
      </c>
      <c r="J33" s="36">
        <f>+'4. งบดำเนินงาน (GF)'!E34</f>
        <v>0</v>
      </c>
      <c r="K33" s="36">
        <f>+'4. งบดำเนินงาน (GF)'!F34</f>
        <v>11985.23</v>
      </c>
      <c r="L33" s="37">
        <f t="shared" si="2"/>
        <v>561637.77</v>
      </c>
      <c r="M33" s="38">
        <f t="shared" si="3"/>
        <v>2.0893914644287275</v>
      </c>
      <c r="N33" s="36">
        <f>+'5.งบลงทุน'!F34</f>
        <v>0</v>
      </c>
      <c r="O33" s="36">
        <f>+'5.งบลงทุน'!G34</f>
        <v>0</v>
      </c>
      <c r="P33" s="36">
        <f>+'5.งบลงทุน'!H34</f>
        <v>0</v>
      </c>
      <c r="Q33" s="37">
        <f t="shared" si="4"/>
        <v>0</v>
      </c>
      <c r="R33" s="38" t="e">
        <f t="shared" si="5"/>
        <v>#DIV/0!</v>
      </c>
      <c r="S33" s="36">
        <f>+'6.งบรายจ่ายอื่น (GF)'!D33</f>
        <v>0</v>
      </c>
      <c r="T33" s="36">
        <f>+'6.งบรายจ่ายอื่น (GF)'!E33</f>
        <v>0</v>
      </c>
      <c r="U33" s="36">
        <f>+'6.งบรายจ่ายอื่น (GF)'!F33</f>
        <v>0</v>
      </c>
      <c r="V33" s="37">
        <f t="shared" si="6"/>
        <v>0</v>
      </c>
      <c r="W33" s="38" t="e">
        <f t="shared" si="7"/>
        <v>#DIV/0!</v>
      </c>
      <c r="X33" s="36">
        <f t="shared" si="8"/>
        <v>1547652</v>
      </c>
      <c r="Y33" s="36">
        <f t="shared" si="9"/>
        <v>0</v>
      </c>
      <c r="Z33" s="36">
        <f t="shared" si="10"/>
        <v>135445.23000000001</v>
      </c>
      <c r="AA33" s="50">
        <f t="shared" si="11"/>
        <v>1412206.77</v>
      </c>
      <c r="AB33" s="38">
        <f t="shared" si="12"/>
        <v>8.7516592877468593</v>
      </c>
      <c r="AC33" s="228" t="s">
        <v>382</v>
      </c>
    </row>
    <row r="34" spans="1:29" s="30" customFormat="1" ht="35.25" customHeight="1" x14ac:dyDescent="0.5">
      <c r="A34" s="44">
        <v>28</v>
      </c>
      <c r="B34" s="45" t="s">
        <v>113</v>
      </c>
      <c r="C34" s="46" t="s">
        <v>23</v>
      </c>
      <c r="D34" s="36">
        <f>+'3.งบบุคลากร (GF)'!D35</f>
        <v>3027160</v>
      </c>
      <c r="E34" s="36">
        <f>+'3.งบบุคลากร (GF)'!E35</f>
        <v>0</v>
      </c>
      <c r="F34" s="36">
        <f>+'3.งบบุคลากร (GF)'!F35</f>
        <v>387230</v>
      </c>
      <c r="G34" s="50">
        <f t="shared" si="0"/>
        <v>2639930</v>
      </c>
      <c r="H34" s="38">
        <f t="shared" si="1"/>
        <v>12.791857714821813</v>
      </c>
      <c r="I34" s="36">
        <f>+'4. งบดำเนินงาน (GF)'!D35</f>
        <v>1406947</v>
      </c>
      <c r="J34" s="36">
        <f>+'4. งบดำเนินงาน (GF)'!E35</f>
        <v>0</v>
      </c>
      <c r="K34" s="36">
        <f>+'4. งบดำเนินงาน (GF)'!F35</f>
        <v>120120.47</v>
      </c>
      <c r="L34" s="37">
        <f t="shared" si="2"/>
        <v>1286826.53</v>
      </c>
      <c r="M34" s="38">
        <f t="shared" si="3"/>
        <v>8.5376684409576189</v>
      </c>
      <c r="N34" s="36">
        <f>+'5.งบลงทุน'!F35</f>
        <v>319500</v>
      </c>
      <c r="O34" s="36">
        <f>+'5.งบลงทุน'!G35</f>
        <v>0</v>
      </c>
      <c r="P34" s="36">
        <f>+'5.งบลงทุน'!H35</f>
        <v>0</v>
      </c>
      <c r="Q34" s="37">
        <f t="shared" si="4"/>
        <v>319500</v>
      </c>
      <c r="R34" s="38">
        <f t="shared" si="5"/>
        <v>0</v>
      </c>
      <c r="S34" s="36">
        <f>+'6.งบรายจ่ายอื่น (GF)'!D34</f>
        <v>30000</v>
      </c>
      <c r="T34" s="36">
        <f>+'6.งบรายจ่ายอื่น (GF)'!E34</f>
        <v>0</v>
      </c>
      <c r="U34" s="36">
        <f>+'6.งบรายจ่ายอื่น (GF)'!F34</f>
        <v>0</v>
      </c>
      <c r="V34" s="37">
        <f t="shared" si="6"/>
        <v>30000</v>
      </c>
      <c r="W34" s="38">
        <f t="shared" si="7"/>
        <v>0</v>
      </c>
      <c r="X34" s="36">
        <f t="shared" si="8"/>
        <v>4783607</v>
      </c>
      <c r="Y34" s="36">
        <f t="shared" si="9"/>
        <v>0</v>
      </c>
      <c r="Z34" s="36">
        <f t="shared" si="10"/>
        <v>507350.47</v>
      </c>
      <c r="AA34" s="50">
        <f t="shared" si="11"/>
        <v>4276256.53</v>
      </c>
      <c r="AB34" s="38">
        <f t="shared" si="12"/>
        <v>10.606023237276808</v>
      </c>
      <c r="AC34" s="228"/>
    </row>
    <row r="35" spans="1:29" s="30" customFormat="1" ht="35.25" customHeight="1" x14ac:dyDescent="0.5">
      <c r="A35" s="44">
        <v>29</v>
      </c>
      <c r="B35" s="45" t="s">
        <v>113</v>
      </c>
      <c r="C35" s="46" t="s">
        <v>24</v>
      </c>
      <c r="D35" s="36">
        <f>+'3.งบบุคลากร (GF)'!D36</f>
        <v>2270199</v>
      </c>
      <c r="E35" s="36">
        <f>+'3.งบบุคลากร (GF)'!E36</f>
        <v>0</v>
      </c>
      <c r="F35" s="36">
        <f>+'3.งบบุคลากร (GF)'!F36</f>
        <v>380306.13</v>
      </c>
      <c r="G35" s="50">
        <f t="shared" si="0"/>
        <v>1889892.87</v>
      </c>
      <c r="H35" s="38">
        <f t="shared" si="1"/>
        <v>16.75210543216696</v>
      </c>
      <c r="I35" s="36">
        <f>+'4. งบดำเนินงาน (GF)'!D36</f>
        <v>2412343</v>
      </c>
      <c r="J35" s="36">
        <f>+'4. งบดำเนินงาน (GF)'!E36</f>
        <v>0</v>
      </c>
      <c r="K35" s="36">
        <f>+'4. งบดำเนินงาน (GF)'!F36</f>
        <v>28424</v>
      </c>
      <c r="L35" s="37">
        <f t="shared" si="2"/>
        <v>2383919</v>
      </c>
      <c r="M35" s="38">
        <f t="shared" si="3"/>
        <v>1.1782735705494616</v>
      </c>
      <c r="N35" s="36">
        <f>+'5.งบลงทุน'!F36</f>
        <v>5275900</v>
      </c>
      <c r="O35" s="36">
        <f>+'5.งบลงทุน'!G36</f>
        <v>0</v>
      </c>
      <c r="P35" s="36">
        <f>+'5.งบลงทุน'!H36</f>
        <v>0</v>
      </c>
      <c r="Q35" s="37">
        <f t="shared" si="4"/>
        <v>5275900</v>
      </c>
      <c r="R35" s="38">
        <f t="shared" si="5"/>
        <v>0</v>
      </c>
      <c r="S35" s="36">
        <f>+'6.งบรายจ่ายอื่น (GF)'!D35</f>
        <v>30000</v>
      </c>
      <c r="T35" s="36">
        <f>+'6.งบรายจ่ายอื่น (GF)'!E35</f>
        <v>0</v>
      </c>
      <c r="U35" s="36">
        <f>+'6.งบรายจ่ายอื่น (GF)'!F35</f>
        <v>0</v>
      </c>
      <c r="V35" s="37">
        <f t="shared" si="6"/>
        <v>30000</v>
      </c>
      <c r="W35" s="38">
        <f t="shared" si="7"/>
        <v>0</v>
      </c>
      <c r="X35" s="36">
        <f t="shared" si="8"/>
        <v>9988442</v>
      </c>
      <c r="Y35" s="36">
        <f t="shared" si="9"/>
        <v>0</v>
      </c>
      <c r="Z35" s="36">
        <f t="shared" si="10"/>
        <v>408730.13</v>
      </c>
      <c r="AA35" s="50">
        <f t="shared" si="11"/>
        <v>9579711.8699999992</v>
      </c>
      <c r="AB35" s="38">
        <f t="shared" si="12"/>
        <v>4.0920308692787124</v>
      </c>
      <c r="AC35" s="228"/>
    </row>
    <row r="36" spans="1:29" s="30" customFormat="1" ht="35.25" customHeight="1" x14ac:dyDescent="0.5">
      <c r="A36" s="44">
        <v>30</v>
      </c>
      <c r="B36" s="45" t="s">
        <v>113</v>
      </c>
      <c r="C36" s="46" t="s">
        <v>25</v>
      </c>
      <c r="D36" s="36">
        <f>+'3.งบบุคลากร (GF)'!D37</f>
        <v>1533276</v>
      </c>
      <c r="E36" s="36">
        <f>+'3.งบบุคลากร (GF)'!E37</f>
        <v>0</v>
      </c>
      <c r="F36" s="36">
        <f>+'3.งบบุคลากร (GF)'!F37</f>
        <v>207630</v>
      </c>
      <c r="G36" s="50">
        <f t="shared" si="0"/>
        <v>1325646</v>
      </c>
      <c r="H36" s="38">
        <f t="shared" si="1"/>
        <v>13.541593294357963</v>
      </c>
      <c r="I36" s="36">
        <f>+'4. งบดำเนินงาน (GF)'!D37</f>
        <v>522833</v>
      </c>
      <c r="J36" s="36">
        <f>+'4. งบดำเนินงาน (GF)'!E37</f>
        <v>0</v>
      </c>
      <c r="K36" s="36">
        <f>+'4. งบดำเนินงาน (GF)'!F37</f>
        <v>37952.720000000001</v>
      </c>
      <c r="L36" s="37">
        <f t="shared" si="2"/>
        <v>484880.28</v>
      </c>
      <c r="M36" s="38">
        <f t="shared" si="3"/>
        <v>7.2590521256309373</v>
      </c>
      <c r="N36" s="36">
        <f>+'5.งบลงทุน'!F37</f>
        <v>0</v>
      </c>
      <c r="O36" s="36">
        <f>+'5.งบลงทุน'!G37</f>
        <v>0</v>
      </c>
      <c r="P36" s="36">
        <f>+'5.งบลงทุน'!H37</f>
        <v>0</v>
      </c>
      <c r="Q36" s="37">
        <f t="shared" si="4"/>
        <v>0</v>
      </c>
      <c r="R36" s="38" t="e">
        <f t="shared" si="5"/>
        <v>#DIV/0!</v>
      </c>
      <c r="S36" s="36">
        <f>+'6.งบรายจ่ายอื่น (GF)'!D36</f>
        <v>0</v>
      </c>
      <c r="T36" s="36">
        <f>+'6.งบรายจ่ายอื่น (GF)'!E36</f>
        <v>0</v>
      </c>
      <c r="U36" s="36">
        <f>+'6.งบรายจ่ายอื่น (GF)'!F36</f>
        <v>0</v>
      </c>
      <c r="V36" s="37">
        <f t="shared" si="6"/>
        <v>0</v>
      </c>
      <c r="W36" s="38" t="e">
        <f t="shared" si="7"/>
        <v>#DIV/0!</v>
      </c>
      <c r="X36" s="36">
        <f t="shared" si="8"/>
        <v>2056109</v>
      </c>
      <c r="Y36" s="36">
        <f t="shared" si="9"/>
        <v>0</v>
      </c>
      <c r="Z36" s="36">
        <f t="shared" si="10"/>
        <v>245582.72</v>
      </c>
      <c r="AA36" s="50">
        <f t="shared" si="11"/>
        <v>1810526.28</v>
      </c>
      <c r="AB36" s="38">
        <f t="shared" si="12"/>
        <v>11.944051604268061</v>
      </c>
      <c r="AC36" s="228"/>
    </row>
    <row r="37" spans="1:29" s="30" customFormat="1" ht="35.25" customHeight="1" x14ac:dyDescent="0.5">
      <c r="A37" s="44">
        <v>31</v>
      </c>
      <c r="B37" s="45" t="s">
        <v>113</v>
      </c>
      <c r="C37" s="46" t="s">
        <v>181</v>
      </c>
      <c r="D37" s="36">
        <f>+'3.งบบุคลากร (GF)'!D38</f>
        <v>1142029</v>
      </c>
      <c r="E37" s="36">
        <f>+'3.งบบุคลากร (GF)'!E38</f>
        <v>0</v>
      </c>
      <c r="F37" s="36">
        <f>+'3.งบบุคลากร (GF)'!F38</f>
        <v>179395.39</v>
      </c>
      <c r="G37" s="50">
        <f t="shared" si="0"/>
        <v>962633.61</v>
      </c>
      <c r="H37" s="38">
        <f t="shared" si="1"/>
        <v>15.708479381872088</v>
      </c>
      <c r="I37" s="36">
        <f>+'4. งบดำเนินงาน (GF)'!D38</f>
        <v>1052622</v>
      </c>
      <c r="J37" s="36">
        <f>+'4. งบดำเนินงาน (GF)'!E38</f>
        <v>0</v>
      </c>
      <c r="K37" s="36">
        <f>+'4. งบดำเนินงาน (GF)'!F38</f>
        <v>110725.03</v>
      </c>
      <c r="L37" s="37">
        <f t="shared" si="2"/>
        <v>941896.97</v>
      </c>
      <c r="M37" s="38">
        <f t="shared" si="3"/>
        <v>10.518973572659512</v>
      </c>
      <c r="N37" s="36">
        <f>+'5.งบลงทุน'!F38</f>
        <v>0</v>
      </c>
      <c r="O37" s="36">
        <f>+'5.งบลงทุน'!G38</f>
        <v>0</v>
      </c>
      <c r="P37" s="36">
        <f>+'5.งบลงทุน'!H38</f>
        <v>0</v>
      </c>
      <c r="Q37" s="37">
        <f t="shared" si="4"/>
        <v>0</v>
      </c>
      <c r="R37" s="38" t="e">
        <f t="shared" si="5"/>
        <v>#DIV/0!</v>
      </c>
      <c r="S37" s="36">
        <f>+'6.งบรายจ่ายอื่น (GF)'!D37</f>
        <v>0</v>
      </c>
      <c r="T37" s="36">
        <f>+'6.งบรายจ่ายอื่น (GF)'!E37</f>
        <v>0</v>
      </c>
      <c r="U37" s="36">
        <f>+'6.งบรายจ่ายอื่น (GF)'!F37</f>
        <v>0</v>
      </c>
      <c r="V37" s="37">
        <f t="shared" si="6"/>
        <v>0</v>
      </c>
      <c r="W37" s="38" t="e">
        <f t="shared" si="7"/>
        <v>#DIV/0!</v>
      </c>
      <c r="X37" s="36">
        <f t="shared" si="8"/>
        <v>2194651</v>
      </c>
      <c r="Y37" s="36">
        <f t="shared" si="9"/>
        <v>0</v>
      </c>
      <c r="Z37" s="36">
        <f t="shared" si="10"/>
        <v>290120.42000000004</v>
      </c>
      <c r="AA37" s="50">
        <f t="shared" si="11"/>
        <v>1904530.58</v>
      </c>
      <c r="AB37" s="38">
        <f t="shared" si="12"/>
        <v>13.21943306703435</v>
      </c>
      <c r="AC37" s="228" t="s">
        <v>383</v>
      </c>
    </row>
    <row r="38" spans="1:29" s="30" customFormat="1" ht="35.25" customHeight="1" x14ac:dyDescent="0.5">
      <c r="A38" s="44">
        <v>32</v>
      </c>
      <c r="B38" s="45" t="s">
        <v>113</v>
      </c>
      <c r="C38" s="46" t="s">
        <v>26</v>
      </c>
      <c r="D38" s="36">
        <f>+'3.งบบุคลากร (GF)'!D39</f>
        <v>3419186</v>
      </c>
      <c r="E38" s="36">
        <f>+'3.งบบุคลากร (GF)'!E39</f>
        <v>0</v>
      </c>
      <c r="F38" s="36">
        <f>+'3.งบบุคลากร (GF)'!F39</f>
        <v>438530</v>
      </c>
      <c r="G38" s="50">
        <f t="shared" si="0"/>
        <v>2980656</v>
      </c>
      <c r="H38" s="38">
        <f t="shared" si="1"/>
        <v>12.82556725489634</v>
      </c>
      <c r="I38" s="36">
        <f>+'4. งบดำเนินงาน (GF)'!D39</f>
        <v>3935627</v>
      </c>
      <c r="J38" s="36">
        <f>+'4. งบดำเนินงาน (GF)'!E39</f>
        <v>20850</v>
      </c>
      <c r="K38" s="36">
        <f>+'4. งบดำเนินงาน (GF)'!F39</f>
        <v>105425.12</v>
      </c>
      <c r="L38" s="37">
        <f t="shared" si="2"/>
        <v>3809351.88</v>
      </c>
      <c r="M38" s="38">
        <f t="shared" si="3"/>
        <v>2.678737593781118</v>
      </c>
      <c r="N38" s="36">
        <f>+'5.งบลงทุน'!F39</f>
        <v>4247900</v>
      </c>
      <c r="O38" s="36">
        <f>+'5.งบลงทุน'!G39</f>
        <v>163400</v>
      </c>
      <c r="P38" s="36">
        <f>+'5.งบลงทุน'!H39</f>
        <v>0</v>
      </c>
      <c r="Q38" s="37">
        <f t="shared" si="4"/>
        <v>4084500</v>
      </c>
      <c r="R38" s="38">
        <f t="shared" si="5"/>
        <v>0</v>
      </c>
      <c r="S38" s="36">
        <f>+'6.งบรายจ่ายอื่น (GF)'!D38</f>
        <v>95000</v>
      </c>
      <c r="T38" s="36">
        <f>+'6.งบรายจ่ายอื่น (GF)'!E38</f>
        <v>0</v>
      </c>
      <c r="U38" s="36">
        <f>+'6.งบรายจ่ายอื่น (GF)'!F38</f>
        <v>0</v>
      </c>
      <c r="V38" s="37">
        <f t="shared" si="6"/>
        <v>95000</v>
      </c>
      <c r="W38" s="38">
        <f t="shared" si="7"/>
        <v>0</v>
      </c>
      <c r="X38" s="36">
        <f t="shared" si="8"/>
        <v>11697713</v>
      </c>
      <c r="Y38" s="36">
        <f t="shared" si="9"/>
        <v>184250</v>
      </c>
      <c r="Z38" s="36">
        <f t="shared" si="10"/>
        <v>543955.12</v>
      </c>
      <c r="AA38" s="50">
        <f t="shared" si="11"/>
        <v>10969507.880000001</v>
      </c>
      <c r="AB38" s="38">
        <f t="shared" si="12"/>
        <v>4.650098014885474</v>
      </c>
      <c r="AC38" s="228" t="s">
        <v>383</v>
      </c>
    </row>
    <row r="39" spans="1:29" s="30" customFormat="1" ht="35.25" customHeight="1" x14ac:dyDescent="0.5">
      <c r="A39" s="44">
        <v>33</v>
      </c>
      <c r="B39" s="45" t="s">
        <v>113</v>
      </c>
      <c r="C39" s="46" t="s">
        <v>27</v>
      </c>
      <c r="D39" s="36">
        <f>+'3.งบบุคลากร (GF)'!D40</f>
        <v>660412</v>
      </c>
      <c r="E39" s="36">
        <f>+'3.งบบุคลากร (GF)'!E40</f>
        <v>0</v>
      </c>
      <c r="F39" s="36">
        <f>+'3.งบบุคลากร (GF)'!F40</f>
        <v>106020</v>
      </c>
      <c r="G39" s="50">
        <f t="shared" si="0"/>
        <v>554392</v>
      </c>
      <c r="H39" s="38">
        <f t="shared" si="1"/>
        <v>16.053615016080872</v>
      </c>
      <c r="I39" s="36">
        <f>+'4. งบดำเนินงาน (GF)'!D40</f>
        <v>422945</v>
      </c>
      <c r="J39" s="36">
        <f>+'4. งบดำเนินงาน (GF)'!E40</f>
        <v>0</v>
      </c>
      <c r="K39" s="36">
        <f>+'4. งบดำเนินงาน (GF)'!F40</f>
        <v>45825.99</v>
      </c>
      <c r="L39" s="37">
        <f t="shared" si="2"/>
        <v>377119.01</v>
      </c>
      <c r="M39" s="38">
        <f t="shared" si="3"/>
        <v>10.834976178935795</v>
      </c>
      <c r="N39" s="36">
        <f>+'5.งบลงทุน'!F40</f>
        <v>0</v>
      </c>
      <c r="O39" s="36">
        <f>+'5.งบลงทุน'!G40</f>
        <v>0</v>
      </c>
      <c r="P39" s="36">
        <f>+'5.งบลงทุน'!H40</f>
        <v>0</v>
      </c>
      <c r="Q39" s="37">
        <f t="shared" si="4"/>
        <v>0</v>
      </c>
      <c r="R39" s="38" t="e">
        <f t="shared" si="5"/>
        <v>#DIV/0!</v>
      </c>
      <c r="S39" s="36">
        <f>+'6.งบรายจ่ายอื่น (GF)'!D39</f>
        <v>0</v>
      </c>
      <c r="T39" s="36">
        <f>+'6.งบรายจ่ายอื่น (GF)'!E39</f>
        <v>0</v>
      </c>
      <c r="U39" s="36">
        <f>+'6.งบรายจ่ายอื่น (GF)'!F39</f>
        <v>0</v>
      </c>
      <c r="V39" s="37">
        <f t="shared" si="6"/>
        <v>0</v>
      </c>
      <c r="W39" s="38" t="e">
        <f t="shared" si="7"/>
        <v>#DIV/0!</v>
      </c>
      <c r="X39" s="36">
        <f t="shared" si="8"/>
        <v>1083357</v>
      </c>
      <c r="Y39" s="36">
        <f t="shared" si="9"/>
        <v>0</v>
      </c>
      <c r="Z39" s="36">
        <f t="shared" si="10"/>
        <v>151845.99</v>
      </c>
      <c r="AA39" s="50">
        <f t="shared" si="11"/>
        <v>931511.01</v>
      </c>
      <c r="AB39" s="38">
        <f t="shared" si="12"/>
        <v>14.016246721994689</v>
      </c>
      <c r="AC39" s="228" t="s">
        <v>383</v>
      </c>
    </row>
    <row r="40" spans="1:29" s="30" customFormat="1" ht="35.25" customHeight="1" x14ac:dyDescent="0.5">
      <c r="A40" s="44">
        <v>34</v>
      </c>
      <c r="B40" s="45" t="s">
        <v>113</v>
      </c>
      <c r="C40" s="46" t="s">
        <v>28</v>
      </c>
      <c r="D40" s="36">
        <f>+'3.งบบุคลากร (GF)'!D41</f>
        <v>2063979</v>
      </c>
      <c r="E40" s="36">
        <f>+'3.งบบุคลากร (GF)'!E41</f>
        <v>0</v>
      </c>
      <c r="F40" s="36">
        <f>+'3.งบบุคลากร (GF)'!F41</f>
        <v>265490</v>
      </c>
      <c r="G40" s="50">
        <f t="shared" si="0"/>
        <v>1798489</v>
      </c>
      <c r="H40" s="38">
        <f t="shared" si="1"/>
        <v>12.863018470633664</v>
      </c>
      <c r="I40" s="36">
        <f>+'4. งบดำเนินงาน (GF)'!D41</f>
        <v>2256969</v>
      </c>
      <c r="J40" s="36">
        <f>+'4. งบดำเนินงาน (GF)'!E41</f>
        <v>41240</v>
      </c>
      <c r="K40" s="36">
        <f>+'4. งบดำเนินงาน (GF)'!F41</f>
        <v>128781</v>
      </c>
      <c r="L40" s="37">
        <f t="shared" si="2"/>
        <v>2086948</v>
      </c>
      <c r="M40" s="38">
        <f t="shared" si="3"/>
        <v>5.7059268425928753</v>
      </c>
      <c r="N40" s="36">
        <f>+'5.งบลงทุน'!F41</f>
        <v>69900</v>
      </c>
      <c r="O40" s="36">
        <f>+'5.งบลงทุน'!G41</f>
        <v>69900</v>
      </c>
      <c r="P40" s="36">
        <f>+'5.งบลงทุน'!H41</f>
        <v>0</v>
      </c>
      <c r="Q40" s="37">
        <f t="shared" si="4"/>
        <v>0</v>
      </c>
      <c r="R40" s="38">
        <f t="shared" si="5"/>
        <v>0</v>
      </c>
      <c r="S40" s="36">
        <f>+'6.งบรายจ่ายอื่น (GF)'!D40</f>
        <v>20000</v>
      </c>
      <c r="T40" s="36">
        <f>+'6.งบรายจ่ายอื่น (GF)'!E40</f>
        <v>0</v>
      </c>
      <c r="U40" s="36">
        <f>+'6.งบรายจ่ายอื่น (GF)'!F40</f>
        <v>0</v>
      </c>
      <c r="V40" s="37">
        <f t="shared" si="6"/>
        <v>20000</v>
      </c>
      <c r="W40" s="38">
        <f t="shared" si="7"/>
        <v>0</v>
      </c>
      <c r="X40" s="36">
        <f t="shared" si="8"/>
        <v>4410848</v>
      </c>
      <c r="Y40" s="36">
        <f t="shared" si="9"/>
        <v>111140</v>
      </c>
      <c r="Z40" s="36">
        <f t="shared" si="10"/>
        <v>394271</v>
      </c>
      <c r="AA40" s="50">
        <f t="shared" si="11"/>
        <v>3905437</v>
      </c>
      <c r="AB40" s="38">
        <f t="shared" si="12"/>
        <v>8.938666669084947</v>
      </c>
      <c r="AC40" s="228"/>
    </row>
    <row r="41" spans="1:29" s="30" customFormat="1" ht="35.25" customHeight="1" x14ac:dyDescent="0.5">
      <c r="A41" s="44">
        <v>35</v>
      </c>
      <c r="B41" s="45" t="s">
        <v>113</v>
      </c>
      <c r="C41" s="46" t="s">
        <v>133</v>
      </c>
      <c r="D41" s="36">
        <f>+'3.งบบุคลากร (GF)'!D42</f>
        <v>2242844</v>
      </c>
      <c r="E41" s="36">
        <f>+'3.งบบุคลากร (GF)'!E42</f>
        <v>0</v>
      </c>
      <c r="F41" s="36">
        <f>+'3.งบบุคลากร (GF)'!F42</f>
        <v>288750</v>
      </c>
      <c r="G41" s="50">
        <f t="shared" si="0"/>
        <v>1954094</v>
      </c>
      <c r="H41" s="38">
        <f t="shared" si="1"/>
        <v>12.874279263292498</v>
      </c>
      <c r="I41" s="36">
        <f>+'4. งบดำเนินงาน (GF)'!D42</f>
        <v>3377439</v>
      </c>
      <c r="J41" s="36">
        <f>+'4. งบดำเนินงาน (GF)'!E42</f>
        <v>0</v>
      </c>
      <c r="K41" s="36">
        <f>+'4. งบดำเนินงาน (GF)'!F42</f>
        <v>45509.08</v>
      </c>
      <c r="L41" s="37">
        <f t="shared" si="2"/>
        <v>3331929.92</v>
      </c>
      <c r="M41" s="38">
        <f t="shared" si="3"/>
        <v>1.3474434327311315</v>
      </c>
      <c r="N41" s="36">
        <f>+'5.งบลงทุน'!F42</f>
        <v>158400</v>
      </c>
      <c r="O41" s="36">
        <f>+'5.งบลงทุน'!G42</f>
        <v>0</v>
      </c>
      <c r="P41" s="36">
        <f>+'5.งบลงทุน'!H42</f>
        <v>0</v>
      </c>
      <c r="Q41" s="37">
        <f t="shared" si="4"/>
        <v>158400</v>
      </c>
      <c r="R41" s="38">
        <f t="shared" si="5"/>
        <v>0</v>
      </c>
      <c r="S41" s="36">
        <f>+'6.งบรายจ่ายอื่น (GF)'!D41</f>
        <v>85000</v>
      </c>
      <c r="T41" s="36">
        <f>+'6.งบรายจ่ายอื่น (GF)'!E41</f>
        <v>0</v>
      </c>
      <c r="U41" s="36">
        <f>+'6.งบรายจ่ายอื่น (GF)'!F41</f>
        <v>0</v>
      </c>
      <c r="V41" s="37">
        <f t="shared" si="6"/>
        <v>85000</v>
      </c>
      <c r="W41" s="38">
        <f t="shared" si="7"/>
        <v>0</v>
      </c>
      <c r="X41" s="36">
        <f t="shared" si="8"/>
        <v>5863683</v>
      </c>
      <c r="Y41" s="36">
        <f t="shared" si="9"/>
        <v>0</v>
      </c>
      <c r="Z41" s="36">
        <f t="shared" si="10"/>
        <v>334259.08</v>
      </c>
      <c r="AA41" s="50">
        <f t="shared" si="11"/>
        <v>5529423.9199999999</v>
      </c>
      <c r="AB41" s="38">
        <f t="shared" si="12"/>
        <v>5.7004971107749176</v>
      </c>
      <c r="AC41" s="228" t="s">
        <v>383</v>
      </c>
    </row>
    <row r="42" spans="1:29" s="30" customFormat="1" ht="35.25" customHeight="1" x14ac:dyDescent="0.5">
      <c r="A42" s="44">
        <v>36</v>
      </c>
      <c r="B42" s="45" t="s">
        <v>113</v>
      </c>
      <c r="C42" s="46" t="s">
        <v>29</v>
      </c>
      <c r="D42" s="36">
        <f>+'3.งบบุคลากร (GF)'!D43</f>
        <v>1320409</v>
      </c>
      <c r="E42" s="36">
        <f>+'3.งบบุคลากร (GF)'!E43</f>
        <v>0</v>
      </c>
      <c r="F42" s="36">
        <f>+'3.งบบุคลากร (GF)'!F43</f>
        <v>209251.6</v>
      </c>
      <c r="G42" s="50">
        <f t="shared" si="0"/>
        <v>1111157.3999999999</v>
      </c>
      <c r="H42" s="38">
        <f t="shared" si="1"/>
        <v>15.847483620605434</v>
      </c>
      <c r="I42" s="36">
        <f>+'4. งบดำเนินงาน (GF)'!D43</f>
        <v>1729949</v>
      </c>
      <c r="J42" s="36">
        <f>+'4. งบดำเนินงาน (GF)'!E43</f>
        <v>0</v>
      </c>
      <c r="K42" s="36">
        <f>+'4. งบดำเนินงาน (GF)'!F43</f>
        <v>11650</v>
      </c>
      <c r="L42" s="37">
        <f t="shared" si="2"/>
        <v>1718299</v>
      </c>
      <c r="M42" s="38">
        <f t="shared" si="3"/>
        <v>0.67343025719255312</v>
      </c>
      <c r="N42" s="36">
        <f>+'5.งบลงทุน'!F43</f>
        <v>6196600</v>
      </c>
      <c r="O42" s="36">
        <f>+'5.งบลงทุน'!G43</f>
        <v>0</v>
      </c>
      <c r="P42" s="36">
        <f>+'5.งบลงทุน'!H43</f>
        <v>0</v>
      </c>
      <c r="Q42" s="37">
        <f t="shared" si="4"/>
        <v>6196600</v>
      </c>
      <c r="R42" s="38">
        <f t="shared" si="5"/>
        <v>0</v>
      </c>
      <c r="S42" s="36">
        <f>+'6.งบรายจ่ายอื่น (GF)'!D42</f>
        <v>20000</v>
      </c>
      <c r="T42" s="36">
        <f>+'6.งบรายจ่ายอื่น (GF)'!E42</f>
        <v>0</v>
      </c>
      <c r="U42" s="36">
        <f>+'6.งบรายจ่ายอื่น (GF)'!F42</f>
        <v>0</v>
      </c>
      <c r="V42" s="37">
        <f t="shared" si="6"/>
        <v>20000</v>
      </c>
      <c r="W42" s="38">
        <f t="shared" si="7"/>
        <v>0</v>
      </c>
      <c r="X42" s="36">
        <f t="shared" si="8"/>
        <v>9266958</v>
      </c>
      <c r="Y42" s="36">
        <f t="shared" si="9"/>
        <v>0</v>
      </c>
      <c r="Z42" s="36">
        <f t="shared" si="10"/>
        <v>220901.6</v>
      </c>
      <c r="AA42" s="50">
        <f t="shared" si="11"/>
        <v>9046056.4000000004</v>
      </c>
      <c r="AB42" s="38">
        <f t="shared" si="12"/>
        <v>2.3837552733054364</v>
      </c>
      <c r="AC42" s="228" t="s">
        <v>382</v>
      </c>
    </row>
    <row r="43" spans="1:29" s="30" customFormat="1" ht="35.25" customHeight="1" x14ac:dyDescent="0.5">
      <c r="A43" s="44">
        <v>37</v>
      </c>
      <c r="B43" s="45" t="s">
        <v>113</v>
      </c>
      <c r="C43" s="46" t="s">
        <v>30</v>
      </c>
      <c r="D43" s="36">
        <f>+'3.งบบุคลากร (GF)'!D44</f>
        <v>3194177</v>
      </c>
      <c r="E43" s="36">
        <f>+'3.งบบุคลากร (GF)'!E44</f>
        <v>0</v>
      </c>
      <c r="F43" s="36">
        <f>+'3.งบบุคลากร (GF)'!F44</f>
        <v>432437.74</v>
      </c>
      <c r="G43" s="50">
        <f t="shared" si="0"/>
        <v>2761739.26</v>
      </c>
      <c r="H43" s="38">
        <f t="shared" si="1"/>
        <v>13.538314877353384</v>
      </c>
      <c r="I43" s="36">
        <f>+'4. งบดำเนินงาน (GF)'!D44</f>
        <v>2247872</v>
      </c>
      <c r="J43" s="36">
        <f>+'4. งบดำเนินงาน (GF)'!E44</f>
        <v>0</v>
      </c>
      <c r="K43" s="36">
        <f>+'4. งบดำเนินงาน (GF)'!F44</f>
        <v>76172.460000000006</v>
      </c>
      <c r="L43" s="37">
        <f t="shared" si="2"/>
        <v>2171699.54</v>
      </c>
      <c r="M43" s="38">
        <f t="shared" si="3"/>
        <v>3.3886475742391031</v>
      </c>
      <c r="N43" s="36">
        <f>+'5.งบลงทุน'!F44</f>
        <v>152600</v>
      </c>
      <c r="O43" s="36">
        <f>+'5.งบลงทุน'!G44</f>
        <v>0</v>
      </c>
      <c r="P43" s="36">
        <f>+'5.งบลงทุน'!H44</f>
        <v>0</v>
      </c>
      <c r="Q43" s="37">
        <f t="shared" si="4"/>
        <v>152600</v>
      </c>
      <c r="R43" s="38">
        <f t="shared" si="5"/>
        <v>0</v>
      </c>
      <c r="S43" s="36">
        <f>+'6.งบรายจ่ายอื่น (GF)'!D43</f>
        <v>80000</v>
      </c>
      <c r="T43" s="36">
        <f>+'6.งบรายจ่ายอื่น (GF)'!E43</f>
        <v>0</v>
      </c>
      <c r="U43" s="36">
        <f>+'6.งบรายจ่ายอื่น (GF)'!F43</f>
        <v>0</v>
      </c>
      <c r="V43" s="37">
        <f t="shared" si="6"/>
        <v>80000</v>
      </c>
      <c r="W43" s="38">
        <f t="shared" si="7"/>
        <v>0</v>
      </c>
      <c r="X43" s="36">
        <f t="shared" si="8"/>
        <v>5674649</v>
      </c>
      <c r="Y43" s="36">
        <f t="shared" si="9"/>
        <v>0</v>
      </c>
      <c r="Z43" s="36">
        <f t="shared" si="10"/>
        <v>508610.2</v>
      </c>
      <c r="AA43" s="50">
        <f t="shared" si="11"/>
        <v>5166038.8</v>
      </c>
      <c r="AB43" s="38">
        <f t="shared" si="12"/>
        <v>8.9628486272895476</v>
      </c>
      <c r="AC43" s="228" t="s">
        <v>383</v>
      </c>
    </row>
    <row r="44" spans="1:29" s="30" customFormat="1" ht="35.25" customHeight="1" x14ac:dyDescent="0.5">
      <c r="A44" s="44">
        <v>38</v>
      </c>
      <c r="B44" s="45" t="s">
        <v>113</v>
      </c>
      <c r="C44" s="46" t="s">
        <v>31</v>
      </c>
      <c r="D44" s="36">
        <f>+'3.งบบุคลากร (GF)'!D45</f>
        <v>4008811</v>
      </c>
      <c r="E44" s="36">
        <f>+'3.งบบุคลากร (GF)'!E45</f>
        <v>0</v>
      </c>
      <c r="F44" s="36">
        <f>+'3.งบบุคลากร (GF)'!F45</f>
        <v>555547.42000000004</v>
      </c>
      <c r="G44" s="50">
        <f t="shared" si="0"/>
        <v>3453263.58</v>
      </c>
      <c r="H44" s="38">
        <f t="shared" si="1"/>
        <v>13.858159439295095</v>
      </c>
      <c r="I44" s="36">
        <f>+'4. งบดำเนินงาน (GF)'!D45</f>
        <v>1194996</v>
      </c>
      <c r="J44" s="36">
        <f>+'4. งบดำเนินงาน (GF)'!E45</f>
        <v>0</v>
      </c>
      <c r="K44" s="36">
        <f>+'4. งบดำเนินงาน (GF)'!F45</f>
        <v>60197.51</v>
      </c>
      <c r="L44" s="37">
        <f t="shared" si="2"/>
        <v>1134798.49</v>
      </c>
      <c r="M44" s="38">
        <f t="shared" si="3"/>
        <v>5.0374653973737153</v>
      </c>
      <c r="N44" s="36">
        <f>+'5.งบลงทุน'!F45</f>
        <v>113700</v>
      </c>
      <c r="O44" s="36">
        <f>+'5.งบลงทุน'!G45</f>
        <v>0</v>
      </c>
      <c r="P44" s="36">
        <f>+'5.งบลงทุน'!H45</f>
        <v>0</v>
      </c>
      <c r="Q44" s="37">
        <f t="shared" si="4"/>
        <v>113700</v>
      </c>
      <c r="R44" s="38">
        <f t="shared" si="5"/>
        <v>0</v>
      </c>
      <c r="S44" s="36">
        <f>+'6.งบรายจ่ายอื่น (GF)'!D44</f>
        <v>20000</v>
      </c>
      <c r="T44" s="36">
        <f>+'6.งบรายจ่ายอื่น (GF)'!E44</f>
        <v>0</v>
      </c>
      <c r="U44" s="36">
        <f>+'6.งบรายจ่ายอื่น (GF)'!F44</f>
        <v>0</v>
      </c>
      <c r="V44" s="37">
        <f t="shared" si="6"/>
        <v>20000</v>
      </c>
      <c r="W44" s="38">
        <f t="shared" si="7"/>
        <v>0</v>
      </c>
      <c r="X44" s="36">
        <f t="shared" si="8"/>
        <v>5337507</v>
      </c>
      <c r="Y44" s="36">
        <f t="shared" si="9"/>
        <v>0</v>
      </c>
      <c r="Z44" s="36">
        <f t="shared" si="10"/>
        <v>615744.93000000005</v>
      </c>
      <c r="AA44" s="50">
        <f t="shared" si="11"/>
        <v>4721762.07</v>
      </c>
      <c r="AB44" s="38">
        <f t="shared" si="12"/>
        <v>11.53618964808852</v>
      </c>
      <c r="AC44" s="228" t="s">
        <v>383</v>
      </c>
    </row>
    <row r="45" spans="1:29" s="30" customFormat="1" ht="35.25" customHeight="1" x14ac:dyDescent="0.5">
      <c r="A45" s="44">
        <v>39</v>
      </c>
      <c r="B45" s="45" t="s">
        <v>113</v>
      </c>
      <c r="C45" s="46" t="s">
        <v>134</v>
      </c>
      <c r="D45" s="36">
        <f>+'3.งบบุคลากร (GF)'!D46</f>
        <v>1253098</v>
      </c>
      <c r="E45" s="36">
        <f>+'3.งบบุคลากร (GF)'!E46</f>
        <v>0</v>
      </c>
      <c r="F45" s="36">
        <f>+'3.งบบุคลากร (GF)'!F46</f>
        <v>157320</v>
      </c>
      <c r="G45" s="50">
        <f t="shared" si="0"/>
        <v>1095778</v>
      </c>
      <c r="H45" s="38">
        <f t="shared" si="1"/>
        <v>12.554484964464072</v>
      </c>
      <c r="I45" s="36">
        <f>+'4. งบดำเนินงาน (GF)'!D46</f>
        <v>493799</v>
      </c>
      <c r="J45" s="36">
        <f>+'4. งบดำเนินงาน (GF)'!E46</f>
        <v>0</v>
      </c>
      <c r="K45" s="36">
        <f>+'4. งบดำเนินงาน (GF)'!F46</f>
        <v>51310.2</v>
      </c>
      <c r="L45" s="37">
        <f t="shared" si="2"/>
        <v>442488.8</v>
      </c>
      <c r="M45" s="38">
        <f t="shared" si="3"/>
        <v>10.390908041531068</v>
      </c>
      <c r="N45" s="36">
        <f>+'5.งบลงทุน'!F46</f>
        <v>57100</v>
      </c>
      <c r="O45" s="36">
        <f>+'5.งบลงทุน'!G46</f>
        <v>0</v>
      </c>
      <c r="P45" s="36">
        <f>+'5.งบลงทุน'!H46</f>
        <v>0</v>
      </c>
      <c r="Q45" s="37">
        <f t="shared" si="4"/>
        <v>57100</v>
      </c>
      <c r="R45" s="38">
        <f t="shared" si="5"/>
        <v>0</v>
      </c>
      <c r="S45" s="36">
        <f>+'6.งบรายจ่ายอื่น (GF)'!D45</f>
        <v>0</v>
      </c>
      <c r="T45" s="36">
        <f>+'6.งบรายจ่ายอื่น (GF)'!E45</f>
        <v>0</v>
      </c>
      <c r="U45" s="36">
        <f>+'6.งบรายจ่ายอื่น (GF)'!F45</f>
        <v>0</v>
      </c>
      <c r="V45" s="37">
        <f t="shared" si="6"/>
        <v>0</v>
      </c>
      <c r="W45" s="38" t="e">
        <f t="shared" si="7"/>
        <v>#DIV/0!</v>
      </c>
      <c r="X45" s="36">
        <f t="shared" si="8"/>
        <v>1803997</v>
      </c>
      <c r="Y45" s="36">
        <f t="shared" si="9"/>
        <v>0</v>
      </c>
      <c r="Z45" s="36">
        <f t="shared" si="10"/>
        <v>208630.2</v>
      </c>
      <c r="AA45" s="50">
        <f t="shared" si="11"/>
        <v>1595366.8</v>
      </c>
      <c r="AB45" s="38">
        <f t="shared" si="12"/>
        <v>11.564886194378373</v>
      </c>
      <c r="AC45" s="228" t="s">
        <v>383</v>
      </c>
    </row>
    <row r="46" spans="1:29" s="30" customFormat="1" ht="35.25" customHeight="1" x14ac:dyDescent="0.5">
      <c r="A46" s="44">
        <v>40</v>
      </c>
      <c r="B46" s="45" t="s">
        <v>113</v>
      </c>
      <c r="C46" s="46" t="s">
        <v>32</v>
      </c>
      <c r="D46" s="36">
        <f>+'3.งบบุคลากร (GF)'!D47</f>
        <v>2053610</v>
      </c>
      <c r="E46" s="36">
        <f>+'3.งบบุคลากร (GF)'!E47</f>
        <v>0</v>
      </c>
      <c r="F46" s="36">
        <f>+'3.งบบุคลากร (GF)'!F47</f>
        <v>253680</v>
      </c>
      <c r="G46" s="50">
        <f t="shared" si="0"/>
        <v>1799930</v>
      </c>
      <c r="H46" s="38">
        <f t="shared" si="1"/>
        <v>12.35288102414772</v>
      </c>
      <c r="I46" s="36">
        <f>+'4. งบดำเนินงาน (GF)'!D47</f>
        <v>1578747</v>
      </c>
      <c r="J46" s="36">
        <f>+'4. งบดำเนินงาน (GF)'!E47</f>
        <v>621080</v>
      </c>
      <c r="K46" s="36">
        <f>+'4. งบดำเนินงาน (GF)'!F47</f>
        <v>126349.7</v>
      </c>
      <c r="L46" s="37">
        <f t="shared" si="2"/>
        <v>831317.3</v>
      </c>
      <c r="M46" s="38">
        <f t="shared" si="3"/>
        <v>8.0031632680853875</v>
      </c>
      <c r="N46" s="36">
        <f>+'5.งบลงทุน'!F47</f>
        <v>0</v>
      </c>
      <c r="O46" s="36">
        <f>+'5.งบลงทุน'!G47</f>
        <v>0</v>
      </c>
      <c r="P46" s="36">
        <f>+'5.งบลงทุน'!H47</f>
        <v>0</v>
      </c>
      <c r="Q46" s="37">
        <f t="shared" si="4"/>
        <v>0</v>
      </c>
      <c r="R46" s="38" t="e">
        <f t="shared" si="5"/>
        <v>#DIV/0!</v>
      </c>
      <c r="S46" s="36">
        <f>+'6.งบรายจ่ายอื่น (GF)'!D46</f>
        <v>15000</v>
      </c>
      <c r="T46" s="36">
        <f>+'6.งบรายจ่ายอื่น (GF)'!E46</f>
        <v>0</v>
      </c>
      <c r="U46" s="36">
        <f>+'6.งบรายจ่ายอื่น (GF)'!F46</f>
        <v>0</v>
      </c>
      <c r="V46" s="37">
        <f t="shared" si="6"/>
        <v>15000</v>
      </c>
      <c r="W46" s="38">
        <f t="shared" si="7"/>
        <v>0</v>
      </c>
      <c r="X46" s="36">
        <f t="shared" si="8"/>
        <v>3647357</v>
      </c>
      <c r="Y46" s="36">
        <f t="shared" si="9"/>
        <v>621080</v>
      </c>
      <c r="Z46" s="36">
        <f t="shared" si="10"/>
        <v>380029.7</v>
      </c>
      <c r="AA46" s="50">
        <f t="shared" si="11"/>
        <v>2646247.2999999998</v>
      </c>
      <c r="AB46" s="38">
        <f t="shared" si="12"/>
        <v>10.41931733032988</v>
      </c>
      <c r="AC46" s="228" t="s">
        <v>383</v>
      </c>
    </row>
    <row r="47" spans="1:29" s="30" customFormat="1" ht="35.25" customHeight="1" x14ac:dyDescent="0.5">
      <c r="A47" s="44">
        <v>41</v>
      </c>
      <c r="B47" s="45" t="s">
        <v>113</v>
      </c>
      <c r="C47" s="46" t="s">
        <v>33</v>
      </c>
      <c r="D47" s="36">
        <f>+'3.งบบุคลากร (GF)'!D48</f>
        <v>2881361</v>
      </c>
      <c r="E47" s="36">
        <f>+'3.งบบุคลากร (GF)'!E48</f>
        <v>0</v>
      </c>
      <c r="F47" s="36">
        <f>+'3.งบบุคลากร (GF)'!F48</f>
        <v>369340</v>
      </c>
      <c r="G47" s="50">
        <f t="shared" si="0"/>
        <v>2512021</v>
      </c>
      <c r="H47" s="38">
        <f t="shared" si="1"/>
        <v>12.818248043199031</v>
      </c>
      <c r="I47" s="36">
        <f>+'4. งบดำเนินงาน (GF)'!D48</f>
        <v>1864215</v>
      </c>
      <c r="J47" s="36">
        <f>+'4. งบดำเนินงาน (GF)'!E48</f>
        <v>0</v>
      </c>
      <c r="K47" s="36">
        <f>+'4. งบดำเนินงาน (GF)'!F48</f>
        <v>97586.52</v>
      </c>
      <c r="L47" s="37">
        <f t="shared" si="2"/>
        <v>1766628.48</v>
      </c>
      <c r="M47" s="38">
        <f t="shared" si="3"/>
        <v>5.2347245355283594</v>
      </c>
      <c r="N47" s="36">
        <f>+'5.งบลงทุน'!F48</f>
        <v>0</v>
      </c>
      <c r="O47" s="36">
        <f>+'5.งบลงทุน'!G48</f>
        <v>0</v>
      </c>
      <c r="P47" s="36">
        <f>+'5.งบลงทุน'!H48</f>
        <v>0</v>
      </c>
      <c r="Q47" s="37">
        <f t="shared" si="4"/>
        <v>0</v>
      </c>
      <c r="R47" s="38" t="e">
        <f t="shared" si="5"/>
        <v>#DIV/0!</v>
      </c>
      <c r="S47" s="36">
        <f>+'6.งบรายจ่ายอื่น (GF)'!D47</f>
        <v>20000</v>
      </c>
      <c r="T47" s="36">
        <f>+'6.งบรายจ่ายอื่น (GF)'!E47</f>
        <v>0</v>
      </c>
      <c r="U47" s="36">
        <f>+'6.งบรายจ่ายอื่น (GF)'!F47</f>
        <v>0</v>
      </c>
      <c r="V47" s="37">
        <f t="shared" si="6"/>
        <v>20000</v>
      </c>
      <c r="W47" s="38">
        <f t="shared" si="7"/>
        <v>0</v>
      </c>
      <c r="X47" s="36">
        <f t="shared" si="8"/>
        <v>4765576</v>
      </c>
      <c r="Y47" s="36">
        <f t="shared" si="9"/>
        <v>0</v>
      </c>
      <c r="Z47" s="36">
        <f t="shared" si="10"/>
        <v>466926.52</v>
      </c>
      <c r="AA47" s="50">
        <f t="shared" si="11"/>
        <v>4298649.4800000004</v>
      </c>
      <c r="AB47" s="38">
        <f t="shared" si="12"/>
        <v>9.7979031286039717</v>
      </c>
      <c r="AC47" s="228"/>
    </row>
    <row r="48" spans="1:29" s="30" customFormat="1" ht="35.25" customHeight="1" x14ac:dyDescent="0.5">
      <c r="A48" s="44">
        <v>42</v>
      </c>
      <c r="B48" s="45" t="s">
        <v>113</v>
      </c>
      <c r="C48" s="46" t="s">
        <v>34</v>
      </c>
      <c r="D48" s="36">
        <f>+'3.งบบุคลากร (GF)'!D49</f>
        <v>1389042</v>
      </c>
      <c r="E48" s="36">
        <f>+'3.งบบุคลากร (GF)'!E49</f>
        <v>0</v>
      </c>
      <c r="F48" s="36">
        <f>+'3.งบบุคลากร (GF)'!F49</f>
        <v>172700.32</v>
      </c>
      <c r="G48" s="50">
        <f t="shared" si="0"/>
        <v>1216341.68</v>
      </c>
      <c r="H48" s="38">
        <f t="shared" si="1"/>
        <v>12.433052420301186</v>
      </c>
      <c r="I48" s="36">
        <f>+'4. งบดำเนินงาน (GF)'!D49</f>
        <v>429451</v>
      </c>
      <c r="J48" s="36">
        <f>+'4. งบดำเนินงาน (GF)'!E49</f>
        <v>0</v>
      </c>
      <c r="K48" s="36">
        <f>+'4. งบดำเนินงาน (GF)'!F49</f>
        <v>31228.14</v>
      </c>
      <c r="L48" s="37">
        <f t="shared" si="2"/>
        <v>398222.86</v>
      </c>
      <c r="M48" s="38">
        <f t="shared" si="3"/>
        <v>7.2716421663938373</v>
      </c>
      <c r="N48" s="36">
        <f>+'5.งบลงทุน'!F49</f>
        <v>148100</v>
      </c>
      <c r="O48" s="36">
        <f>+'5.งบลงทุน'!G49</f>
        <v>0</v>
      </c>
      <c r="P48" s="36">
        <f>+'5.งบลงทุน'!H49</f>
        <v>0</v>
      </c>
      <c r="Q48" s="37">
        <f t="shared" si="4"/>
        <v>148100</v>
      </c>
      <c r="R48" s="38">
        <f t="shared" si="5"/>
        <v>0</v>
      </c>
      <c r="S48" s="36">
        <f>+'6.งบรายจ่ายอื่น (GF)'!D48</f>
        <v>0</v>
      </c>
      <c r="T48" s="36">
        <f>+'6.งบรายจ่ายอื่น (GF)'!E48</f>
        <v>0</v>
      </c>
      <c r="U48" s="36">
        <f>+'6.งบรายจ่ายอื่น (GF)'!F48</f>
        <v>0</v>
      </c>
      <c r="V48" s="37">
        <f t="shared" si="6"/>
        <v>0</v>
      </c>
      <c r="W48" s="38" t="e">
        <f t="shared" si="7"/>
        <v>#DIV/0!</v>
      </c>
      <c r="X48" s="36">
        <f t="shared" si="8"/>
        <v>1966593</v>
      </c>
      <c r="Y48" s="36">
        <f t="shared" si="9"/>
        <v>0</v>
      </c>
      <c r="Z48" s="36">
        <f t="shared" si="10"/>
        <v>203928.46000000002</v>
      </c>
      <c r="AA48" s="50">
        <f t="shared" si="11"/>
        <v>1762664.54</v>
      </c>
      <c r="AB48" s="38">
        <f t="shared" si="12"/>
        <v>10.369632150628018</v>
      </c>
      <c r="AC48" s="228"/>
    </row>
    <row r="49" spans="1:29" s="30" customFormat="1" ht="35.25" customHeight="1" x14ac:dyDescent="0.5">
      <c r="A49" s="44">
        <v>43</v>
      </c>
      <c r="B49" s="45" t="s">
        <v>113</v>
      </c>
      <c r="C49" s="46" t="s">
        <v>35</v>
      </c>
      <c r="D49" s="36">
        <f>+'3.งบบุคลากร (GF)'!D50</f>
        <v>2539363</v>
      </c>
      <c r="E49" s="36">
        <f>+'3.งบบุคลากร (GF)'!E50</f>
        <v>0</v>
      </c>
      <c r="F49" s="36">
        <f>+'3.งบบุคลากร (GF)'!F50</f>
        <v>407750</v>
      </c>
      <c r="G49" s="50">
        <f t="shared" si="0"/>
        <v>2131613</v>
      </c>
      <c r="H49" s="38">
        <f t="shared" si="1"/>
        <v>16.05717654388128</v>
      </c>
      <c r="I49" s="36">
        <f>+'4. งบดำเนินงาน (GF)'!D50</f>
        <v>2149927</v>
      </c>
      <c r="J49" s="36">
        <f>+'4. งบดำเนินงาน (GF)'!E50</f>
        <v>879925.18</v>
      </c>
      <c r="K49" s="36">
        <f>+'4. งบดำเนินงาน (GF)'!F50</f>
        <v>75897.259999999995</v>
      </c>
      <c r="L49" s="37">
        <f t="shared" si="2"/>
        <v>1194104.5599999998</v>
      </c>
      <c r="M49" s="38">
        <f t="shared" si="3"/>
        <v>3.5302249797318694</v>
      </c>
      <c r="N49" s="36">
        <f>+'5.งบลงทุน'!F50</f>
        <v>2053400</v>
      </c>
      <c r="O49" s="36">
        <f>+'5.งบลงทุน'!G50</f>
        <v>45900</v>
      </c>
      <c r="P49" s="36">
        <f>+'5.งบลงทุน'!H50</f>
        <v>0</v>
      </c>
      <c r="Q49" s="37">
        <f t="shared" si="4"/>
        <v>2007500</v>
      </c>
      <c r="R49" s="38">
        <f t="shared" si="5"/>
        <v>0</v>
      </c>
      <c r="S49" s="36">
        <f>+'6.งบรายจ่ายอื่น (GF)'!D49</f>
        <v>20000</v>
      </c>
      <c r="T49" s="36">
        <f>+'6.งบรายจ่ายอื่น (GF)'!E49</f>
        <v>0</v>
      </c>
      <c r="U49" s="36">
        <f>+'6.งบรายจ่ายอื่น (GF)'!F49</f>
        <v>0</v>
      </c>
      <c r="V49" s="37">
        <f t="shared" si="6"/>
        <v>20000</v>
      </c>
      <c r="W49" s="38">
        <f t="shared" si="7"/>
        <v>0</v>
      </c>
      <c r="X49" s="36">
        <f t="shared" si="8"/>
        <v>6762690</v>
      </c>
      <c r="Y49" s="36">
        <f t="shared" si="9"/>
        <v>925825.18</v>
      </c>
      <c r="Z49" s="36">
        <f t="shared" si="10"/>
        <v>483647.26</v>
      </c>
      <c r="AA49" s="50">
        <f t="shared" si="11"/>
        <v>5353217.5600000005</v>
      </c>
      <c r="AB49" s="38">
        <f t="shared" si="12"/>
        <v>7.1516993977248697</v>
      </c>
      <c r="AC49" s="228"/>
    </row>
    <row r="50" spans="1:29" s="30" customFormat="1" ht="35.25" customHeight="1" x14ac:dyDescent="0.5">
      <c r="A50" s="44">
        <v>44</v>
      </c>
      <c r="B50" s="45" t="s">
        <v>113</v>
      </c>
      <c r="C50" s="46" t="s">
        <v>135</v>
      </c>
      <c r="D50" s="36">
        <f>+'3.งบบุคลากร (GF)'!D51</f>
        <v>1636673</v>
      </c>
      <c r="E50" s="36">
        <f>+'3.งบบุคลากร (GF)'!E51</f>
        <v>0</v>
      </c>
      <c r="F50" s="36">
        <f>+'3.งบบุคลากร (GF)'!F51</f>
        <v>258930</v>
      </c>
      <c r="G50" s="50">
        <f t="shared" si="0"/>
        <v>1377743</v>
      </c>
      <c r="H50" s="38">
        <f t="shared" si="1"/>
        <v>15.820509044873349</v>
      </c>
      <c r="I50" s="36">
        <f>+'4. งบดำเนินงาน (GF)'!D51</f>
        <v>891999</v>
      </c>
      <c r="J50" s="36">
        <f>+'4. งบดำเนินงาน (GF)'!E51</f>
        <v>442500</v>
      </c>
      <c r="K50" s="36">
        <f>+'4. งบดำเนินงาน (GF)'!F51</f>
        <v>19683.96</v>
      </c>
      <c r="L50" s="37">
        <f t="shared" si="2"/>
        <v>429815.03999999998</v>
      </c>
      <c r="M50" s="38">
        <f t="shared" si="3"/>
        <v>2.206724447000501</v>
      </c>
      <c r="N50" s="36">
        <f>+'5.งบลงทุน'!F51</f>
        <v>32300</v>
      </c>
      <c r="O50" s="36">
        <f>+'5.งบลงทุน'!G51</f>
        <v>32300</v>
      </c>
      <c r="P50" s="36">
        <f>+'5.งบลงทุน'!H51</f>
        <v>0</v>
      </c>
      <c r="Q50" s="37">
        <f t="shared" si="4"/>
        <v>0</v>
      </c>
      <c r="R50" s="38">
        <f t="shared" si="5"/>
        <v>0</v>
      </c>
      <c r="S50" s="36">
        <f>+'6.งบรายจ่ายอื่น (GF)'!D50</f>
        <v>0</v>
      </c>
      <c r="T50" s="36">
        <f>+'6.งบรายจ่ายอื่น (GF)'!E50</f>
        <v>0</v>
      </c>
      <c r="U50" s="36">
        <f>+'6.งบรายจ่ายอื่น (GF)'!F50</f>
        <v>0</v>
      </c>
      <c r="V50" s="37">
        <f t="shared" si="6"/>
        <v>0</v>
      </c>
      <c r="W50" s="38" t="e">
        <f t="shared" si="7"/>
        <v>#DIV/0!</v>
      </c>
      <c r="X50" s="36">
        <f t="shared" si="8"/>
        <v>2560972</v>
      </c>
      <c r="Y50" s="36">
        <f t="shared" si="9"/>
        <v>474800</v>
      </c>
      <c r="Z50" s="36">
        <f t="shared" si="10"/>
        <v>278613.96000000002</v>
      </c>
      <c r="AA50" s="50">
        <f t="shared" si="11"/>
        <v>1807558.04</v>
      </c>
      <c r="AB50" s="38">
        <f t="shared" si="12"/>
        <v>10.879227105958208</v>
      </c>
      <c r="AC50" s="228"/>
    </row>
    <row r="51" spans="1:29" s="30" customFormat="1" ht="35.25" customHeight="1" x14ac:dyDescent="0.5">
      <c r="A51" s="44">
        <v>45</v>
      </c>
      <c r="B51" s="45" t="s">
        <v>113</v>
      </c>
      <c r="C51" s="46" t="s">
        <v>36</v>
      </c>
      <c r="D51" s="36">
        <f>+'3.งบบุคลากร (GF)'!D52</f>
        <v>1926400</v>
      </c>
      <c r="E51" s="36">
        <f>+'3.งบบุคลากร (GF)'!E52</f>
        <v>0</v>
      </c>
      <c r="F51" s="36">
        <f>+'3.งบบุคลากร (GF)'!F52</f>
        <v>297154.84000000003</v>
      </c>
      <c r="G51" s="50">
        <f t="shared" si="0"/>
        <v>1629245.16</v>
      </c>
      <c r="H51" s="38">
        <f t="shared" si="1"/>
        <v>15.425396594684388</v>
      </c>
      <c r="I51" s="36">
        <f>+'4. งบดำเนินงาน (GF)'!D52</f>
        <v>1268277</v>
      </c>
      <c r="J51" s="36">
        <f>+'4. งบดำเนินงาน (GF)'!E52</f>
        <v>125400</v>
      </c>
      <c r="K51" s="36">
        <f>+'4. งบดำเนินงาน (GF)'!F52</f>
        <v>20438.97</v>
      </c>
      <c r="L51" s="37">
        <f t="shared" si="2"/>
        <v>1122438.03</v>
      </c>
      <c r="M51" s="38">
        <f t="shared" si="3"/>
        <v>1.611554100563205</v>
      </c>
      <c r="N51" s="36">
        <f>+'5.งบลงทุน'!F52</f>
        <v>99300</v>
      </c>
      <c r="O51" s="36">
        <f>+'5.งบลงทุน'!G52</f>
        <v>31000</v>
      </c>
      <c r="P51" s="36">
        <f>+'5.งบลงทุน'!H52</f>
        <v>19600</v>
      </c>
      <c r="Q51" s="37">
        <f t="shared" si="4"/>
        <v>48700</v>
      </c>
      <c r="R51" s="38">
        <f t="shared" si="5"/>
        <v>19.738167170191339</v>
      </c>
      <c r="S51" s="36">
        <f>+'6.งบรายจ่ายอื่น (GF)'!D51</f>
        <v>10000</v>
      </c>
      <c r="T51" s="36">
        <f>+'6.งบรายจ่ายอื่น (GF)'!E51</f>
        <v>0</v>
      </c>
      <c r="U51" s="36">
        <f>+'6.งบรายจ่ายอื่น (GF)'!F51</f>
        <v>0</v>
      </c>
      <c r="V51" s="37">
        <f t="shared" si="6"/>
        <v>10000</v>
      </c>
      <c r="W51" s="38">
        <f t="shared" si="7"/>
        <v>0</v>
      </c>
      <c r="X51" s="36">
        <f t="shared" si="8"/>
        <v>3303977</v>
      </c>
      <c r="Y51" s="36">
        <f t="shared" si="9"/>
        <v>156400</v>
      </c>
      <c r="Z51" s="36">
        <f t="shared" si="10"/>
        <v>337193.81000000006</v>
      </c>
      <c r="AA51" s="50">
        <f t="shared" si="11"/>
        <v>2810383.19</v>
      </c>
      <c r="AB51" s="38">
        <f t="shared" si="12"/>
        <v>10.205694833832078</v>
      </c>
      <c r="AC51" s="228"/>
    </row>
    <row r="52" spans="1:29" s="30" customFormat="1" ht="35.25" customHeight="1" x14ac:dyDescent="0.5">
      <c r="A52" s="44">
        <v>46</v>
      </c>
      <c r="B52" s="45" t="s">
        <v>113</v>
      </c>
      <c r="C52" s="46" t="s">
        <v>37</v>
      </c>
      <c r="D52" s="36">
        <f>+'3.งบบุคลากร (GF)'!D53</f>
        <v>3701197</v>
      </c>
      <c r="E52" s="36">
        <f>+'3.งบบุคลากร (GF)'!E53</f>
        <v>0</v>
      </c>
      <c r="F52" s="36">
        <f>+'3.งบบุคลากร (GF)'!F53</f>
        <v>579936.12</v>
      </c>
      <c r="G52" s="50">
        <f t="shared" si="0"/>
        <v>3121260.88</v>
      </c>
      <c r="H52" s="38">
        <f t="shared" si="1"/>
        <v>15.668880094736918</v>
      </c>
      <c r="I52" s="36">
        <f>+'4. งบดำเนินงาน (GF)'!D53</f>
        <v>1330513</v>
      </c>
      <c r="J52" s="36">
        <f>+'4. งบดำเนินงาน (GF)'!E53</f>
        <v>37529.5</v>
      </c>
      <c r="K52" s="36">
        <f>+'4. งบดำเนินงาน (GF)'!F53</f>
        <v>66899.44</v>
      </c>
      <c r="L52" s="37">
        <f t="shared" si="2"/>
        <v>1226084.06</v>
      </c>
      <c r="M52" s="38">
        <f t="shared" si="3"/>
        <v>5.0280936751463532</v>
      </c>
      <c r="N52" s="36">
        <f>+'5.งบลงทุน'!F53</f>
        <v>0</v>
      </c>
      <c r="O52" s="36">
        <f>+'5.งบลงทุน'!G53</f>
        <v>0</v>
      </c>
      <c r="P52" s="36">
        <f>+'5.งบลงทุน'!H53</f>
        <v>0</v>
      </c>
      <c r="Q52" s="37">
        <f t="shared" si="4"/>
        <v>0</v>
      </c>
      <c r="R52" s="38" t="e">
        <f t="shared" si="5"/>
        <v>#DIV/0!</v>
      </c>
      <c r="S52" s="36">
        <f>+'6.งบรายจ่ายอื่น (GF)'!D52</f>
        <v>10000</v>
      </c>
      <c r="T52" s="36">
        <f>+'6.งบรายจ่ายอื่น (GF)'!E52</f>
        <v>0</v>
      </c>
      <c r="U52" s="36">
        <f>+'6.งบรายจ่ายอื่น (GF)'!F52</f>
        <v>0</v>
      </c>
      <c r="V52" s="37">
        <f t="shared" si="6"/>
        <v>10000</v>
      </c>
      <c r="W52" s="38">
        <f t="shared" si="7"/>
        <v>0</v>
      </c>
      <c r="X52" s="36">
        <f t="shared" si="8"/>
        <v>5041710</v>
      </c>
      <c r="Y52" s="36">
        <f t="shared" si="9"/>
        <v>37529.5</v>
      </c>
      <c r="Z52" s="36">
        <f t="shared" si="10"/>
        <v>646835.56000000006</v>
      </c>
      <c r="AA52" s="50">
        <f t="shared" si="11"/>
        <v>4357344.9399999995</v>
      </c>
      <c r="AB52" s="38">
        <f t="shared" si="12"/>
        <v>12.829685959723983</v>
      </c>
      <c r="AC52" s="228" t="s">
        <v>382</v>
      </c>
    </row>
    <row r="53" spans="1:29" s="30" customFormat="1" ht="35.25" customHeight="1" x14ac:dyDescent="0.5">
      <c r="A53" s="44">
        <v>47</v>
      </c>
      <c r="B53" s="45" t="s">
        <v>113</v>
      </c>
      <c r="C53" s="46" t="s">
        <v>38</v>
      </c>
      <c r="D53" s="36">
        <f>+'3.งบบุคลากร (GF)'!D54</f>
        <v>845936</v>
      </c>
      <c r="E53" s="36">
        <f>+'3.งบบุคลากร (GF)'!E54</f>
        <v>0</v>
      </c>
      <c r="F53" s="36">
        <f>+'3.งบบุคลากร (GF)'!F54</f>
        <v>135890</v>
      </c>
      <c r="G53" s="50">
        <f t="shared" si="0"/>
        <v>710046</v>
      </c>
      <c r="H53" s="38">
        <f t="shared" si="1"/>
        <v>16.063862987270905</v>
      </c>
      <c r="I53" s="36">
        <f>+'4. งบดำเนินงาน (GF)'!D54</f>
        <v>912310</v>
      </c>
      <c r="J53" s="36">
        <f>+'4. งบดำเนินงาน (GF)'!E54</f>
        <v>0</v>
      </c>
      <c r="K53" s="36">
        <f>+'4. งบดำเนินงาน (GF)'!F54</f>
        <v>19452.62</v>
      </c>
      <c r="L53" s="37">
        <f t="shared" si="2"/>
        <v>892857.38</v>
      </c>
      <c r="M53" s="38">
        <f t="shared" si="3"/>
        <v>2.1322379454352141</v>
      </c>
      <c r="N53" s="36">
        <f>+'5.งบลงทุน'!F54</f>
        <v>8400</v>
      </c>
      <c r="O53" s="36">
        <f>+'5.งบลงทุน'!G54</f>
        <v>0</v>
      </c>
      <c r="P53" s="36">
        <f>+'5.งบลงทุน'!H54</f>
        <v>0</v>
      </c>
      <c r="Q53" s="37">
        <f t="shared" si="4"/>
        <v>8400</v>
      </c>
      <c r="R53" s="38">
        <f t="shared" si="5"/>
        <v>0</v>
      </c>
      <c r="S53" s="36">
        <f>+'6.งบรายจ่ายอื่น (GF)'!D53</f>
        <v>15000</v>
      </c>
      <c r="T53" s="36">
        <f>+'6.งบรายจ่ายอื่น (GF)'!E53</f>
        <v>0</v>
      </c>
      <c r="U53" s="36">
        <f>+'6.งบรายจ่ายอื่น (GF)'!F53</f>
        <v>0</v>
      </c>
      <c r="V53" s="37">
        <f t="shared" si="6"/>
        <v>15000</v>
      </c>
      <c r="W53" s="38">
        <f t="shared" si="7"/>
        <v>0</v>
      </c>
      <c r="X53" s="36">
        <f t="shared" si="8"/>
        <v>1781646</v>
      </c>
      <c r="Y53" s="36">
        <f t="shared" si="9"/>
        <v>0</v>
      </c>
      <c r="Z53" s="36">
        <f t="shared" si="10"/>
        <v>155342.62</v>
      </c>
      <c r="AA53" s="50">
        <f t="shared" si="11"/>
        <v>1626303.38</v>
      </c>
      <c r="AB53" s="38">
        <f t="shared" si="12"/>
        <v>8.7190508103180999</v>
      </c>
      <c r="AC53" s="228"/>
    </row>
    <row r="54" spans="1:29" s="30" customFormat="1" ht="35.25" customHeight="1" x14ac:dyDescent="0.5">
      <c r="A54" s="44">
        <v>48</v>
      </c>
      <c r="B54" s="45" t="s">
        <v>113</v>
      </c>
      <c r="C54" s="46" t="s">
        <v>136</v>
      </c>
      <c r="D54" s="36">
        <f>+'3.งบบุคลากร (GF)'!D55</f>
        <v>2629597</v>
      </c>
      <c r="E54" s="36">
        <f>+'3.งบบุคลากร (GF)'!E55</f>
        <v>0</v>
      </c>
      <c r="F54" s="36">
        <f>+'3.งบบุคลากร (GF)'!F55</f>
        <v>420270</v>
      </c>
      <c r="G54" s="50">
        <f t="shared" si="0"/>
        <v>2209327</v>
      </c>
      <c r="H54" s="38">
        <f t="shared" si="1"/>
        <v>15.982296907092607</v>
      </c>
      <c r="I54" s="36">
        <f>+'4. งบดำเนินงาน (GF)'!D55</f>
        <v>1155716</v>
      </c>
      <c r="J54" s="36">
        <f>+'4. งบดำเนินงาน (GF)'!E55</f>
        <v>0</v>
      </c>
      <c r="K54" s="36">
        <f>+'4. งบดำเนินงาน (GF)'!F55</f>
        <v>59949.34</v>
      </c>
      <c r="L54" s="37">
        <f t="shared" si="2"/>
        <v>1095766.6599999999</v>
      </c>
      <c r="M54" s="38">
        <f t="shared" si="3"/>
        <v>5.1872034306005972</v>
      </c>
      <c r="N54" s="36">
        <f>+'5.งบลงทุน'!F55</f>
        <v>120400</v>
      </c>
      <c r="O54" s="36">
        <f>+'5.งบลงทุน'!G55</f>
        <v>0</v>
      </c>
      <c r="P54" s="36">
        <f>+'5.งบลงทุน'!H55</f>
        <v>0</v>
      </c>
      <c r="Q54" s="37">
        <f t="shared" si="4"/>
        <v>120400</v>
      </c>
      <c r="R54" s="38">
        <f t="shared" si="5"/>
        <v>0</v>
      </c>
      <c r="S54" s="36">
        <f>+'6.งบรายจ่ายอื่น (GF)'!D54</f>
        <v>10000</v>
      </c>
      <c r="T54" s="36">
        <f>+'6.งบรายจ่ายอื่น (GF)'!E54</f>
        <v>0</v>
      </c>
      <c r="U54" s="36">
        <f>+'6.งบรายจ่ายอื่น (GF)'!F54</f>
        <v>0</v>
      </c>
      <c r="V54" s="37">
        <f t="shared" si="6"/>
        <v>10000</v>
      </c>
      <c r="W54" s="38">
        <f t="shared" si="7"/>
        <v>0</v>
      </c>
      <c r="X54" s="36">
        <f t="shared" si="8"/>
        <v>3915713</v>
      </c>
      <c r="Y54" s="36">
        <f t="shared" si="9"/>
        <v>0</v>
      </c>
      <c r="Z54" s="36">
        <f t="shared" si="10"/>
        <v>480219.33999999997</v>
      </c>
      <c r="AA54" s="50">
        <f t="shared" si="11"/>
        <v>3435493.66</v>
      </c>
      <c r="AB54" s="38">
        <f t="shared" si="12"/>
        <v>12.263905449658848</v>
      </c>
      <c r="AC54" s="228"/>
    </row>
    <row r="55" spans="1:29" s="30" customFormat="1" ht="35.25" customHeight="1" x14ac:dyDescent="0.5">
      <c r="A55" s="44">
        <v>49</v>
      </c>
      <c r="B55" s="45" t="s">
        <v>113</v>
      </c>
      <c r="C55" s="46" t="s">
        <v>137</v>
      </c>
      <c r="D55" s="36">
        <f>+'3.งบบุคลากร (GF)'!D56</f>
        <v>1172437</v>
      </c>
      <c r="E55" s="36">
        <f>+'3.งบบุคลากร (GF)'!E56</f>
        <v>0</v>
      </c>
      <c r="F55" s="36">
        <f>+'3.งบบุคลากร (GF)'!F56</f>
        <v>177656.13</v>
      </c>
      <c r="G55" s="50">
        <f t="shared" si="0"/>
        <v>994780.87</v>
      </c>
      <c r="H55" s="38">
        <f t="shared" si="1"/>
        <v>15.152722918161061</v>
      </c>
      <c r="I55" s="36">
        <f>+'4. งบดำเนินงาน (GF)'!D56</f>
        <v>637176</v>
      </c>
      <c r="J55" s="36">
        <f>+'4. งบดำเนินงาน (GF)'!E56</f>
        <v>0</v>
      </c>
      <c r="K55" s="36">
        <f>+'4. งบดำเนินงาน (GF)'!F56</f>
        <v>48739.87</v>
      </c>
      <c r="L55" s="37">
        <f t="shared" si="2"/>
        <v>588436.13</v>
      </c>
      <c r="M55" s="38">
        <f t="shared" si="3"/>
        <v>7.6493574773688904</v>
      </c>
      <c r="N55" s="36">
        <f>+'5.งบลงทุน'!F56</f>
        <v>0</v>
      </c>
      <c r="O55" s="36">
        <f>+'5.งบลงทุน'!G56</f>
        <v>0</v>
      </c>
      <c r="P55" s="36">
        <f>+'5.งบลงทุน'!H56</f>
        <v>0</v>
      </c>
      <c r="Q55" s="37">
        <f t="shared" si="4"/>
        <v>0</v>
      </c>
      <c r="R55" s="38" t="e">
        <f t="shared" si="5"/>
        <v>#DIV/0!</v>
      </c>
      <c r="S55" s="36">
        <f>+'6.งบรายจ่ายอื่น (GF)'!D55</f>
        <v>0</v>
      </c>
      <c r="T55" s="36">
        <f>+'6.งบรายจ่ายอื่น (GF)'!E55</f>
        <v>0</v>
      </c>
      <c r="U55" s="36">
        <f>+'6.งบรายจ่ายอื่น (GF)'!F55</f>
        <v>0</v>
      </c>
      <c r="V55" s="37">
        <f t="shared" si="6"/>
        <v>0</v>
      </c>
      <c r="W55" s="38" t="e">
        <f t="shared" si="7"/>
        <v>#DIV/0!</v>
      </c>
      <c r="X55" s="36">
        <f t="shared" si="8"/>
        <v>1809613</v>
      </c>
      <c r="Y55" s="36">
        <f t="shared" si="9"/>
        <v>0</v>
      </c>
      <c r="Z55" s="36">
        <f t="shared" si="10"/>
        <v>226396</v>
      </c>
      <c r="AA55" s="50">
        <f t="shared" si="11"/>
        <v>1583217</v>
      </c>
      <c r="AB55" s="38">
        <f t="shared" si="12"/>
        <v>12.510741246885384</v>
      </c>
      <c r="AC55" s="228"/>
    </row>
    <row r="56" spans="1:29" s="30" customFormat="1" ht="35.25" customHeight="1" x14ac:dyDescent="0.5">
      <c r="A56" s="44">
        <v>50</v>
      </c>
      <c r="B56" s="45" t="s">
        <v>113</v>
      </c>
      <c r="C56" s="46" t="s">
        <v>138</v>
      </c>
      <c r="D56" s="36">
        <f>+'3.งบบุคลากร (GF)'!D57</f>
        <v>1078135</v>
      </c>
      <c r="E56" s="36">
        <f>+'3.งบบุคลากร (GF)'!E57</f>
        <v>0</v>
      </c>
      <c r="F56" s="36">
        <f>+'3.งบบุคลากร (GF)'!F57</f>
        <v>204830</v>
      </c>
      <c r="G56" s="50">
        <f t="shared" si="0"/>
        <v>873305</v>
      </c>
      <c r="H56" s="38">
        <f t="shared" si="1"/>
        <v>18.998548419261038</v>
      </c>
      <c r="I56" s="36">
        <f>+'4. งบดำเนินงาน (GF)'!D57</f>
        <v>618698</v>
      </c>
      <c r="J56" s="36">
        <f>+'4. งบดำเนินงาน (GF)'!E57</f>
        <v>0</v>
      </c>
      <c r="K56" s="36">
        <f>+'4. งบดำเนินงาน (GF)'!F57</f>
        <v>42519.26</v>
      </c>
      <c r="L56" s="37">
        <f t="shared" si="2"/>
        <v>576178.74</v>
      </c>
      <c r="M56" s="38">
        <f t="shared" si="3"/>
        <v>6.8723771533122786</v>
      </c>
      <c r="N56" s="36">
        <f>+'5.งบลงทุน'!F57</f>
        <v>0</v>
      </c>
      <c r="O56" s="36">
        <f>+'5.งบลงทุน'!G57</f>
        <v>0</v>
      </c>
      <c r="P56" s="36">
        <f>+'5.งบลงทุน'!H57</f>
        <v>0</v>
      </c>
      <c r="Q56" s="37">
        <f t="shared" si="4"/>
        <v>0</v>
      </c>
      <c r="R56" s="38" t="e">
        <f t="shared" si="5"/>
        <v>#DIV/0!</v>
      </c>
      <c r="S56" s="36">
        <f>+'6.งบรายจ่ายอื่น (GF)'!D56</f>
        <v>0</v>
      </c>
      <c r="T56" s="36">
        <f>+'6.งบรายจ่ายอื่น (GF)'!E56</f>
        <v>0</v>
      </c>
      <c r="U56" s="36">
        <f>+'6.งบรายจ่ายอื่น (GF)'!F56</f>
        <v>0</v>
      </c>
      <c r="V56" s="37">
        <f t="shared" si="6"/>
        <v>0</v>
      </c>
      <c r="W56" s="38" t="e">
        <f t="shared" si="7"/>
        <v>#DIV/0!</v>
      </c>
      <c r="X56" s="36">
        <f t="shared" si="8"/>
        <v>1696833</v>
      </c>
      <c r="Y56" s="36">
        <f t="shared" si="9"/>
        <v>0</v>
      </c>
      <c r="Z56" s="36">
        <f t="shared" si="10"/>
        <v>247349.26</v>
      </c>
      <c r="AA56" s="50">
        <f t="shared" si="11"/>
        <v>1449483.74</v>
      </c>
      <c r="AB56" s="38">
        <f t="shared" si="12"/>
        <v>14.577112774209365</v>
      </c>
      <c r="AC56" s="228"/>
    </row>
    <row r="57" spans="1:29" s="30" customFormat="1" ht="35.25" customHeight="1" x14ac:dyDescent="0.5">
      <c r="A57" s="44">
        <v>51</v>
      </c>
      <c r="B57" s="45" t="s">
        <v>113</v>
      </c>
      <c r="C57" s="46" t="s">
        <v>139</v>
      </c>
      <c r="D57" s="36">
        <f>+'3.งบบุคลากร (GF)'!D58</f>
        <v>2838462</v>
      </c>
      <c r="E57" s="36">
        <f>+'3.งบบุคลากร (GF)'!E58</f>
        <v>0</v>
      </c>
      <c r="F57" s="36">
        <f>+'3.งบบุคลากร (GF)'!F58</f>
        <v>447900</v>
      </c>
      <c r="G57" s="50">
        <f t="shared" si="0"/>
        <v>2390562</v>
      </c>
      <c r="H57" s="38">
        <f t="shared" si="1"/>
        <v>15.779672230947604</v>
      </c>
      <c r="I57" s="36">
        <f>+'4. งบดำเนินงาน (GF)'!D58</f>
        <v>1851072</v>
      </c>
      <c r="J57" s="36">
        <f>+'4. งบดำเนินงาน (GF)'!E58</f>
        <v>0</v>
      </c>
      <c r="K57" s="36">
        <f>+'4. งบดำเนินงาน (GF)'!F58</f>
        <v>14533</v>
      </c>
      <c r="L57" s="37">
        <f t="shared" si="2"/>
        <v>1836539</v>
      </c>
      <c r="M57" s="38">
        <f t="shared" si="3"/>
        <v>0.78511262662932613</v>
      </c>
      <c r="N57" s="36">
        <f>+'5.งบลงทุน'!F58</f>
        <v>3296000</v>
      </c>
      <c r="O57" s="36">
        <f>+'5.งบลงทุน'!G58</f>
        <v>34000</v>
      </c>
      <c r="P57" s="36">
        <f>+'5.งบลงทุน'!H58</f>
        <v>50930</v>
      </c>
      <c r="Q57" s="37">
        <f t="shared" si="4"/>
        <v>3211070</v>
      </c>
      <c r="R57" s="38">
        <f t="shared" si="5"/>
        <v>1.5452063106796117</v>
      </c>
      <c r="S57" s="36">
        <f>+'6.งบรายจ่ายอื่น (GF)'!D57</f>
        <v>10000</v>
      </c>
      <c r="T57" s="36">
        <f>+'6.งบรายจ่ายอื่น (GF)'!E57</f>
        <v>0</v>
      </c>
      <c r="U57" s="36">
        <f>+'6.งบรายจ่ายอื่น (GF)'!F57</f>
        <v>0</v>
      </c>
      <c r="V57" s="37">
        <f t="shared" si="6"/>
        <v>10000</v>
      </c>
      <c r="W57" s="38">
        <f t="shared" si="7"/>
        <v>0</v>
      </c>
      <c r="X57" s="36">
        <f t="shared" si="8"/>
        <v>7995534</v>
      </c>
      <c r="Y57" s="36">
        <f t="shared" si="9"/>
        <v>34000</v>
      </c>
      <c r="Z57" s="36">
        <f t="shared" si="10"/>
        <v>513363</v>
      </c>
      <c r="AA57" s="50">
        <f t="shared" si="11"/>
        <v>7448171</v>
      </c>
      <c r="AB57" s="38">
        <f t="shared" si="12"/>
        <v>6.4206218121266199</v>
      </c>
      <c r="AC57" s="228"/>
    </row>
    <row r="58" spans="1:29" s="30" customFormat="1" ht="35.25" customHeight="1" x14ac:dyDescent="0.5">
      <c r="A58" s="44">
        <v>52</v>
      </c>
      <c r="B58" s="45" t="s">
        <v>113</v>
      </c>
      <c r="C58" s="46" t="s">
        <v>140</v>
      </c>
      <c r="D58" s="36">
        <f>+'3.งบบุคลากร (GF)'!D59</f>
        <v>1771240</v>
      </c>
      <c r="E58" s="36">
        <f>+'3.งบบุคลากร (GF)'!E59</f>
        <v>0</v>
      </c>
      <c r="F58" s="36">
        <f>+'3.งบบุคลากร (GF)'!F59</f>
        <v>284540</v>
      </c>
      <c r="G58" s="50">
        <f t="shared" si="0"/>
        <v>1486700</v>
      </c>
      <c r="H58" s="38">
        <f t="shared" si="1"/>
        <v>16.064452022312054</v>
      </c>
      <c r="I58" s="36">
        <f>+'4. งบดำเนินงาน (GF)'!D59</f>
        <v>1267543</v>
      </c>
      <c r="J58" s="36">
        <f>+'4. งบดำเนินงาน (GF)'!E59</f>
        <v>5000</v>
      </c>
      <c r="K58" s="36">
        <f>+'4. งบดำเนินงาน (GF)'!F59</f>
        <v>19869</v>
      </c>
      <c r="L58" s="37">
        <f t="shared" si="2"/>
        <v>1242674</v>
      </c>
      <c r="M58" s="38">
        <f t="shared" si="3"/>
        <v>1.567520786277073</v>
      </c>
      <c r="N58" s="36">
        <f>+'5.งบลงทุน'!F59</f>
        <v>1442800</v>
      </c>
      <c r="O58" s="36">
        <f>+'5.งบลงทุน'!G59</f>
        <v>0</v>
      </c>
      <c r="P58" s="36">
        <f>+'5.งบลงทุน'!H59</f>
        <v>0</v>
      </c>
      <c r="Q58" s="37">
        <f t="shared" si="4"/>
        <v>1442800</v>
      </c>
      <c r="R58" s="38">
        <f t="shared" si="5"/>
        <v>0</v>
      </c>
      <c r="S58" s="36">
        <f>+'6.งบรายจ่ายอื่น (GF)'!D58</f>
        <v>5000</v>
      </c>
      <c r="T58" s="36">
        <f>+'6.งบรายจ่ายอื่น (GF)'!E58</f>
        <v>0</v>
      </c>
      <c r="U58" s="36">
        <f>+'6.งบรายจ่ายอื่น (GF)'!F58</f>
        <v>0</v>
      </c>
      <c r="V58" s="37">
        <f t="shared" si="6"/>
        <v>5000</v>
      </c>
      <c r="W58" s="38">
        <f t="shared" si="7"/>
        <v>0</v>
      </c>
      <c r="X58" s="36">
        <f t="shared" si="8"/>
        <v>4486583</v>
      </c>
      <c r="Y58" s="36">
        <f t="shared" si="9"/>
        <v>5000</v>
      </c>
      <c r="Z58" s="36">
        <f t="shared" si="10"/>
        <v>304409</v>
      </c>
      <c r="AA58" s="50">
        <f t="shared" si="11"/>
        <v>4177174</v>
      </c>
      <c r="AB58" s="38">
        <f t="shared" si="12"/>
        <v>6.7848739229832589</v>
      </c>
      <c r="AC58" s="228"/>
    </row>
    <row r="59" spans="1:29" s="30" customFormat="1" ht="35.25" customHeight="1" x14ac:dyDescent="0.5">
      <c r="A59" s="44">
        <v>53</v>
      </c>
      <c r="B59" s="45" t="s">
        <v>113</v>
      </c>
      <c r="C59" s="46" t="s">
        <v>141</v>
      </c>
      <c r="D59" s="36">
        <f>+'3.งบบุคลากร (GF)'!D60</f>
        <v>3114750</v>
      </c>
      <c r="E59" s="36">
        <f>+'3.งบบุคลากร (GF)'!E60</f>
        <v>0</v>
      </c>
      <c r="F59" s="36">
        <f>+'3.งบบุคลากร (GF)'!F60</f>
        <v>395850</v>
      </c>
      <c r="G59" s="50">
        <f t="shared" si="0"/>
        <v>2718900</v>
      </c>
      <c r="H59" s="38">
        <f t="shared" si="1"/>
        <v>12.708885143269926</v>
      </c>
      <c r="I59" s="36">
        <f>+'4. งบดำเนินงาน (GF)'!D60</f>
        <v>1949625</v>
      </c>
      <c r="J59" s="36">
        <f>+'4. งบดำเนินงาน (GF)'!E60</f>
        <v>644862</v>
      </c>
      <c r="K59" s="36">
        <f>+'4. งบดำเนินงาน (GF)'!F60</f>
        <v>92652.18</v>
      </c>
      <c r="L59" s="37">
        <f t="shared" si="2"/>
        <v>1212110.82</v>
      </c>
      <c r="M59" s="38">
        <f t="shared" si="3"/>
        <v>4.7523077514906715</v>
      </c>
      <c r="N59" s="36">
        <f>+'5.งบลงทุน'!F60</f>
        <v>35500</v>
      </c>
      <c r="O59" s="36">
        <f>+'5.งบลงทุน'!G60</f>
        <v>0</v>
      </c>
      <c r="P59" s="36">
        <f>+'5.งบลงทุน'!H60</f>
        <v>0</v>
      </c>
      <c r="Q59" s="37">
        <f t="shared" si="4"/>
        <v>35500</v>
      </c>
      <c r="R59" s="38">
        <f t="shared" si="5"/>
        <v>0</v>
      </c>
      <c r="S59" s="36">
        <f>+'6.งบรายจ่ายอื่น (GF)'!D59</f>
        <v>20000</v>
      </c>
      <c r="T59" s="36">
        <f>+'6.งบรายจ่ายอื่น (GF)'!E59</f>
        <v>0</v>
      </c>
      <c r="U59" s="36">
        <f>+'6.งบรายจ่ายอื่น (GF)'!F59</f>
        <v>0</v>
      </c>
      <c r="V59" s="37">
        <f t="shared" si="6"/>
        <v>20000</v>
      </c>
      <c r="W59" s="38">
        <f t="shared" si="7"/>
        <v>0</v>
      </c>
      <c r="X59" s="36">
        <f t="shared" si="8"/>
        <v>5119875</v>
      </c>
      <c r="Y59" s="36">
        <f t="shared" si="9"/>
        <v>644862</v>
      </c>
      <c r="Z59" s="36">
        <f t="shared" si="10"/>
        <v>488502.18</v>
      </c>
      <c r="AA59" s="50">
        <f t="shared" si="11"/>
        <v>3986510.82</v>
      </c>
      <c r="AB59" s="38">
        <f t="shared" si="12"/>
        <v>9.5412911448033402</v>
      </c>
      <c r="AC59" s="228"/>
    </row>
    <row r="60" spans="1:29" s="30" customFormat="1" ht="35.25" customHeight="1" x14ac:dyDescent="0.5">
      <c r="A60" s="44">
        <v>54</v>
      </c>
      <c r="B60" s="45" t="s">
        <v>113</v>
      </c>
      <c r="C60" s="46" t="s">
        <v>142</v>
      </c>
      <c r="D60" s="36">
        <f>+'3.งบบุคลากร (GF)'!D61</f>
        <v>2682811</v>
      </c>
      <c r="E60" s="36">
        <f>+'3.งบบุคลากร (GF)'!E61</f>
        <v>0</v>
      </c>
      <c r="F60" s="36">
        <f>+'3.งบบุคลากร (GF)'!F61</f>
        <v>417871.6</v>
      </c>
      <c r="G60" s="50">
        <f t="shared" si="0"/>
        <v>2264939.4</v>
      </c>
      <c r="H60" s="38">
        <f t="shared" si="1"/>
        <v>15.57588663532392</v>
      </c>
      <c r="I60" s="36">
        <f>+'4. งบดำเนินงาน (GF)'!D61</f>
        <v>2192217</v>
      </c>
      <c r="J60" s="36">
        <f>+'4. งบดำเนินงาน (GF)'!E61</f>
        <v>0</v>
      </c>
      <c r="K60" s="36">
        <f>+'4. งบดำเนินงาน (GF)'!F61</f>
        <v>130951.29</v>
      </c>
      <c r="L60" s="37">
        <f t="shared" si="2"/>
        <v>2061265.71</v>
      </c>
      <c r="M60" s="38">
        <f t="shared" si="3"/>
        <v>5.9734638496097787</v>
      </c>
      <c r="N60" s="36">
        <f>+'5.งบลงทุน'!F61</f>
        <v>251300</v>
      </c>
      <c r="O60" s="36">
        <f>+'5.งบลงทุน'!G61</f>
        <v>0</v>
      </c>
      <c r="P60" s="36">
        <f>+'5.งบลงทุน'!H61</f>
        <v>0</v>
      </c>
      <c r="Q60" s="37">
        <f t="shared" si="4"/>
        <v>251300</v>
      </c>
      <c r="R60" s="38">
        <f t="shared" si="5"/>
        <v>0</v>
      </c>
      <c r="S60" s="36">
        <f>+'6.งบรายจ่ายอื่น (GF)'!D60</f>
        <v>121400</v>
      </c>
      <c r="T60" s="36">
        <f>+'6.งบรายจ่ายอื่น (GF)'!E60</f>
        <v>0</v>
      </c>
      <c r="U60" s="36">
        <f>+'6.งบรายจ่ายอื่น (GF)'!F60</f>
        <v>0</v>
      </c>
      <c r="V60" s="37">
        <f t="shared" si="6"/>
        <v>121400</v>
      </c>
      <c r="W60" s="38">
        <f t="shared" si="7"/>
        <v>0</v>
      </c>
      <c r="X60" s="36">
        <f t="shared" si="8"/>
        <v>5247728</v>
      </c>
      <c r="Y60" s="36">
        <f t="shared" si="9"/>
        <v>0</v>
      </c>
      <c r="Z60" s="36">
        <f t="shared" si="10"/>
        <v>548822.89</v>
      </c>
      <c r="AA60" s="50">
        <f t="shared" si="11"/>
        <v>4698905.1100000003</v>
      </c>
      <c r="AB60" s="38">
        <f t="shared" si="12"/>
        <v>10.458295285121485</v>
      </c>
      <c r="AC60" s="228"/>
    </row>
    <row r="61" spans="1:29" s="30" customFormat="1" ht="35.25" customHeight="1" x14ac:dyDescent="0.5">
      <c r="A61" s="44">
        <v>55</v>
      </c>
      <c r="B61" s="45" t="s">
        <v>113</v>
      </c>
      <c r="C61" s="46" t="s">
        <v>39</v>
      </c>
      <c r="D61" s="36">
        <f>+'3.งบบุคลากร (GF)'!D62</f>
        <v>2689356</v>
      </c>
      <c r="E61" s="36">
        <f>+'3.งบบุคลากร (GF)'!E62</f>
        <v>0</v>
      </c>
      <c r="F61" s="36">
        <f>+'3.งบบุคลากร (GF)'!F62</f>
        <v>434722.9</v>
      </c>
      <c r="G61" s="50">
        <f t="shared" si="0"/>
        <v>2254633.1</v>
      </c>
      <c r="H61" s="38">
        <f t="shared" si="1"/>
        <v>16.164572485011281</v>
      </c>
      <c r="I61" s="36">
        <f>+'4. งบดำเนินงาน (GF)'!D62</f>
        <v>1168253</v>
      </c>
      <c r="J61" s="36">
        <f>+'4. งบดำเนินงาน (GF)'!E62</f>
        <v>227999</v>
      </c>
      <c r="K61" s="36">
        <f>+'4. งบดำเนินงาน (GF)'!F62</f>
        <v>94091.85</v>
      </c>
      <c r="L61" s="37">
        <f t="shared" si="2"/>
        <v>846162.15</v>
      </c>
      <c r="M61" s="38">
        <f t="shared" si="3"/>
        <v>8.0540644877436645</v>
      </c>
      <c r="N61" s="36">
        <f>+'5.งบลงทุน'!F62</f>
        <v>187900</v>
      </c>
      <c r="O61" s="36">
        <f>+'5.งบลงทุน'!G62</f>
        <v>0</v>
      </c>
      <c r="P61" s="36">
        <f>+'5.งบลงทุน'!H62</f>
        <v>0</v>
      </c>
      <c r="Q61" s="37">
        <f t="shared" si="4"/>
        <v>187900</v>
      </c>
      <c r="R61" s="38">
        <f t="shared" si="5"/>
        <v>0</v>
      </c>
      <c r="S61" s="36">
        <f>+'6.งบรายจ่ายอื่น (GF)'!D61</f>
        <v>10000</v>
      </c>
      <c r="T61" s="36">
        <f>+'6.งบรายจ่ายอื่น (GF)'!E61</f>
        <v>0</v>
      </c>
      <c r="U61" s="36">
        <f>+'6.งบรายจ่ายอื่น (GF)'!F61</f>
        <v>0</v>
      </c>
      <c r="V61" s="37">
        <f t="shared" si="6"/>
        <v>10000</v>
      </c>
      <c r="W61" s="38">
        <f t="shared" si="7"/>
        <v>0</v>
      </c>
      <c r="X61" s="36">
        <f t="shared" si="8"/>
        <v>4055509</v>
      </c>
      <c r="Y61" s="36">
        <f t="shared" si="9"/>
        <v>227999</v>
      </c>
      <c r="Z61" s="36">
        <f t="shared" si="10"/>
        <v>528814.75</v>
      </c>
      <c r="AA61" s="50">
        <f t="shared" si="11"/>
        <v>3298695.25</v>
      </c>
      <c r="AB61" s="38">
        <f t="shared" si="12"/>
        <v>13.039417493587118</v>
      </c>
      <c r="AC61" s="228"/>
    </row>
    <row r="62" spans="1:29" s="30" customFormat="1" ht="35.25" customHeight="1" x14ac:dyDescent="0.5">
      <c r="A62" s="44">
        <v>56</v>
      </c>
      <c r="B62" s="45" t="s">
        <v>113</v>
      </c>
      <c r="C62" s="46" t="s">
        <v>143</v>
      </c>
      <c r="D62" s="36">
        <f>+'3.งบบุคลากร (GF)'!D63</f>
        <v>1159369</v>
      </c>
      <c r="E62" s="36">
        <f>+'3.งบบุคลากร (GF)'!E63</f>
        <v>0</v>
      </c>
      <c r="F62" s="36">
        <f>+'3.งบบุคลากร (GF)'!F63</f>
        <v>158460</v>
      </c>
      <c r="G62" s="50">
        <f t="shared" si="0"/>
        <v>1000909</v>
      </c>
      <c r="H62" s="38">
        <f t="shared" si="1"/>
        <v>13.667779628401311</v>
      </c>
      <c r="I62" s="36">
        <f>+'4. งบดำเนินงาน (GF)'!D63</f>
        <v>1332442</v>
      </c>
      <c r="J62" s="36">
        <f>+'4. งบดำเนินงาน (GF)'!E63</f>
        <v>0</v>
      </c>
      <c r="K62" s="36">
        <f>+'4. งบดำเนินงาน (GF)'!F63</f>
        <v>60657.04</v>
      </c>
      <c r="L62" s="37">
        <f t="shared" si="2"/>
        <v>1271784.96</v>
      </c>
      <c r="M62" s="38">
        <f t="shared" si="3"/>
        <v>4.5523212267400757</v>
      </c>
      <c r="N62" s="36">
        <f>+'5.งบลงทุน'!F63</f>
        <v>181700</v>
      </c>
      <c r="O62" s="36">
        <f>+'5.งบลงทุน'!G63</f>
        <v>32180</v>
      </c>
      <c r="P62" s="36">
        <f>+'5.งบลงทุน'!H63</f>
        <v>0</v>
      </c>
      <c r="Q62" s="37">
        <f t="shared" si="4"/>
        <v>149520</v>
      </c>
      <c r="R62" s="38">
        <f t="shared" si="5"/>
        <v>0</v>
      </c>
      <c r="S62" s="36">
        <f>+'6.งบรายจ่ายอื่น (GF)'!D62</f>
        <v>15000</v>
      </c>
      <c r="T62" s="36">
        <f>+'6.งบรายจ่ายอื่น (GF)'!E62</f>
        <v>0</v>
      </c>
      <c r="U62" s="36">
        <f>+'6.งบรายจ่ายอื่น (GF)'!F62</f>
        <v>0</v>
      </c>
      <c r="V62" s="37">
        <f t="shared" si="6"/>
        <v>15000</v>
      </c>
      <c r="W62" s="38">
        <f t="shared" si="7"/>
        <v>0</v>
      </c>
      <c r="X62" s="36">
        <f t="shared" si="8"/>
        <v>2688511</v>
      </c>
      <c r="Y62" s="36">
        <f t="shared" si="9"/>
        <v>32180</v>
      </c>
      <c r="Z62" s="36">
        <f t="shared" si="10"/>
        <v>219117.04</v>
      </c>
      <c r="AA62" s="50">
        <f t="shared" si="11"/>
        <v>2437213.96</v>
      </c>
      <c r="AB62" s="38">
        <f t="shared" si="12"/>
        <v>8.1501262222843796</v>
      </c>
      <c r="AC62" s="228"/>
    </row>
    <row r="63" spans="1:29" s="30" customFormat="1" ht="35.25" customHeight="1" x14ac:dyDescent="0.5">
      <c r="A63" s="44">
        <v>57</v>
      </c>
      <c r="B63" s="45" t="s">
        <v>113</v>
      </c>
      <c r="C63" s="46" t="s">
        <v>144</v>
      </c>
      <c r="D63" s="36">
        <f>+'3.งบบุคลากร (GF)'!D64</f>
        <v>4108999</v>
      </c>
      <c r="E63" s="36">
        <f>+'3.งบบุคลากร (GF)'!E64</f>
        <v>0</v>
      </c>
      <c r="F63" s="36">
        <f>+'3.งบบุคลากร (GF)'!F64</f>
        <v>609920</v>
      </c>
      <c r="G63" s="50">
        <f t="shared" si="0"/>
        <v>3499079</v>
      </c>
      <c r="H63" s="38">
        <f t="shared" si="1"/>
        <v>14.843517849481103</v>
      </c>
      <c r="I63" s="36">
        <f>+'4. งบดำเนินงาน (GF)'!D64</f>
        <v>1840589</v>
      </c>
      <c r="J63" s="36">
        <f>+'4. งบดำเนินงาน (GF)'!E64</f>
        <v>0</v>
      </c>
      <c r="K63" s="36">
        <f>+'4. งบดำเนินงาน (GF)'!F64</f>
        <v>73341.03</v>
      </c>
      <c r="L63" s="37">
        <f t="shared" si="2"/>
        <v>1767247.97</v>
      </c>
      <c r="M63" s="38">
        <f t="shared" si="3"/>
        <v>3.9846500223569739</v>
      </c>
      <c r="N63" s="36">
        <f>+'5.งบลงทุน'!F64</f>
        <v>169600</v>
      </c>
      <c r="O63" s="36">
        <f>+'5.งบลงทุน'!G64</f>
        <v>0</v>
      </c>
      <c r="P63" s="36">
        <f>+'5.งบลงทุน'!H64</f>
        <v>0</v>
      </c>
      <c r="Q63" s="37">
        <f t="shared" si="4"/>
        <v>169600</v>
      </c>
      <c r="R63" s="38">
        <f t="shared" si="5"/>
        <v>0</v>
      </c>
      <c r="S63" s="36">
        <f>+'6.งบรายจ่ายอื่น (GF)'!D63</f>
        <v>50400</v>
      </c>
      <c r="T63" s="36">
        <f>+'6.งบรายจ่ายอื่น (GF)'!E63</f>
        <v>0</v>
      </c>
      <c r="U63" s="36">
        <f>+'6.งบรายจ่ายอื่น (GF)'!F63</f>
        <v>0</v>
      </c>
      <c r="V63" s="37">
        <f t="shared" si="6"/>
        <v>50400</v>
      </c>
      <c r="W63" s="38">
        <f t="shared" si="7"/>
        <v>0</v>
      </c>
      <c r="X63" s="36">
        <f t="shared" si="8"/>
        <v>6169588</v>
      </c>
      <c r="Y63" s="36">
        <f t="shared" si="9"/>
        <v>0</v>
      </c>
      <c r="Z63" s="36">
        <f t="shared" si="10"/>
        <v>683261.03</v>
      </c>
      <c r="AA63" s="50">
        <f t="shared" si="11"/>
        <v>5486326.9699999997</v>
      </c>
      <c r="AB63" s="38">
        <f t="shared" si="12"/>
        <v>11.074662197864752</v>
      </c>
      <c r="AC63" s="228"/>
    </row>
    <row r="64" spans="1:29" s="30" customFormat="1" ht="35.25" customHeight="1" x14ac:dyDescent="0.5">
      <c r="A64" s="44">
        <v>58</v>
      </c>
      <c r="B64" s="45" t="s">
        <v>113</v>
      </c>
      <c r="C64" s="46" t="s">
        <v>40</v>
      </c>
      <c r="D64" s="36">
        <f>+'3.งบบุคลากร (GF)'!D65</f>
        <v>1895685</v>
      </c>
      <c r="E64" s="36">
        <f>+'3.งบบุคลากร (GF)'!E65</f>
        <v>0</v>
      </c>
      <c r="F64" s="36">
        <f>+'3.งบบุคลากร (GF)'!F65</f>
        <v>300480</v>
      </c>
      <c r="G64" s="50">
        <f t="shared" si="0"/>
        <v>1595205</v>
      </c>
      <c r="H64" s="38">
        <f t="shared" si="1"/>
        <v>15.850734694846453</v>
      </c>
      <c r="I64" s="36">
        <f>+'4. งบดำเนินงาน (GF)'!D65</f>
        <v>823920</v>
      </c>
      <c r="J64" s="36">
        <f>+'4. งบดำเนินงาน (GF)'!E65</f>
        <v>0</v>
      </c>
      <c r="K64" s="36">
        <f>+'4. งบดำเนินงาน (GF)'!F65</f>
        <v>29875</v>
      </c>
      <c r="L64" s="37">
        <f t="shared" si="2"/>
        <v>794045</v>
      </c>
      <c r="M64" s="38">
        <f t="shared" si="3"/>
        <v>3.6259588309544615</v>
      </c>
      <c r="N64" s="36">
        <f>+'5.งบลงทุน'!F65</f>
        <v>14500</v>
      </c>
      <c r="O64" s="36">
        <f>+'5.งบลงทุน'!G65</f>
        <v>14490</v>
      </c>
      <c r="P64" s="36">
        <f>+'5.งบลงทุน'!H65</f>
        <v>0</v>
      </c>
      <c r="Q64" s="37">
        <f t="shared" si="4"/>
        <v>10</v>
      </c>
      <c r="R64" s="38">
        <f t="shared" si="5"/>
        <v>0</v>
      </c>
      <c r="S64" s="36">
        <f>+'6.งบรายจ่ายอื่น (GF)'!D64</f>
        <v>101000</v>
      </c>
      <c r="T64" s="36">
        <f>+'6.งบรายจ่ายอื่น (GF)'!E64</f>
        <v>0</v>
      </c>
      <c r="U64" s="36">
        <f>+'6.งบรายจ่ายอื่น (GF)'!F64</f>
        <v>0</v>
      </c>
      <c r="V64" s="37">
        <f t="shared" si="6"/>
        <v>101000</v>
      </c>
      <c r="W64" s="38">
        <f t="shared" si="7"/>
        <v>0</v>
      </c>
      <c r="X64" s="36">
        <f t="shared" si="8"/>
        <v>2835105</v>
      </c>
      <c r="Y64" s="36">
        <f t="shared" si="9"/>
        <v>14490</v>
      </c>
      <c r="Z64" s="36">
        <f t="shared" si="10"/>
        <v>330355</v>
      </c>
      <c r="AA64" s="50">
        <f t="shared" si="11"/>
        <v>2490260</v>
      </c>
      <c r="AB64" s="38">
        <f t="shared" si="12"/>
        <v>11.65230211932186</v>
      </c>
      <c r="AC64" s="228"/>
    </row>
    <row r="65" spans="1:29" s="30" customFormat="1" ht="35.25" customHeight="1" x14ac:dyDescent="0.5">
      <c r="A65" s="44">
        <v>59</v>
      </c>
      <c r="B65" s="45" t="s">
        <v>113</v>
      </c>
      <c r="C65" s="46" t="s">
        <v>145</v>
      </c>
      <c r="D65" s="36">
        <f>+'3.งบบุคลากร (GF)'!D66</f>
        <v>4411043</v>
      </c>
      <c r="E65" s="36">
        <f>+'3.งบบุคลากร (GF)'!E66</f>
        <v>0</v>
      </c>
      <c r="F65" s="36">
        <f>+'3.งบบุคลากร (GF)'!F66</f>
        <v>687190</v>
      </c>
      <c r="G65" s="50">
        <f t="shared" si="0"/>
        <v>3723853</v>
      </c>
      <c r="H65" s="38">
        <f t="shared" si="1"/>
        <v>15.578855159652717</v>
      </c>
      <c r="I65" s="36">
        <f>+'4. งบดำเนินงาน (GF)'!D66</f>
        <v>2545808</v>
      </c>
      <c r="J65" s="36">
        <f>+'4. งบดำเนินงาน (GF)'!E66</f>
        <v>0</v>
      </c>
      <c r="K65" s="36">
        <f>+'4. งบดำเนินงาน (GF)'!F66</f>
        <v>24410</v>
      </c>
      <c r="L65" s="37">
        <f t="shared" si="2"/>
        <v>2521398</v>
      </c>
      <c r="M65" s="38">
        <f t="shared" si="3"/>
        <v>0.95883114516098622</v>
      </c>
      <c r="N65" s="36">
        <f>+'5.งบลงทุน'!F66</f>
        <v>245100</v>
      </c>
      <c r="O65" s="36">
        <f>+'5.งบลงทุน'!G66</f>
        <v>0</v>
      </c>
      <c r="P65" s="36">
        <f>+'5.งบลงทุน'!H66</f>
        <v>0</v>
      </c>
      <c r="Q65" s="37">
        <f t="shared" si="4"/>
        <v>245100</v>
      </c>
      <c r="R65" s="38">
        <f t="shared" si="5"/>
        <v>0</v>
      </c>
      <c r="S65" s="36">
        <f>+'6.งบรายจ่ายอื่น (GF)'!D65</f>
        <v>59400</v>
      </c>
      <c r="T65" s="36">
        <f>+'6.งบรายจ่ายอื่น (GF)'!E65</f>
        <v>0</v>
      </c>
      <c r="U65" s="36">
        <f>+'6.งบรายจ่ายอื่น (GF)'!F65</f>
        <v>0</v>
      </c>
      <c r="V65" s="37">
        <f t="shared" si="6"/>
        <v>59400</v>
      </c>
      <c r="W65" s="38">
        <f t="shared" si="7"/>
        <v>0</v>
      </c>
      <c r="X65" s="36">
        <f t="shared" si="8"/>
        <v>7261351</v>
      </c>
      <c r="Y65" s="36">
        <f t="shared" si="9"/>
        <v>0</v>
      </c>
      <c r="Z65" s="36">
        <f t="shared" si="10"/>
        <v>711600</v>
      </c>
      <c r="AA65" s="50">
        <f t="shared" si="11"/>
        <v>6549751</v>
      </c>
      <c r="AB65" s="38">
        <f t="shared" si="12"/>
        <v>9.7998292604227508</v>
      </c>
      <c r="AC65" s="228"/>
    </row>
    <row r="66" spans="1:29" s="30" customFormat="1" ht="35.25" customHeight="1" x14ac:dyDescent="0.5">
      <c r="A66" s="44">
        <v>60</v>
      </c>
      <c r="B66" s="45" t="s">
        <v>113</v>
      </c>
      <c r="C66" s="46" t="s">
        <v>146</v>
      </c>
      <c r="D66" s="36">
        <f>+'3.งบบุคลากร (GF)'!D67</f>
        <v>1534782</v>
      </c>
      <c r="E66" s="36">
        <f>+'3.งบบุคลากร (GF)'!E67</f>
        <v>0</v>
      </c>
      <c r="F66" s="36">
        <f>+'3.งบบุคลากร (GF)'!F67</f>
        <v>202450</v>
      </c>
      <c r="G66" s="50">
        <f t="shared" si="0"/>
        <v>1332332</v>
      </c>
      <c r="H66" s="38">
        <f t="shared" si="1"/>
        <v>13.190798432611276</v>
      </c>
      <c r="I66" s="36">
        <f>+'4. งบดำเนินงาน (GF)'!D67</f>
        <v>751750</v>
      </c>
      <c r="J66" s="36">
        <f>+'4. งบดำเนินงาน (GF)'!E67</f>
        <v>0</v>
      </c>
      <c r="K66" s="36">
        <f>+'4. งบดำเนินงาน (GF)'!F67</f>
        <v>55864.85</v>
      </c>
      <c r="L66" s="37">
        <f t="shared" si="2"/>
        <v>695885.15</v>
      </c>
      <c r="M66" s="38">
        <f t="shared" si="3"/>
        <v>7.4313069504489526</v>
      </c>
      <c r="N66" s="36">
        <f>+'5.งบลงทุน'!F67</f>
        <v>0</v>
      </c>
      <c r="O66" s="36">
        <f>+'5.งบลงทุน'!G67</f>
        <v>0</v>
      </c>
      <c r="P66" s="36">
        <f>+'5.งบลงทุน'!H67</f>
        <v>0</v>
      </c>
      <c r="Q66" s="37">
        <f t="shared" si="4"/>
        <v>0</v>
      </c>
      <c r="R66" s="38" t="e">
        <f t="shared" si="5"/>
        <v>#DIV/0!</v>
      </c>
      <c r="S66" s="36">
        <f>+'6.งบรายจ่ายอื่น (GF)'!D66</f>
        <v>0</v>
      </c>
      <c r="T66" s="36">
        <f>+'6.งบรายจ่ายอื่น (GF)'!E66</f>
        <v>0</v>
      </c>
      <c r="U66" s="36">
        <f>+'6.งบรายจ่ายอื่น (GF)'!F66</f>
        <v>0</v>
      </c>
      <c r="V66" s="37">
        <f t="shared" si="6"/>
        <v>0</v>
      </c>
      <c r="W66" s="38" t="e">
        <f t="shared" si="7"/>
        <v>#DIV/0!</v>
      </c>
      <c r="X66" s="36">
        <f t="shared" si="8"/>
        <v>2286532</v>
      </c>
      <c r="Y66" s="36">
        <f t="shared" si="9"/>
        <v>0</v>
      </c>
      <c r="Z66" s="36">
        <f t="shared" si="10"/>
        <v>258314.85</v>
      </c>
      <c r="AA66" s="50">
        <f t="shared" si="11"/>
        <v>2028217.15</v>
      </c>
      <c r="AB66" s="38">
        <f t="shared" si="12"/>
        <v>11.297233102357632</v>
      </c>
      <c r="AC66" s="228" t="s">
        <v>383</v>
      </c>
    </row>
    <row r="67" spans="1:29" s="30" customFormat="1" ht="35.25" customHeight="1" x14ac:dyDescent="0.5">
      <c r="A67" s="44">
        <v>61</v>
      </c>
      <c r="B67" s="45" t="s">
        <v>113</v>
      </c>
      <c r="C67" s="46" t="s">
        <v>147</v>
      </c>
      <c r="D67" s="36">
        <f>+'3.งบบุคลากร (GF)'!D68</f>
        <v>1874670</v>
      </c>
      <c r="E67" s="36">
        <f>+'3.งบบุคลากร (GF)'!E68</f>
        <v>0</v>
      </c>
      <c r="F67" s="36">
        <f>+'3.งบบุคลากร (GF)'!F68</f>
        <v>251470</v>
      </c>
      <c r="G67" s="50">
        <f t="shared" si="0"/>
        <v>1623200</v>
      </c>
      <c r="H67" s="38">
        <f t="shared" si="1"/>
        <v>13.414094213914982</v>
      </c>
      <c r="I67" s="36">
        <f>+'4. งบดำเนินงาน (GF)'!D68</f>
        <v>510495</v>
      </c>
      <c r="J67" s="36">
        <f>+'4. งบดำเนินงาน (GF)'!E68</f>
        <v>0</v>
      </c>
      <c r="K67" s="36">
        <f>+'4. งบดำเนินงาน (GF)'!F68</f>
        <v>21057.08</v>
      </c>
      <c r="L67" s="37">
        <f t="shared" si="2"/>
        <v>489437.92</v>
      </c>
      <c r="M67" s="38">
        <f t="shared" si="3"/>
        <v>4.1248356986846098</v>
      </c>
      <c r="N67" s="36">
        <f>+'5.งบลงทุน'!F68</f>
        <v>0</v>
      </c>
      <c r="O67" s="36">
        <f>+'5.งบลงทุน'!G68</f>
        <v>0</v>
      </c>
      <c r="P67" s="36">
        <f>+'5.งบลงทุน'!H68</f>
        <v>0</v>
      </c>
      <c r="Q67" s="37">
        <f t="shared" si="4"/>
        <v>0</v>
      </c>
      <c r="R67" s="38" t="e">
        <f t="shared" si="5"/>
        <v>#DIV/0!</v>
      </c>
      <c r="S67" s="36">
        <f>+'6.งบรายจ่ายอื่น (GF)'!D67</f>
        <v>0</v>
      </c>
      <c r="T67" s="36">
        <f>+'6.งบรายจ่ายอื่น (GF)'!E67</f>
        <v>0</v>
      </c>
      <c r="U67" s="36">
        <f>+'6.งบรายจ่ายอื่น (GF)'!F67</f>
        <v>0</v>
      </c>
      <c r="V67" s="37">
        <f t="shared" si="6"/>
        <v>0</v>
      </c>
      <c r="W67" s="38" t="e">
        <f t="shared" si="7"/>
        <v>#DIV/0!</v>
      </c>
      <c r="X67" s="36">
        <f t="shared" si="8"/>
        <v>2385165</v>
      </c>
      <c r="Y67" s="36">
        <f t="shared" si="9"/>
        <v>0</v>
      </c>
      <c r="Z67" s="36">
        <f t="shared" si="10"/>
        <v>272527.08</v>
      </c>
      <c r="AA67" s="50">
        <f t="shared" si="11"/>
        <v>2112637.92</v>
      </c>
      <c r="AB67" s="38">
        <f t="shared" si="12"/>
        <v>11.425921477130514</v>
      </c>
      <c r="AC67" s="228"/>
    </row>
    <row r="68" spans="1:29" s="30" customFormat="1" ht="35.25" customHeight="1" x14ac:dyDescent="0.5">
      <c r="A68" s="44">
        <v>62</v>
      </c>
      <c r="B68" s="45" t="s">
        <v>113</v>
      </c>
      <c r="C68" s="46" t="s">
        <v>148</v>
      </c>
      <c r="D68" s="36">
        <f>+'3.งบบุคลากร (GF)'!D69</f>
        <v>1468002</v>
      </c>
      <c r="E68" s="36">
        <f>+'3.งบบุคลากร (GF)'!E69</f>
        <v>0</v>
      </c>
      <c r="F68" s="36">
        <f>+'3.งบบุคลากร (GF)'!F69</f>
        <v>197190</v>
      </c>
      <c r="G68" s="50">
        <f t="shared" si="0"/>
        <v>1270812</v>
      </c>
      <c r="H68" s="38">
        <f t="shared" si="1"/>
        <v>13.432543007434594</v>
      </c>
      <c r="I68" s="36">
        <f>+'4. งบดำเนินงาน (GF)'!D69</f>
        <v>666080</v>
      </c>
      <c r="J68" s="36">
        <f>+'4. งบดำเนินงาน (GF)'!E69</f>
        <v>0</v>
      </c>
      <c r="K68" s="36">
        <f>+'4. งบดำเนินงาน (GF)'!F69</f>
        <v>59459.26</v>
      </c>
      <c r="L68" s="37">
        <f t="shared" si="2"/>
        <v>606620.74</v>
      </c>
      <c r="M68" s="38">
        <f t="shared" si="3"/>
        <v>8.9267445351909682</v>
      </c>
      <c r="N68" s="36">
        <f>+'5.งบลงทุน'!F69</f>
        <v>73300</v>
      </c>
      <c r="O68" s="36">
        <f>+'5.งบลงทุน'!G69</f>
        <v>0</v>
      </c>
      <c r="P68" s="36">
        <f>+'5.งบลงทุน'!H69</f>
        <v>0</v>
      </c>
      <c r="Q68" s="37">
        <f t="shared" si="4"/>
        <v>73300</v>
      </c>
      <c r="R68" s="38">
        <f t="shared" si="5"/>
        <v>0</v>
      </c>
      <c r="S68" s="36">
        <f>+'6.งบรายจ่ายอื่น (GF)'!D68</f>
        <v>0</v>
      </c>
      <c r="T68" s="36">
        <f>+'6.งบรายจ่ายอื่น (GF)'!E68</f>
        <v>0</v>
      </c>
      <c r="U68" s="36">
        <f>+'6.งบรายจ่ายอื่น (GF)'!F68</f>
        <v>0</v>
      </c>
      <c r="V68" s="37">
        <f t="shared" si="6"/>
        <v>0</v>
      </c>
      <c r="W68" s="38" t="e">
        <f t="shared" si="7"/>
        <v>#DIV/0!</v>
      </c>
      <c r="X68" s="36">
        <f t="shared" si="8"/>
        <v>2207382</v>
      </c>
      <c r="Y68" s="36">
        <f t="shared" si="9"/>
        <v>0</v>
      </c>
      <c r="Z68" s="36">
        <f t="shared" si="10"/>
        <v>256649.26</v>
      </c>
      <c r="AA68" s="50">
        <f t="shared" si="11"/>
        <v>1950732.74</v>
      </c>
      <c r="AB68" s="38">
        <f t="shared" si="12"/>
        <v>11.626862047439003</v>
      </c>
      <c r="AC68" s="228"/>
    </row>
    <row r="69" spans="1:29" s="30" customFormat="1" ht="35.25" customHeight="1" x14ac:dyDescent="0.5">
      <c r="A69" s="44">
        <v>63</v>
      </c>
      <c r="B69" s="45" t="s">
        <v>113</v>
      </c>
      <c r="C69" s="46" t="s">
        <v>149</v>
      </c>
      <c r="D69" s="36">
        <f>+'3.งบบุคลากร (GF)'!D70</f>
        <v>1537242</v>
      </c>
      <c r="E69" s="36">
        <f>+'3.งบบุคลากร (GF)'!E70</f>
        <v>0</v>
      </c>
      <c r="F69" s="36">
        <f>+'3.งบบุคลากร (GF)'!F70</f>
        <v>244850</v>
      </c>
      <c r="G69" s="50">
        <f t="shared" si="0"/>
        <v>1292392</v>
      </c>
      <c r="H69" s="38">
        <f t="shared" si="1"/>
        <v>15.927876027326862</v>
      </c>
      <c r="I69" s="36">
        <f>+'4. งบดำเนินงาน (GF)'!D70</f>
        <v>604205</v>
      </c>
      <c r="J69" s="36">
        <f>+'4. งบดำเนินงาน (GF)'!E70</f>
        <v>0</v>
      </c>
      <c r="K69" s="36">
        <f>+'4. งบดำเนินงาน (GF)'!F70</f>
        <v>21750</v>
      </c>
      <c r="L69" s="37">
        <f t="shared" si="2"/>
        <v>582455</v>
      </c>
      <c r="M69" s="38">
        <f t="shared" si="3"/>
        <v>3.5997716006984386</v>
      </c>
      <c r="N69" s="36">
        <f>+'5.งบลงทุน'!F70</f>
        <v>8000</v>
      </c>
      <c r="O69" s="36">
        <f>+'5.งบลงทุน'!G70</f>
        <v>0</v>
      </c>
      <c r="P69" s="36">
        <f>+'5.งบลงทุน'!H70</f>
        <v>0</v>
      </c>
      <c r="Q69" s="37">
        <f t="shared" si="4"/>
        <v>8000</v>
      </c>
      <c r="R69" s="38">
        <f t="shared" si="5"/>
        <v>0</v>
      </c>
      <c r="S69" s="36">
        <f>+'6.งบรายจ่ายอื่น (GF)'!D69</f>
        <v>0</v>
      </c>
      <c r="T69" s="36">
        <f>+'6.งบรายจ่ายอื่น (GF)'!E69</f>
        <v>0</v>
      </c>
      <c r="U69" s="36">
        <f>+'6.งบรายจ่ายอื่น (GF)'!F69</f>
        <v>0</v>
      </c>
      <c r="V69" s="37">
        <f t="shared" si="6"/>
        <v>0</v>
      </c>
      <c r="W69" s="38" t="e">
        <f t="shared" si="7"/>
        <v>#DIV/0!</v>
      </c>
      <c r="X69" s="36">
        <f t="shared" si="8"/>
        <v>2149447</v>
      </c>
      <c r="Y69" s="36">
        <f t="shared" si="9"/>
        <v>0</v>
      </c>
      <c r="Z69" s="36">
        <f t="shared" si="10"/>
        <v>266600</v>
      </c>
      <c r="AA69" s="50">
        <f t="shared" si="11"/>
        <v>1882847</v>
      </c>
      <c r="AB69" s="38">
        <f t="shared" si="12"/>
        <v>12.403190215902043</v>
      </c>
      <c r="AC69" s="228"/>
    </row>
    <row r="70" spans="1:29" s="30" customFormat="1" ht="35.25" customHeight="1" x14ac:dyDescent="0.5">
      <c r="A70" s="44">
        <v>64</v>
      </c>
      <c r="B70" s="45" t="s">
        <v>113</v>
      </c>
      <c r="C70" s="46" t="s">
        <v>41</v>
      </c>
      <c r="D70" s="36">
        <f>+'3.งบบุคลากร (GF)'!D71</f>
        <v>1362162</v>
      </c>
      <c r="E70" s="36">
        <f>+'3.งบบุคลากร (GF)'!E71</f>
        <v>0</v>
      </c>
      <c r="F70" s="36">
        <f>+'3.งบบุคลากร (GF)'!F71</f>
        <v>180220</v>
      </c>
      <c r="G70" s="50">
        <f t="shared" si="0"/>
        <v>1181942</v>
      </c>
      <c r="H70" s="38">
        <f t="shared" si="1"/>
        <v>13.230438082988661</v>
      </c>
      <c r="I70" s="36">
        <f>+'4. งบดำเนินงาน (GF)'!D71</f>
        <v>626366</v>
      </c>
      <c r="J70" s="36">
        <f>+'4. งบดำเนินงาน (GF)'!E71</f>
        <v>0</v>
      </c>
      <c r="K70" s="36">
        <f>+'4. งบดำเนินงาน (GF)'!F71</f>
        <v>84905.39</v>
      </c>
      <c r="L70" s="37">
        <f t="shared" si="2"/>
        <v>541460.61</v>
      </c>
      <c r="M70" s="38">
        <f t="shared" si="3"/>
        <v>13.555236076032225</v>
      </c>
      <c r="N70" s="36">
        <f>+'5.งบลงทุน'!F71</f>
        <v>25700</v>
      </c>
      <c r="O70" s="36">
        <f>+'5.งบลงทุน'!G71</f>
        <v>0</v>
      </c>
      <c r="P70" s="36">
        <f>+'5.งบลงทุน'!H71</f>
        <v>25700</v>
      </c>
      <c r="Q70" s="37">
        <f t="shared" si="4"/>
        <v>0</v>
      </c>
      <c r="R70" s="38">
        <f t="shared" si="5"/>
        <v>100</v>
      </c>
      <c r="S70" s="36">
        <f>+'6.งบรายจ่ายอื่น (GF)'!D70</f>
        <v>0</v>
      </c>
      <c r="T70" s="36">
        <f>+'6.งบรายจ่ายอื่น (GF)'!E70</f>
        <v>0</v>
      </c>
      <c r="U70" s="36">
        <f>+'6.งบรายจ่ายอื่น (GF)'!F70</f>
        <v>0</v>
      </c>
      <c r="V70" s="37">
        <f t="shared" si="6"/>
        <v>0</v>
      </c>
      <c r="W70" s="38" t="e">
        <f t="shared" si="7"/>
        <v>#DIV/0!</v>
      </c>
      <c r="X70" s="36">
        <f t="shared" si="8"/>
        <v>2014228</v>
      </c>
      <c r="Y70" s="36">
        <f t="shared" si="9"/>
        <v>0</v>
      </c>
      <c r="Z70" s="36">
        <f t="shared" si="10"/>
        <v>290825.39</v>
      </c>
      <c r="AA70" s="50">
        <f t="shared" si="11"/>
        <v>1723402.6099999999</v>
      </c>
      <c r="AB70" s="38">
        <f t="shared" si="12"/>
        <v>14.43855362947988</v>
      </c>
      <c r="AC70" s="228"/>
    </row>
    <row r="71" spans="1:29" s="30" customFormat="1" ht="35.25" customHeight="1" x14ac:dyDescent="0.5">
      <c r="A71" s="44">
        <v>65</v>
      </c>
      <c r="B71" s="45" t="s">
        <v>113</v>
      </c>
      <c r="C71" s="46" t="s">
        <v>42</v>
      </c>
      <c r="D71" s="36">
        <f>+'3.งบบุคลากร (GF)'!D72</f>
        <v>1287942</v>
      </c>
      <c r="E71" s="36">
        <f>+'3.งบบุคลากร (GF)'!E72</f>
        <v>0</v>
      </c>
      <c r="F71" s="36">
        <f>+'3.งบบุคลากร (GF)'!F72</f>
        <v>161696.76999999999</v>
      </c>
      <c r="G71" s="50">
        <f t="shared" si="0"/>
        <v>1126245.23</v>
      </c>
      <c r="H71" s="38">
        <f t="shared" si="1"/>
        <v>12.554662399393759</v>
      </c>
      <c r="I71" s="36">
        <f>+'4. งบดำเนินงาน (GF)'!D72</f>
        <v>737421</v>
      </c>
      <c r="J71" s="36">
        <f>+'4. งบดำเนินงาน (GF)'!E72</f>
        <v>0</v>
      </c>
      <c r="K71" s="36">
        <f>+'4. งบดำเนินงาน (GF)'!F72</f>
        <v>77655.460000000006</v>
      </c>
      <c r="L71" s="37">
        <f t="shared" si="2"/>
        <v>659765.54</v>
      </c>
      <c r="M71" s="38">
        <f t="shared" si="3"/>
        <v>10.530681930674609</v>
      </c>
      <c r="N71" s="36">
        <f>+'5.งบลงทุน'!F72</f>
        <v>15700</v>
      </c>
      <c r="O71" s="36">
        <f>+'5.งบลงทุน'!G72</f>
        <v>0</v>
      </c>
      <c r="P71" s="36">
        <f>+'5.งบลงทุน'!H72</f>
        <v>0</v>
      </c>
      <c r="Q71" s="37">
        <f t="shared" si="4"/>
        <v>15700</v>
      </c>
      <c r="R71" s="38">
        <f t="shared" si="5"/>
        <v>0</v>
      </c>
      <c r="S71" s="36">
        <f>+'6.งบรายจ่ายอื่น (GF)'!D71</f>
        <v>0</v>
      </c>
      <c r="T71" s="36">
        <f>+'6.งบรายจ่ายอื่น (GF)'!E71</f>
        <v>0</v>
      </c>
      <c r="U71" s="36">
        <f>+'6.งบรายจ่ายอื่น (GF)'!F71</f>
        <v>0</v>
      </c>
      <c r="V71" s="37">
        <f t="shared" si="6"/>
        <v>0</v>
      </c>
      <c r="W71" s="38" t="e">
        <f t="shared" si="7"/>
        <v>#DIV/0!</v>
      </c>
      <c r="X71" s="36">
        <f t="shared" si="8"/>
        <v>2041063</v>
      </c>
      <c r="Y71" s="36">
        <f t="shared" si="9"/>
        <v>0</v>
      </c>
      <c r="Z71" s="36">
        <f t="shared" si="10"/>
        <v>239352.22999999998</v>
      </c>
      <c r="AA71" s="50">
        <f t="shared" si="11"/>
        <v>1801710.77</v>
      </c>
      <c r="AB71" s="38">
        <f t="shared" si="12"/>
        <v>11.726841846625998</v>
      </c>
      <c r="AC71" s="228" t="s">
        <v>383</v>
      </c>
    </row>
    <row r="72" spans="1:29" s="30" customFormat="1" ht="35.25" customHeight="1" x14ac:dyDescent="0.5">
      <c r="A72" s="44">
        <v>66</v>
      </c>
      <c r="B72" s="45" t="s">
        <v>113</v>
      </c>
      <c r="C72" s="46" t="s">
        <v>43</v>
      </c>
      <c r="D72" s="36">
        <f>+'3.งบบุคลากร (GF)'!D73</f>
        <v>1914640</v>
      </c>
      <c r="E72" s="36">
        <f>+'3.งบบุคลากร (GF)'!E73</f>
        <v>0</v>
      </c>
      <c r="F72" s="36">
        <f>+'3.งบบุคลากร (GF)'!F73</f>
        <v>252460</v>
      </c>
      <c r="G72" s="50">
        <f t="shared" ref="G72:G102" si="13">+D72-E72-F72</f>
        <v>1662180</v>
      </c>
      <c r="H72" s="38">
        <f t="shared" ref="H72:H102" si="14">F72*100/D72</f>
        <v>13.185768604019554</v>
      </c>
      <c r="I72" s="36">
        <f>+'4. งบดำเนินงาน (GF)'!D73</f>
        <v>402006</v>
      </c>
      <c r="J72" s="36">
        <f>+'4. งบดำเนินงาน (GF)'!E73</f>
        <v>2400</v>
      </c>
      <c r="K72" s="36">
        <f>+'4. งบดำเนินงาน (GF)'!F73</f>
        <v>25266.44</v>
      </c>
      <c r="L72" s="37">
        <f t="shared" ref="L72:L102" si="15">+I72-J72-K72</f>
        <v>374339.56</v>
      </c>
      <c r="M72" s="38">
        <f t="shared" ref="M72:M102" si="16">K72*100/I72</f>
        <v>6.285090272284493</v>
      </c>
      <c r="N72" s="36">
        <f>+'5.งบลงทุน'!F73</f>
        <v>71000</v>
      </c>
      <c r="O72" s="36">
        <f>+'5.งบลงทุน'!G73</f>
        <v>71000</v>
      </c>
      <c r="P72" s="36">
        <f>+'5.งบลงทุน'!H73</f>
        <v>0</v>
      </c>
      <c r="Q72" s="37">
        <f t="shared" ref="Q72:Q102" si="17">+N72-O72-P72</f>
        <v>0</v>
      </c>
      <c r="R72" s="38">
        <f t="shared" ref="R72:R102" si="18">P72*100/N72</f>
        <v>0</v>
      </c>
      <c r="S72" s="36">
        <f>+'6.งบรายจ่ายอื่น (GF)'!D72</f>
        <v>0</v>
      </c>
      <c r="T72" s="36">
        <f>+'6.งบรายจ่ายอื่น (GF)'!E72</f>
        <v>0</v>
      </c>
      <c r="U72" s="36">
        <f>+'6.งบรายจ่ายอื่น (GF)'!F72</f>
        <v>0</v>
      </c>
      <c r="V72" s="37">
        <f t="shared" ref="V72:V102" si="19">+S72-T72-U72</f>
        <v>0</v>
      </c>
      <c r="W72" s="38" t="e">
        <f t="shared" ref="W72:W102" si="20">U72*100/S72</f>
        <v>#DIV/0!</v>
      </c>
      <c r="X72" s="36">
        <f t="shared" ref="X72:X102" si="21">+D72+I72+N72+S72</f>
        <v>2387646</v>
      </c>
      <c r="Y72" s="36">
        <f t="shared" ref="Y72:Y102" si="22">+E72+J72+O72+T72</f>
        <v>73400</v>
      </c>
      <c r="Z72" s="36">
        <f t="shared" ref="Z72:Z102" si="23">+F72+K72+P72+U72</f>
        <v>277726.44</v>
      </c>
      <c r="AA72" s="50">
        <f t="shared" ref="AA72:AA102" si="24">+X72-Y72-Z72</f>
        <v>2036519.56</v>
      </c>
      <c r="AB72" s="38">
        <f t="shared" ref="AB72:AB102" si="25">Z72*100/X72</f>
        <v>11.631809740639945</v>
      </c>
      <c r="AC72" s="228" t="s">
        <v>383</v>
      </c>
    </row>
    <row r="73" spans="1:29" s="30" customFormat="1" ht="35.25" customHeight="1" x14ac:dyDescent="0.5">
      <c r="A73" s="44">
        <v>67</v>
      </c>
      <c r="B73" s="45" t="s">
        <v>113</v>
      </c>
      <c r="C73" s="46" t="s">
        <v>44</v>
      </c>
      <c r="D73" s="36">
        <f>+'3.งบบุคลากร (GF)'!D74</f>
        <v>3780135</v>
      </c>
      <c r="E73" s="36">
        <f>+'3.งบบุคลากร (GF)'!E74</f>
        <v>0</v>
      </c>
      <c r="F73" s="36">
        <f>+'3.งบบุคลากร (GF)'!F74</f>
        <v>489980</v>
      </c>
      <c r="G73" s="50">
        <f t="shared" si="13"/>
        <v>3290155</v>
      </c>
      <c r="H73" s="38">
        <f t="shared" si="14"/>
        <v>12.961970934900473</v>
      </c>
      <c r="I73" s="36">
        <f>+'4. งบดำเนินงาน (GF)'!D74</f>
        <v>1646659</v>
      </c>
      <c r="J73" s="36">
        <f>+'4. งบดำเนินงาน (GF)'!E74</f>
        <v>694365</v>
      </c>
      <c r="K73" s="36">
        <f>+'4. งบดำเนินงาน (GF)'!F74</f>
        <v>87705.26</v>
      </c>
      <c r="L73" s="37">
        <f t="shared" si="15"/>
        <v>864588.74</v>
      </c>
      <c r="M73" s="38">
        <f t="shared" si="16"/>
        <v>5.3262551627264658</v>
      </c>
      <c r="N73" s="36">
        <f>+'5.งบลงทุน'!F74</f>
        <v>632000</v>
      </c>
      <c r="O73" s="36">
        <f>+'5.งบลงทุน'!G74</f>
        <v>0</v>
      </c>
      <c r="P73" s="36">
        <f>+'5.งบลงทุน'!H74</f>
        <v>0</v>
      </c>
      <c r="Q73" s="37">
        <f t="shared" si="17"/>
        <v>632000</v>
      </c>
      <c r="R73" s="38">
        <f t="shared" si="18"/>
        <v>0</v>
      </c>
      <c r="S73" s="36">
        <f>+'6.งบรายจ่ายอื่น (GF)'!D73</f>
        <v>15000</v>
      </c>
      <c r="T73" s="36">
        <f>+'6.งบรายจ่ายอื่น (GF)'!E73</f>
        <v>0</v>
      </c>
      <c r="U73" s="36">
        <f>+'6.งบรายจ่ายอื่น (GF)'!F73</f>
        <v>0</v>
      </c>
      <c r="V73" s="37">
        <f t="shared" si="19"/>
        <v>15000</v>
      </c>
      <c r="W73" s="38">
        <f t="shared" si="20"/>
        <v>0</v>
      </c>
      <c r="X73" s="36">
        <f t="shared" si="21"/>
        <v>6073794</v>
      </c>
      <c r="Y73" s="36">
        <f t="shared" si="22"/>
        <v>694365</v>
      </c>
      <c r="Z73" s="36">
        <f t="shared" si="23"/>
        <v>577685.26</v>
      </c>
      <c r="AA73" s="50">
        <f t="shared" si="24"/>
        <v>4801743.74</v>
      </c>
      <c r="AB73" s="38">
        <f t="shared" si="25"/>
        <v>9.5111105184008551</v>
      </c>
      <c r="AC73" s="228"/>
    </row>
    <row r="74" spans="1:29" s="30" customFormat="1" ht="35.25" customHeight="1" x14ac:dyDescent="0.5">
      <c r="A74" s="44">
        <v>68</v>
      </c>
      <c r="B74" s="45" t="s">
        <v>113</v>
      </c>
      <c r="C74" s="46" t="s">
        <v>45</v>
      </c>
      <c r="D74" s="36">
        <f>+'3.งบบุคลากร (GF)'!D75</f>
        <v>1687846</v>
      </c>
      <c r="E74" s="36">
        <f>+'3.งบบุคลากร (GF)'!E75</f>
        <v>0</v>
      </c>
      <c r="F74" s="36">
        <f>+'3.งบบุคลากร (GF)'!F75</f>
        <v>196030</v>
      </c>
      <c r="G74" s="50">
        <f t="shared" si="13"/>
        <v>1491816</v>
      </c>
      <c r="H74" s="38">
        <f t="shared" si="14"/>
        <v>11.614211249130548</v>
      </c>
      <c r="I74" s="36">
        <f>+'4. งบดำเนินงาน (GF)'!D75</f>
        <v>960065</v>
      </c>
      <c r="J74" s="36">
        <f>+'4. งบดำเนินงาน (GF)'!E75</f>
        <v>201000</v>
      </c>
      <c r="K74" s="36">
        <f>+'4. งบดำเนินงาน (GF)'!F75</f>
        <v>40683.339999999997</v>
      </c>
      <c r="L74" s="37">
        <f t="shared" si="15"/>
        <v>718381.66</v>
      </c>
      <c r="M74" s="38">
        <f t="shared" si="16"/>
        <v>4.237560998474061</v>
      </c>
      <c r="N74" s="36">
        <f>+'5.งบลงทุน'!F75</f>
        <v>20000</v>
      </c>
      <c r="O74" s="36">
        <f>+'5.งบลงทุน'!G75</f>
        <v>0</v>
      </c>
      <c r="P74" s="36">
        <f>+'5.งบลงทุน'!H75</f>
        <v>0</v>
      </c>
      <c r="Q74" s="37">
        <f t="shared" si="17"/>
        <v>20000</v>
      </c>
      <c r="R74" s="38">
        <f t="shared" si="18"/>
        <v>0</v>
      </c>
      <c r="S74" s="36">
        <f>+'6.งบรายจ่ายอื่น (GF)'!D74</f>
        <v>0</v>
      </c>
      <c r="T74" s="36">
        <f>+'6.งบรายจ่ายอื่น (GF)'!E74</f>
        <v>0</v>
      </c>
      <c r="U74" s="36">
        <f>+'6.งบรายจ่ายอื่น (GF)'!F74</f>
        <v>0</v>
      </c>
      <c r="V74" s="37">
        <f t="shared" si="19"/>
        <v>0</v>
      </c>
      <c r="W74" s="38" t="e">
        <f t="shared" si="20"/>
        <v>#DIV/0!</v>
      </c>
      <c r="X74" s="36">
        <f t="shared" si="21"/>
        <v>2667911</v>
      </c>
      <c r="Y74" s="36">
        <f t="shared" si="22"/>
        <v>201000</v>
      </c>
      <c r="Z74" s="36">
        <f t="shared" si="23"/>
        <v>236713.34</v>
      </c>
      <c r="AA74" s="50">
        <f t="shared" si="24"/>
        <v>2230197.66</v>
      </c>
      <c r="AB74" s="38">
        <f t="shared" si="25"/>
        <v>8.8726100683268676</v>
      </c>
      <c r="AC74" s="228" t="s">
        <v>383</v>
      </c>
    </row>
    <row r="75" spans="1:29" s="30" customFormat="1" ht="35.25" customHeight="1" x14ac:dyDescent="0.5">
      <c r="A75" s="44">
        <v>69</v>
      </c>
      <c r="B75" s="45" t="s">
        <v>113</v>
      </c>
      <c r="C75" s="46" t="s">
        <v>63</v>
      </c>
      <c r="D75" s="36">
        <f>+'3.งบบุคลากร (GF)'!D76</f>
        <v>2064765</v>
      </c>
      <c r="E75" s="36">
        <f>+'3.งบบุคลากร (GF)'!E76</f>
        <v>0</v>
      </c>
      <c r="F75" s="36">
        <f>+'3.งบบุคลากร (GF)'!F76</f>
        <v>254217.1</v>
      </c>
      <c r="G75" s="50">
        <f t="shared" si="13"/>
        <v>1810547.9</v>
      </c>
      <c r="H75" s="38">
        <f t="shared" si="14"/>
        <v>12.312156589248655</v>
      </c>
      <c r="I75" s="36">
        <f>+'4. งบดำเนินงาน (GF)'!D76</f>
        <v>931178</v>
      </c>
      <c r="J75" s="36">
        <f>+'4. งบดำเนินงาน (GF)'!E76</f>
        <v>51955</v>
      </c>
      <c r="K75" s="36">
        <f>+'4. งบดำเนินงาน (GF)'!F76</f>
        <v>88165.66</v>
      </c>
      <c r="L75" s="37">
        <f t="shared" si="15"/>
        <v>791057.34</v>
      </c>
      <c r="M75" s="38">
        <f t="shared" si="16"/>
        <v>9.4681854597080264</v>
      </c>
      <c r="N75" s="36">
        <f>+'5.งบลงทุน'!F76</f>
        <v>91700</v>
      </c>
      <c r="O75" s="36">
        <f>+'5.งบลงทุน'!G76</f>
        <v>0</v>
      </c>
      <c r="P75" s="36">
        <f>+'5.งบลงทุน'!H76</f>
        <v>0</v>
      </c>
      <c r="Q75" s="37">
        <f t="shared" si="17"/>
        <v>91700</v>
      </c>
      <c r="R75" s="38">
        <f t="shared" si="18"/>
        <v>0</v>
      </c>
      <c r="S75" s="36">
        <f>+'6.งบรายจ่ายอื่น (GF)'!D75</f>
        <v>0</v>
      </c>
      <c r="T75" s="36">
        <f>+'6.งบรายจ่ายอื่น (GF)'!E75</f>
        <v>0</v>
      </c>
      <c r="U75" s="36">
        <f>+'6.งบรายจ่ายอื่น (GF)'!F75</f>
        <v>0</v>
      </c>
      <c r="V75" s="37">
        <f t="shared" si="19"/>
        <v>0</v>
      </c>
      <c r="W75" s="38" t="e">
        <f t="shared" si="20"/>
        <v>#DIV/0!</v>
      </c>
      <c r="X75" s="36">
        <f t="shared" si="21"/>
        <v>3087643</v>
      </c>
      <c r="Y75" s="36">
        <f t="shared" si="22"/>
        <v>51955</v>
      </c>
      <c r="Z75" s="36">
        <f t="shared" si="23"/>
        <v>342382.76</v>
      </c>
      <c r="AA75" s="50">
        <f t="shared" si="24"/>
        <v>2693305.24</v>
      </c>
      <c r="AB75" s="38">
        <f t="shared" si="25"/>
        <v>11.088806575112473</v>
      </c>
      <c r="AC75" s="228" t="s">
        <v>383</v>
      </c>
    </row>
    <row r="76" spans="1:29" s="30" customFormat="1" ht="35.25" customHeight="1" x14ac:dyDescent="0.5">
      <c r="A76" s="44">
        <v>70</v>
      </c>
      <c r="B76" s="45" t="s">
        <v>113</v>
      </c>
      <c r="C76" s="46" t="s">
        <v>150</v>
      </c>
      <c r="D76" s="36">
        <f>+'3.งบบุคลากร (GF)'!D77</f>
        <v>1605102</v>
      </c>
      <c r="E76" s="36">
        <f>+'3.งบบุคลากร (GF)'!E77</f>
        <v>0</v>
      </c>
      <c r="F76" s="36">
        <f>+'3.งบบุคลากร (GF)'!F77</f>
        <v>213710</v>
      </c>
      <c r="G76" s="50">
        <f t="shared" si="13"/>
        <v>1391392</v>
      </c>
      <c r="H76" s="38">
        <f t="shared" si="14"/>
        <v>13.314418647537664</v>
      </c>
      <c r="I76" s="36">
        <f>+'4. งบดำเนินงาน (GF)'!D77</f>
        <v>1189913</v>
      </c>
      <c r="J76" s="36">
        <f>+'4. งบดำเนินงาน (GF)'!E77</f>
        <v>0</v>
      </c>
      <c r="K76" s="36">
        <f>+'4. งบดำเนินงาน (GF)'!F77</f>
        <v>48663.22</v>
      </c>
      <c r="L76" s="37">
        <f t="shared" si="15"/>
        <v>1141249.78</v>
      </c>
      <c r="M76" s="38">
        <f t="shared" si="16"/>
        <v>4.0896452093556421</v>
      </c>
      <c r="N76" s="36">
        <f>+'5.งบลงทุน'!F77</f>
        <v>116800</v>
      </c>
      <c r="O76" s="36">
        <f>+'5.งบลงทุน'!G77</f>
        <v>0</v>
      </c>
      <c r="P76" s="36">
        <f>+'5.งบลงทุน'!H77</f>
        <v>0</v>
      </c>
      <c r="Q76" s="37">
        <f t="shared" si="17"/>
        <v>116800</v>
      </c>
      <c r="R76" s="38">
        <f t="shared" si="18"/>
        <v>0</v>
      </c>
      <c r="S76" s="36">
        <f>+'6.งบรายจ่ายอื่น (GF)'!D76</f>
        <v>15000</v>
      </c>
      <c r="T76" s="36">
        <f>+'6.งบรายจ่ายอื่น (GF)'!E76</f>
        <v>0</v>
      </c>
      <c r="U76" s="36">
        <f>+'6.งบรายจ่ายอื่น (GF)'!F76</f>
        <v>0</v>
      </c>
      <c r="V76" s="37">
        <f t="shared" si="19"/>
        <v>15000</v>
      </c>
      <c r="W76" s="38">
        <f t="shared" si="20"/>
        <v>0</v>
      </c>
      <c r="X76" s="36">
        <f t="shared" si="21"/>
        <v>2926815</v>
      </c>
      <c r="Y76" s="36">
        <f t="shared" si="22"/>
        <v>0</v>
      </c>
      <c r="Z76" s="36">
        <f t="shared" si="23"/>
        <v>262373.21999999997</v>
      </c>
      <c r="AA76" s="50">
        <f t="shared" si="24"/>
        <v>2664441.7800000003</v>
      </c>
      <c r="AB76" s="38">
        <f t="shared" si="25"/>
        <v>8.9644620517525002</v>
      </c>
      <c r="AC76" s="228" t="s">
        <v>383</v>
      </c>
    </row>
    <row r="77" spans="1:29" s="30" customFormat="1" ht="35.25" customHeight="1" x14ac:dyDescent="0.5">
      <c r="A77" s="44">
        <v>71</v>
      </c>
      <c r="B77" s="45" t="s">
        <v>113</v>
      </c>
      <c r="C77" s="46" t="s">
        <v>46</v>
      </c>
      <c r="D77" s="36">
        <f>+'3.งบบุคลากร (GF)'!D78</f>
        <v>2019694</v>
      </c>
      <c r="E77" s="36">
        <f>+'3.งบบุคลากร (GF)'!E78</f>
        <v>0</v>
      </c>
      <c r="F77" s="36">
        <f>+'3.งบบุคลากร (GF)'!F78</f>
        <v>269250</v>
      </c>
      <c r="G77" s="50">
        <f t="shared" si="13"/>
        <v>1750444</v>
      </c>
      <c r="H77" s="38">
        <f t="shared" si="14"/>
        <v>13.331227403755223</v>
      </c>
      <c r="I77" s="36">
        <f>+'4. งบดำเนินงาน (GF)'!D78</f>
        <v>1444498</v>
      </c>
      <c r="J77" s="36">
        <f>+'4. งบดำเนินงาน (GF)'!E78</f>
        <v>0</v>
      </c>
      <c r="K77" s="36">
        <f>+'4. งบดำเนินงาน (GF)'!F78</f>
        <v>66294.62</v>
      </c>
      <c r="L77" s="37">
        <f t="shared" si="15"/>
        <v>1378203.38</v>
      </c>
      <c r="M77" s="38">
        <f t="shared" si="16"/>
        <v>4.5894573755034624</v>
      </c>
      <c r="N77" s="36">
        <f>+'5.งบลงทุน'!F78</f>
        <v>32200</v>
      </c>
      <c r="O77" s="36">
        <f>+'5.งบลงทุน'!G78</f>
        <v>0</v>
      </c>
      <c r="P77" s="36">
        <f>+'5.งบลงทุน'!H78</f>
        <v>0</v>
      </c>
      <c r="Q77" s="37">
        <f t="shared" si="17"/>
        <v>32200</v>
      </c>
      <c r="R77" s="38">
        <f t="shared" si="18"/>
        <v>0</v>
      </c>
      <c r="S77" s="36">
        <f>+'6.งบรายจ่ายอื่น (GF)'!D77</f>
        <v>10000</v>
      </c>
      <c r="T77" s="36">
        <f>+'6.งบรายจ่ายอื่น (GF)'!E77</f>
        <v>0</v>
      </c>
      <c r="U77" s="36">
        <f>+'6.งบรายจ่ายอื่น (GF)'!F77</f>
        <v>0</v>
      </c>
      <c r="V77" s="37">
        <f t="shared" si="19"/>
        <v>10000</v>
      </c>
      <c r="W77" s="38">
        <f t="shared" si="20"/>
        <v>0</v>
      </c>
      <c r="X77" s="36">
        <f t="shared" si="21"/>
        <v>3506392</v>
      </c>
      <c r="Y77" s="36">
        <f t="shared" si="22"/>
        <v>0</v>
      </c>
      <c r="Z77" s="36">
        <f t="shared" si="23"/>
        <v>335544.62</v>
      </c>
      <c r="AA77" s="50">
        <f t="shared" si="24"/>
        <v>3170847.38</v>
      </c>
      <c r="AB77" s="38">
        <f t="shared" si="25"/>
        <v>9.5695124789242048</v>
      </c>
      <c r="AC77" s="228" t="s">
        <v>384</v>
      </c>
    </row>
    <row r="78" spans="1:29" s="30" customFormat="1" ht="35.25" customHeight="1" x14ac:dyDescent="0.5">
      <c r="A78" s="44">
        <v>72</v>
      </c>
      <c r="B78" s="45" t="s">
        <v>113</v>
      </c>
      <c r="C78" s="46" t="s">
        <v>151</v>
      </c>
      <c r="D78" s="36">
        <f>+'3.งบบุคลากร (GF)'!D79</f>
        <v>1790739</v>
      </c>
      <c r="E78" s="36">
        <f>+'3.งบบุคลากร (GF)'!E79</f>
        <v>0</v>
      </c>
      <c r="F78" s="36">
        <f>+'3.งบบุคลากร (GF)'!F79</f>
        <v>285510</v>
      </c>
      <c r="G78" s="50">
        <f t="shared" si="13"/>
        <v>1505229</v>
      </c>
      <c r="H78" s="38">
        <f t="shared" si="14"/>
        <v>15.94369698766822</v>
      </c>
      <c r="I78" s="36">
        <f>+'4. งบดำเนินงาน (GF)'!D79</f>
        <v>1026646</v>
      </c>
      <c r="J78" s="36">
        <f>+'4. งบดำเนินงาน (GF)'!E79</f>
        <v>149730</v>
      </c>
      <c r="K78" s="36">
        <f>+'4. งบดำเนินงาน (GF)'!F79</f>
        <v>75566.66</v>
      </c>
      <c r="L78" s="37">
        <f t="shared" si="15"/>
        <v>801349.34</v>
      </c>
      <c r="M78" s="38">
        <f t="shared" si="16"/>
        <v>7.3605371276954275</v>
      </c>
      <c r="N78" s="36">
        <f>+'5.งบลงทุน'!F79</f>
        <v>8600</v>
      </c>
      <c r="O78" s="36">
        <f>+'5.งบลงทุน'!G79</f>
        <v>0</v>
      </c>
      <c r="P78" s="36">
        <f>+'5.งบลงทุน'!H79</f>
        <v>0</v>
      </c>
      <c r="Q78" s="37">
        <f t="shared" si="17"/>
        <v>8600</v>
      </c>
      <c r="R78" s="38">
        <f t="shared" si="18"/>
        <v>0</v>
      </c>
      <c r="S78" s="36">
        <f>+'6.งบรายจ่ายอื่น (GF)'!D78</f>
        <v>0</v>
      </c>
      <c r="T78" s="36">
        <f>+'6.งบรายจ่ายอื่น (GF)'!E78</f>
        <v>0</v>
      </c>
      <c r="U78" s="36">
        <f>+'6.งบรายจ่ายอื่น (GF)'!F78</f>
        <v>0</v>
      </c>
      <c r="V78" s="37">
        <f t="shared" si="19"/>
        <v>0</v>
      </c>
      <c r="W78" s="38" t="e">
        <f t="shared" si="20"/>
        <v>#DIV/0!</v>
      </c>
      <c r="X78" s="36">
        <f t="shared" si="21"/>
        <v>2825985</v>
      </c>
      <c r="Y78" s="36">
        <f t="shared" si="22"/>
        <v>149730</v>
      </c>
      <c r="Z78" s="36">
        <f t="shared" si="23"/>
        <v>361076.66000000003</v>
      </c>
      <c r="AA78" s="50">
        <f t="shared" si="24"/>
        <v>2315178.34</v>
      </c>
      <c r="AB78" s="38">
        <f t="shared" si="25"/>
        <v>12.777019694018191</v>
      </c>
      <c r="AC78" s="228" t="s">
        <v>384</v>
      </c>
    </row>
    <row r="79" spans="1:29" s="30" customFormat="1" ht="35.25" customHeight="1" x14ac:dyDescent="0.5">
      <c r="A79" s="44">
        <v>73</v>
      </c>
      <c r="B79" s="45" t="s">
        <v>113</v>
      </c>
      <c r="C79" s="46" t="s">
        <v>152</v>
      </c>
      <c r="D79" s="36">
        <f>+'3.งบบุคลากร (GF)'!D80</f>
        <v>1554882</v>
      </c>
      <c r="E79" s="36">
        <f>+'3.งบบุคลากร (GF)'!E80</f>
        <v>0</v>
      </c>
      <c r="F79" s="36">
        <f>+'3.งบบุคลากร (GF)'!F80</f>
        <v>189120</v>
      </c>
      <c r="G79" s="50">
        <f t="shared" si="13"/>
        <v>1365762</v>
      </c>
      <c r="H79" s="38">
        <f t="shared" si="14"/>
        <v>12.162980856425119</v>
      </c>
      <c r="I79" s="36">
        <f>+'4. งบดำเนินงาน (GF)'!D80</f>
        <v>387236</v>
      </c>
      <c r="J79" s="36">
        <f>+'4. งบดำเนินงาน (GF)'!E80</f>
        <v>0</v>
      </c>
      <c r="K79" s="36">
        <f>+'4. งบดำเนินงาน (GF)'!F80</f>
        <v>57029.14</v>
      </c>
      <c r="L79" s="37">
        <f t="shared" si="15"/>
        <v>330206.86</v>
      </c>
      <c r="M79" s="38">
        <f t="shared" si="16"/>
        <v>14.727230939272175</v>
      </c>
      <c r="N79" s="36">
        <f>+'5.งบลงทุน'!F80</f>
        <v>0</v>
      </c>
      <c r="O79" s="36">
        <f>+'5.งบลงทุน'!G80</f>
        <v>0</v>
      </c>
      <c r="P79" s="36">
        <f>+'5.งบลงทุน'!H80</f>
        <v>0</v>
      </c>
      <c r="Q79" s="37">
        <f t="shared" si="17"/>
        <v>0</v>
      </c>
      <c r="R79" s="38" t="e">
        <f t="shared" si="18"/>
        <v>#DIV/0!</v>
      </c>
      <c r="S79" s="36">
        <f>+'6.งบรายจ่ายอื่น (GF)'!D79</f>
        <v>0</v>
      </c>
      <c r="T79" s="36">
        <f>+'6.งบรายจ่ายอื่น (GF)'!E79</f>
        <v>0</v>
      </c>
      <c r="U79" s="36">
        <f>+'6.งบรายจ่ายอื่น (GF)'!F79</f>
        <v>0</v>
      </c>
      <c r="V79" s="37">
        <f t="shared" si="19"/>
        <v>0</v>
      </c>
      <c r="W79" s="38" t="e">
        <f t="shared" si="20"/>
        <v>#DIV/0!</v>
      </c>
      <c r="X79" s="36">
        <f t="shared" si="21"/>
        <v>1942118</v>
      </c>
      <c r="Y79" s="36">
        <f t="shared" si="22"/>
        <v>0</v>
      </c>
      <c r="Z79" s="36">
        <f t="shared" si="23"/>
        <v>246149.14</v>
      </c>
      <c r="AA79" s="50">
        <f t="shared" si="24"/>
        <v>1695968.8599999999</v>
      </c>
      <c r="AB79" s="38">
        <f t="shared" si="25"/>
        <v>12.674262840877846</v>
      </c>
      <c r="AC79" s="228"/>
    </row>
    <row r="80" spans="1:29" s="30" customFormat="1" ht="35.25" customHeight="1" x14ac:dyDescent="0.5">
      <c r="A80" s="44">
        <v>74</v>
      </c>
      <c r="B80" s="45" t="s">
        <v>113</v>
      </c>
      <c r="C80" s="46" t="s">
        <v>47</v>
      </c>
      <c r="D80" s="36">
        <f>+'3.งบบุคลากร (GF)'!D81</f>
        <v>1708063</v>
      </c>
      <c r="E80" s="36">
        <f>+'3.งบบุคลากร (GF)'!E81</f>
        <v>0</v>
      </c>
      <c r="F80" s="36">
        <f>+'3.งบบุคลากร (GF)'!F81</f>
        <v>255418</v>
      </c>
      <c r="G80" s="50">
        <f t="shared" si="13"/>
        <v>1452645</v>
      </c>
      <c r="H80" s="38">
        <f t="shared" si="14"/>
        <v>14.953663887104867</v>
      </c>
      <c r="I80" s="36">
        <f>+'4. งบดำเนินงาน (GF)'!D81</f>
        <v>408198</v>
      </c>
      <c r="J80" s="36">
        <f>+'4. งบดำเนินงาน (GF)'!E81</f>
        <v>12990</v>
      </c>
      <c r="K80" s="36">
        <f>+'4. งบดำเนินงาน (GF)'!F81</f>
        <v>19764.22</v>
      </c>
      <c r="L80" s="37">
        <f t="shared" si="15"/>
        <v>375443.78</v>
      </c>
      <c r="M80" s="38">
        <f t="shared" si="16"/>
        <v>4.841821860959632</v>
      </c>
      <c r="N80" s="36">
        <f>+'5.งบลงทุน'!F81</f>
        <v>11300</v>
      </c>
      <c r="O80" s="36">
        <f>+'5.งบลงทุน'!G81</f>
        <v>0</v>
      </c>
      <c r="P80" s="36">
        <f>+'5.งบลงทุน'!H81</f>
        <v>0</v>
      </c>
      <c r="Q80" s="37">
        <f t="shared" si="17"/>
        <v>11300</v>
      </c>
      <c r="R80" s="38">
        <f t="shared" si="18"/>
        <v>0</v>
      </c>
      <c r="S80" s="36">
        <f>+'6.งบรายจ่ายอื่น (GF)'!D80</f>
        <v>0</v>
      </c>
      <c r="T80" s="36">
        <f>+'6.งบรายจ่ายอื่น (GF)'!E80</f>
        <v>0</v>
      </c>
      <c r="U80" s="36">
        <f>+'6.งบรายจ่ายอื่น (GF)'!F80</f>
        <v>0</v>
      </c>
      <c r="V80" s="37">
        <f t="shared" si="19"/>
        <v>0</v>
      </c>
      <c r="W80" s="38" t="e">
        <f t="shared" si="20"/>
        <v>#DIV/0!</v>
      </c>
      <c r="X80" s="36">
        <f t="shared" si="21"/>
        <v>2127561</v>
      </c>
      <c r="Y80" s="36">
        <f t="shared" si="22"/>
        <v>12990</v>
      </c>
      <c r="Z80" s="36">
        <f t="shared" si="23"/>
        <v>275182.21999999997</v>
      </c>
      <c r="AA80" s="50">
        <f t="shared" si="24"/>
        <v>1839388.78</v>
      </c>
      <c r="AB80" s="38">
        <f t="shared" si="25"/>
        <v>12.93416357979865</v>
      </c>
      <c r="AC80" s="228"/>
    </row>
    <row r="81" spans="1:29" s="30" customFormat="1" ht="35.25" customHeight="1" x14ac:dyDescent="0.5">
      <c r="A81" s="44">
        <v>75</v>
      </c>
      <c r="B81" s="45" t="s">
        <v>113</v>
      </c>
      <c r="C81" s="46" t="s">
        <v>153</v>
      </c>
      <c r="D81" s="36">
        <f>+'3.งบบุคลากร (GF)'!D82</f>
        <v>1399297</v>
      </c>
      <c r="E81" s="36">
        <f>+'3.งบบุคลากร (GF)'!E82</f>
        <v>0</v>
      </c>
      <c r="F81" s="36">
        <f>+'3.งบบุคลากร (GF)'!F82</f>
        <v>224590</v>
      </c>
      <c r="G81" s="50">
        <f t="shared" si="13"/>
        <v>1174707</v>
      </c>
      <c r="H81" s="38">
        <f t="shared" si="14"/>
        <v>16.050202351609414</v>
      </c>
      <c r="I81" s="36">
        <f>+'4. งบดำเนินงาน (GF)'!D82</f>
        <v>430830</v>
      </c>
      <c r="J81" s="36">
        <f>+'4. งบดำเนินงาน (GF)'!E82</f>
        <v>0</v>
      </c>
      <c r="K81" s="36">
        <f>+'4. งบดำเนินงาน (GF)'!F82</f>
        <v>32382.400000000001</v>
      </c>
      <c r="L81" s="37">
        <f t="shared" si="15"/>
        <v>398447.6</v>
      </c>
      <c r="M81" s="38">
        <f t="shared" si="16"/>
        <v>7.516282524429589</v>
      </c>
      <c r="N81" s="36">
        <f>+'5.งบลงทุน'!F82</f>
        <v>23000</v>
      </c>
      <c r="O81" s="36">
        <f>+'5.งบลงทุน'!G82</f>
        <v>0</v>
      </c>
      <c r="P81" s="36">
        <f>+'5.งบลงทุน'!H82</f>
        <v>0</v>
      </c>
      <c r="Q81" s="37">
        <f t="shared" si="17"/>
        <v>23000</v>
      </c>
      <c r="R81" s="38">
        <f t="shared" si="18"/>
        <v>0</v>
      </c>
      <c r="S81" s="36">
        <f>+'6.งบรายจ่ายอื่น (GF)'!D81</f>
        <v>0</v>
      </c>
      <c r="T81" s="36">
        <f>+'6.งบรายจ่ายอื่น (GF)'!E81</f>
        <v>0</v>
      </c>
      <c r="U81" s="36">
        <f>+'6.งบรายจ่ายอื่น (GF)'!F81</f>
        <v>0</v>
      </c>
      <c r="V81" s="37">
        <f t="shared" si="19"/>
        <v>0</v>
      </c>
      <c r="W81" s="38" t="e">
        <f t="shared" si="20"/>
        <v>#DIV/0!</v>
      </c>
      <c r="X81" s="36">
        <f t="shared" si="21"/>
        <v>1853127</v>
      </c>
      <c r="Y81" s="36">
        <f t="shared" si="22"/>
        <v>0</v>
      </c>
      <c r="Z81" s="36">
        <f t="shared" si="23"/>
        <v>256972.4</v>
      </c>
      <c r="AA81" s="50">
        <f t="shared" si="24"/>
        <v>1596154.6</v>
      </c>
      <c r="AB81" s="38">
        <f t="shared" si="25"/>
        <v>13.866961087934071</v>
      </c>
      <c r="AC81" s="228"/>
    </row>
    <row r="82" spans="1:29" s="30" customFormat="1" ht="35.25" customHeight="1" x14ac:dyDescent="0.5">
      <c r="A82" s="44">
        <v>76</v>
      </c>
      <c r="B82" s="45" t="s">
        <v>113</v>
      </c>
      <c r="C82" s="46" t="s">
        <v>48</v>
      </c>
      <c r="D82" s="36">
        <f>+'3.งบบุคลากร (GF)'!D83</f>
        <v>1106444</v>
      </c>
      <c r="E82" s="36">
        <f>+'3.งบบุคลากร (GF)'!E83</f>
        <v>0</v>
      </c>
      <c r="F82" s="36">
        <f>+'3.งบบุคลากร (GF)'!F83</f>
        <v>177610</v>
      </c>
      <c r="G82" s="50">
        <f t="shared" si="13"/>
        <v>928834</v>
      </c>
      <c r="H82" s="38">
        <f t="shared" si="14"/>
        <v>16.052326190932391</v>
      </c>
      <c r="I82" s="36">
        <f>+'4. งบดำเนินงาน (GF)'!D83</f>
        <v>424618</v>
      </c>
      <c r="J82" s="36">
        <f>+'4. งบดำเนินงาน (GF)'!E83</f>
        <v>0</v>
      </c>
      <c r="K82" s="36">
        <f>+'4. งบดำเนินงาน (GF)'!F83</f>
        <v>17234.32</v>
      </c>
      <c r="L82" s="37">
        <f t="shared" si="15"/>
        <v>407383.68</v>
      </c>
      <c r="M82" s="38">
        <f t="shared" si="16"/>
        <v>4.0587822466310897</v>
      </c>
      <c r="N82" s="36">
        <f>+'5.งบลงทุน'!F83</f>
        <v>0</v>
      </c>
      <c r="O82" s="36">
        <f>+'5.งบลงทุน'!G83</f>
        <v>0</v>
      </c>
      <c r="P82" s="36">
        <f>+'5.งบลงทุน'!H83</f>
        <v>0</v>
      </c>
      <c r="Q82" s="37">
        <f t="shared" si="17"/>
        <v>0</v>
      </c>
      <c r="R82" s="38" t="e">
        <f t="shared" si="18"/>
        <v>#DIV/0!</v>
      </c>
      <c r="S82" s="36">
        <f>+'6.งบรายจ่ายอื่น (GF)'!D82</f>
        <v>0</v>
      </c>
      <c r="T82" s="36">
        <f>+'6.งบรายจ่ายอื่น (GF)'!E82</f>
        <v>0</v>
      </c>
      <c r="U82" s="36">
        <f>+'6.งบรายจ่ายอื่น (GF)'!F82</f>
        <v>0</v>
      </c>
      <c r="V82" s="37">
        <f t="shared" si="19"/>
        <v>0</v>
      </c>
      <c r="W82" s="38" t="e">
        <f t="shared" si="20"/>
        <v>#DIV/0!</v>
      </c>
      <c r="X82" s="36">
        <f t="shared" si="21"/>
        <v>1531062</v>
      </c>
      <c r="Y82" s="36">
        <f t="shared" si="22"/>
        <v>0</v>
      </c>
      <c r="Z82" s="36">
        <f t="shared" si="23"/>
        <v>194844.32</v>
      </c>
      <c r="AA82" s="50">
        <f t="shared" si="24"/>
        <v>1336217.68</v>
      </c>
      <c r="AB82" s="38">
        <f t="shared" si="25"/>
        <v>12.726089472536056</v>
      </c>
      <c r="AC82" s="228"/>
    </row>
    <row r="83" spans="1:29" s="30" customFormat="1" ht="35.25" customHeight="1" x14ac:dyDescent="0.5">
      <c r="A83" s="44">
        <v>77</v>
      </c>
      <c r="B83" s="45" t="s">
        <v>113</v>
      </c>
      <c r="C83" s="46" t="s">
        <v>154</v>
      </c>
      <c r="D83" s="36">
        <f>+'3.งบบุคลากร (GF)'!D84</f>
        <v>1803526</v>
      </c>
      <c r="E83" s="36">
        <f>+'3.งบบุคลากร (GF)'!E84</f>
        <v>0</v>
      </c>
      <c r="F83" s="36">
        <f>+'3.งบบุคลากร (GF)'!F84</f>
        <v>210140.97</v>
      </c>
      <c r="G83" s="50">
        <f t="shared" si="13"/>
        <v>1593385.03</v>
      </c>
      <c r="H83" s="38">
        <f t="shared" si="14"/>
        <v>11.651673998600518</v>
      </c>
      <c r="I83" s="36">
        <f>+'4. งบดำเนินงาน (GF)'!D84</f>
        <v>647471</v>
      </c>
      <c r="J83" s="36">
        <f>+'4. งบดำเนินงาน (GF)'!E84</f>
        <v>0</v>
      </c>
      <c r="K83" s="36">
        <f>+'4. งบดำเนินงาน (GF)'!F84</f>
        <v>16164.83</v>
      </c>
      <c r="L83" s="37">
        <f t="shared" si="15"/>
        <v>631306.17000000004</v>
      </c>
      <c r="M83" s="38">
        <f t="shared" si="16"/>
        <v>2.4966106590102104</v>
      </c>
      <c r="N83" s="36">
        <f>+'5.งบลงทุน'!F84</f>
        <v>44000</v>
      </c>
      <c r="O83" s="36">
        <f>+'5.งบลงทุน'!G84</f>
        <v>0</v>
      </c>
      <c r="P83" s="36">
        <f>+'5.งบลงทุน'!H84</f>
        <v>0</v>
      </c>
      <c r="Q83" s="37">
        <f t="shared" si="17"/>
        <v>44000</v>
      </c>
      <c r="R83" s="38">
        <f t="shared" si="18"/>
        <v>0</v>
      </c>
      <c r="S83" s="36">
        <f>+'6.งบรายจ่ายอื่น (GF)'!D83</f>
        <v>0</v>
      </c>
      <c r="T83" s="36">
        <f>+'6.งบรายจ่ายอื่น (GF)'!E83</f>
        <v>0</v>
      </c>
      <c r="U83" s="36">
        <f>+'6.งบรายจ่ายอื่น (GF)'!F83</f>
        <v>0</v>
      </c>
      <c r="V83" s="37">
        <f t="shared" si="19"/>
        <v>0</v>
      </c>
      <c r="W83" s="38" t="e">
        <f t="shared" si="20"/>
        <v>#DIV/0!</v>
      </c>
      <c r="X83" s="36">
        <f t="shared" si="21"/>
        <v>2494997</v>
      </c>
      <c r="Y83" s="36">
        <f t="shared" si="22"/>
        <v>0</v>
      </c>
      <c r="Z83" s="36">
        <f t="shared" si="23"/>
        <v>226305.8</v>
      </c>
      <c r="AA83" s="50">
        <f t="shared" si="24"/>
        <v>2268691.2000000002</v>
      </c>
      <c r="AB83" s="38">
        <f t="shared" si="25"/>
        <v>9.07038365176391</v>
      </c>
      <c r="AC83" s="228"/>
    </row>
    <row r="84" spans="1:29" s="30" customFormat="1" ht="35.25" customHeight="1" x14ac:dyDescent="0.5">
      <c r="A84" s="44">
        <v>78</v>
      </c>
      <c r="B84" s="45" t="s">
        <v>113</v>
      </c>
      <c r="C84" s="46" t="s">
        <v>49</v>
      </c>
      <c r="D84" s="36">
        <f>+'3.งบบุคลากร (GF)'!D85</f>
        <v>1457802</v>
      </c>
      <c r="E84" s="36">
        <f>+'3.งบบุคลากร (GF)'!E85</f>
        <v>0</v>
      </c>
      <c r="F84" s="36">
        <f>+'3.งบบุคลากร (GF)'!F85</f>
        <v>232110</v>
      </c>
      <c r="G84" s="50">
        <f t="shared" si="13"/>
        <v>1225692</v>
      </c>
      <c r="H84" s="38">
        <f t="shared" si="14"/>
        <v>15.921915321833829</v>
      </c>
      <c r="I84" s="36">
        <f>+'4. งบดำเนินงาน (GF)'!D85</f>
        <v>924838</v>
      </c>
      <c r="J84" s="36">
        <f>+'4. งบดำเนินงาน (GF)'!E85</f>
        <v>0</v>
      </c>
      <c r="K84" s="36">
        <f>+'4. งบดำเนินงาน (GF)'!F85</f>
        <v>6357.57</v>
      </c>
      <c r="L84" s="37">
        <f t="shared" si="15"/>
        <v>918480.43</v>
      </c>
      <c r="M84" s="38">
        <f t="shared" si="16"/>
        <v>0.68742525718017644</v>
      </c>
      <c r="N84" s="36">
        <f>+'5.งบลงทุน'!F85</f>
        <v>0</v>
      </c>
      <c r="O84" s="36">
        <f>+'5.งบลงทุน'!G85</f>
        <v>0</v>
      </c>
      <c r="P84" s="36">
        <f>+'5.งบลงทุน'!H85</f>
        <v>0</v>
      </c>
      <c r="Q84" s="37">
        <f t="shared" si="17"/>
        <v>0</v>
      </c>
      <c r="R84" s="38" t="e">
        <f t="shared" si="18"/>
        <v>#DIV/0!</v>
      </c>
      <c r="S84" s="36">
        <f>+'6.งบรายจ่ายอื่น (GF)'!D84</f>
        <v>0</v>
      </c>
      <c r="T84" s="36">
        <f>+'6.งบรายจ่ายอื่น (GF)'!E84</f>
        <v>0</v>
      </c>
      <c r="U84" s="36">
        <f>+'6.งบรายจ่ายอื่น (GF)'!F84</f>
        <v>0</v>
      </c>
      <c r="V84" s="37">
        <f t="shared" si="19"/>
        <v>0</v>
      </c>
      <c r="W84" s="38" t="e">
        <f t="shared" si="20"/>
        <v>#DIV/0!</v>
      </c>
      <c r="X84" s="36">
        <f t="shared" si="21"/>
        <v>2382640</v>
      </c>
      <c r="Y84" s="36">
        <f t="shared" si="22"/>
        <v>0</v>
      </c>
      <c r="Z84" s="36">
        <f t="shared" si="23"/>
        <v>238467.57</v>
      </c>
      <c r="AA84" s="50">
        <f t="shared" si="24"/>
        <v>2144172.4300000002</v>
      </c>
      <c r="AB84" s="38">
        <f t="shared" si="25"/>
        <v>10.008543884094953</v>
      </c>
      <c r="AC84" s="228"/>
    </row>
    <row r="85" spans="1:29" s="30" customFormat="1" ht="35.25" customHeight="1" x14ac:dyDescent="0.5">
      <c r="A85" s="44">
        <v>79</v>
      </c>
      <c r="B85" s="45" t="s">
        <v>113</v>
      </c>
      <c r="C85" s="46" t="s">
        <v>50</v>
      </c>
      <c r="D85" s="36">
        <f>+'3.งบบุคลากร (GF)'!D86</f>
        <v>1166744</v>
      </c>
      <c r="E85" s="36">
        <f>+'3.งบบุคลากร (GF)'!E86</f>
        <v>0</v>
      </c>
      <c r="F85" s="36">
        <f>+'3.งบบุคลากร (GF)'!F86</f>
        <v>185270</v>
      </c>
      <c r="G85" s="50">
        <f t="shared" si="13"/>
        <v>981474</v>
      </c>
      <c r="H85" s="38">
        <f t="shared" si="14"/>
        <v>15.879233147974192</v>
      </c>
      <c r="I85" s="36">
        <f>+'4. งบดำเนินงาน (GF)'!D86</f>
        <v>988326</v>
      </c>
      <c r="J85" s="36">
        <f>+'4. งบดำเนินงาน (GF)'!E86</f>
        <v>0</v>
      </c>
      <c r="K85" s="36">
        <f>+'4. งบดำเนินงาน (GF)'!F86</f>
        <v>42408.89</v>
      </c>
      <c r="L85" s="37">
        <f t="shared" si="15"/>
        <v>945917.11</v>
      </c>
      <c r="M85" s="38">
        <f t="shared" si="16"/>
        <v>4.2909819229687374</v>
      </c>
      <c r="N85" s="36">
        <f>+'5.งบลงทุน'!F86</f>
        <v>1300</v>
      </c>
      <c r="O85" s="36">
        <f>+'5.งบลงทุน'!G86</f>
        <v>0</v>
      </c>
      <c r="P85" s="36">
        <f>+'5.งบลงทุน'!H86</f>
        <v>1090</v>
      </c>
      <c r="Q85" s="37">
        <f t="shared" si="17"/>
        <v>210</v>
      </c>
      <c r="R85" s="38">
        <f t="shared" si="18"/>
        <v>83.84615384615384</v>
      </c>
      <c r="S85" s="36">
        <f>+'6.งบรายจ่ายอื่น (GF)'!D85</f>
        <v>0</v>
      </c>
      <c r="T85" s="36">
        <f>+'6.งบรายจ่ายอื่น (GF)'!E85</f>
        <v>0</v>
      </c>
      <c r="U85" s="36">
        <f>+'6.งบรายจ่ายอื่น (GF)'!F85</f>
        <v>0</v>
      </c>
      <c r="V85" s="37">
        <f t="shared" si="19"/>
        <v>0</v>
      </c>
      <c r="W85" s="38" t="e">
        <f t="shared" si="20"/>
        <v>#DIV/0!</v>
      </c>
      <c r="X85" s="36">
        <f t="shared" si="21"/>
        <v>2156370</v>
      </c>
      <c r="Y85" s="36">
        <f t="shared" si="22"/>
        <v>0</v>
      </c>
      <c r="Z85" s="36">
        <f t="shared" si="23"/>
        <v>228768.89</v>
      </c>
      <c r="AA85" s="50">
        <f t="shared" si="24"/>
        <v>1927601.1099999999</v>
      </c>
      <c r="AB85" s="38">
        <f t="shared" si="25"/>
        <v>10.608981297272731</v>
      </c>
      <c r="AC85" s="228"/>
    </row>
    <row r="86" spans="1:29" s="30" customFormat="1" ht="35.25" customHeight="1" x14ac:dyDescent="0.5">
      <c r="A86" s="44">
        <v>80</v>
      </c>
      <c r="B86" s="45" t="s">
        <v>113</v>
      </c>
      <c r="C86" s="46" t="s">
        <v>155</v>
      </c>
      <c r="D86" s="36">
        <f>+'3.งบบุคลากร (GF)'!D87</f>
        <v>1149344</v>
      </c>
      <c r="E86" s="36">
        <f>+'3.งบบุคลากร (GF)'!E87</f>
        <v>0</v>
      </c>
      <c r="F86" s="36">
        <f>+'3.งบบุคลากร (GF)'!F87</f>
        <v>182470</v>
      </c>
      <c r="G86" s="50">
        <f t="shared" si="13"/>
        <v>966874</v>
      </c>
      <c r="H86" s="38">
        <f t="shared" si="14"/>
        <v>15.876012751621795</v>
      </c>
      <c r="I86" s="36">
        <f>+'4. งบดำเนินงาน (GF)'!D87</f>
        <v>408445</v>
      </c>
      <c r="J86" s="36">
        <f>+'4. งบดำเนินงาน (GF)'!E87</f>
        <v>0</v>
      </c>
      <c r="K86" s="36">
        <f>+'4. งบดำเนินงาน (GF)'!F87</f>
        <v>26735.38</v>
      </c>
      <c r="L86" s="37">
        <f t="shared" si="15"/>
        <v>381709.62</v>
      </c>
      <c r="M86" s="38">
        <f t="shared" si="16"/>
        <v>6.5456499651115818</v>
      </c>
      <c r="N86" s="36">
        <f>+'5.งบลงทุน'!F87</f>
        <v>71000</v>
      </c>
      <c r="O86" s="36">
        <f>+'5.งบลงทุน'!G87</f>
        <v>0</v>
      </c>
      <c r="P86" s="36">
        <f>+'5.งบลงทุน'!H87</f>
        <v>0</v>
      </c>
      <c r="Q86" s="37">
        <f t="shared" si="17"/>
        <v>71000</v>
      </c>
      <c r="R86" s="38">
        <f t="shared" si="18"/>
        <v>0</v>
      </c>
      <c r="S86" s="36">
        <f>+'6.งบรายจ่ายอื่น (GF)'!D86</f>
        <v>0</v>
      </c>
      <c r="T86" s="36">
        <f>+'6.งบรายจ่ายอื่น (GF)'!E86</f>
        <v>0</v>
      </c>
      <c r="U86" s="36">
        <f>+'6.งบรายจ่ายอื่น (GF)'!F86</f>
        <v>0</v>
      </c>
      <c r="V86" s="37">
        <f t="shared" si="19"/>
        <v>0</v>
      </c>
      <c r="W86" s="38" t="e">
        <f t="shared" si="20"/>
        <v>#DIV/0!</v>
      </c>
      <c r="X86" s="36">
        <f t="shared" si="21"/>
        <v>1628789</v>
      </c>
      <c r="Y86" s="36">
        <f t="shared" si="22"/>
        <v>0</v>
      </c>
      <c r="Z86" s="36">
        <f t="shared" si="23"/>
        <v>209205.38</v>
      </c>
      <c r="AA86" s="50">
        <f t="shared" si="24"/>
        <v>1419583.62</v>
      </c>
      <c r="AB86" s="38">
        <f t="shared" si="25"/>
        <v>12.844228442112515</v>
      </c>
      <c r="AC86" s="228" t="s">
        <v>383</v>
      </c>
    </row>
    <row r="87" spans="1:29" s="30" customFormat="1" ht="35.25" customHeight="1" x14ac:dyDescent="0.5">
      <c r="A87" s="44">
        <v>81</v>
      </c>
      <c r="B87" s="45" t="s">
        <v>113</v>
      </c>
      <c r="C87" s="46" t="s">
        <v>51</v>
      </c>
      <c r="D87" s="36">
        <f>+'3.งบบุคลากร (GF)'!D88</f>
        <v>1794155</v>
      </c>
      <c r="E87" s="36">
        <f>+'3.งบบุคลากร (GF)'!E88</f>
        <v>0</v>
      </c>
      <c r="F87" s="36">
        <f>+'3.งบบุคลากร (GF)'!F88</f>
        <v>286060</v>
      </c>
      <c r="G87" s="50">
        <f t="shared" si="13"/>
        <v>1508095</v>
      </c>
      <c r="H87" s="38">
        <f t="shared" si="14"/>
        <v>15.943995920084943</v>
      </c>
      <c r="I87" s="36">
        <f>+'4. งบดำเนินงาน (GF)'!D88</f>
        <v>574852</v>
      </c>
      <c r="J87" s="36">
        <f>+'4. งบดำเนินงาน (GF)'!E88</f>
        <v>0</v>
      </c>
      <c r="K87" s="36">
        <f>+'4. งบดำเนินงาน (GF)'!F88</f>
        <v>80812.800000000003</v>
      </c>
      <c r="L87" s="37">
        <f t="shared" si="15"/>
        <v>494039.2</v>
      </c>
      <c r="M87" s="38">
        <f t="shared" si="16"/>
        <v>14.058018411695532</v>
      </c>
      <c r="N87" s="36">
        <f>+'5.งบลงทุน'!F88</f>
        <v>14500</v>
      </c>
      <c r="O87" s="36">
        <f>+'5.งบลงทุน'!G88</f>
        <v>0</v>
      </c>
      <c r="P87" s="36">
        <f>+'5.งบลงทุน'!H88</f>
        <v>0</v>
      </c>
      <c r="Q87" s="37">
        <f t="shared" si="17"/>
        <v>14500</v>
      </c>
      <c r="R87" s="38">
        <f t="shared" si="18"/>
        <v>0</v>
      </c>
      <c r="S87" s="36">
        <f>+'6.งบรายจ่ายอื่น (GF)'!D87</f>
        <v>0</v>
      </c>
      <c r="T87" s="36">
        <f>+'6.งบรายจ่ายอื่น (GF)'!E87</f>
        <v>0</v>
      </c>
      <c r="U87" s="36">
        <f>+'6.งบรายจ่ายอื่น (GF)'!F87</f>
        <v>0</v>
      </c>
      <c r="V87" s="37">
        <f t="shared" si="19"/>
        <v>0</v>
      </c>
      <c r="W87" s="38" t="e">
        <f t="shared" si="20"/>
        <v>#DIV/0!</v>
      </c>
      <c r="X87" s="36">
        <f t="shared" si="21"/>
        <v>2383507</v>
      </c>
      <c r="Y87" s="36">
        <f t="shared" si="22"/>
        <v>0</v>
      </c>
      <c r="Z87" s="36">
        <f t="shared" si="23"/>
        <v>366872.8</v>
      </c>
      <c r="AA87" s="50">
        <f t="shared" si="24"/>
        <v>2016634.2</v>
      </c>
      <c r="AB87" s="38">
        <f t="shared" si="25"/>
        <v>15.392142754353145</v>
      </c>
      <c r="AC87" s="228"/>
    </row>
    <row r="88" spans="1:29" s="30" customFormat="1" ht="35.25" customHeight="1" x14ac:dyDescent="0.5">
      <c r="A88" s="44">
        <v>82</v>
      </c>
      <c r="B88" s="45" t="s">
        <v>113</v>
      </c>
      <c r="C88" s="46" t="s">
        <v>156</v>
      </c>
      <c r="D88" s="36">
        <f>+'3.งบบุคลากร (GF)'!D89</f>
        <v>1464282</v>
      </c>
      <c r="E88" s="36">
        <f>+'3.งบบุคลากร (GF)'!E89</f>
        <v>0</v>
      </c>
      <c r="F88" s="36">
        <f>+'3.งบบุคลากร (GF)'!F89</f>
        <v>222298.39</v>
      </c>
      <c r="G88" s="50">
        <f t="shared" si="13"/>
        <v>1241983.6099999999</v>
      </c>
      <c r="H88" s="38">
        <f t="shared" si="14"/>
        <v>15.181391972311344</v>
      </c>
      <c r="I88" s="36">
        <f>+'4. งบดำเนินงาน (GF)'!D89</f>
        <v>608825</v>
      </c>
      <c r="J88" s="36">
        <f>+'4. งบดำเนินงาน (GF)'!E89</f>
        <v>0</v>
      </c>
      <c r="K88" s="36">
        <f>+'4. งบดำเนินงาน (GF)'!F89</f>
        <v>44569.69</v>
      </c>
      <c r="L88" s="37">
        <f t="shared" si="15"/>
        <v>564255.31000000006</v>
      </c>
      <c r="M88" s="38">
        <f t="shared" si="16"/>
        <v>7.320607728000657</v>
      </c>
      <c r="N88" s="36">
        <f>+'5.งบลงทุน'!F89</f>
        <v>0</v>
      </c>
      <c r="O88" s="36">
        <f>+'5.งบลงทุน'!G89</f>
        <v>0</v>
      </c>
      <c r="P88" s="36">
        <f>+'5.งบลงทุน'!H89</f>
        <v>0</v>
      </c>
      <c r="Q88" s="37">
        <f t="shared" si="17"/>
        <v>0</v>
      </c>
      <c r="R88" s="38" t="e">
        <f t="shared" si="18"/>
        <v>#DIV/0!</v>
      </c>
      <c r="S88" s="36">
        <f>+'6.งบรายจ่ายอื่น (GF)'!D88</f>
        <v>0</v>
      </c>
      <c r="T88" s="36">
        <f>+'6.งบรายจ่ายอื่น (GF)'!E88</f>
        <v>0</v>
      </c>
      <c r="U88" s="36">
        <f>+'6.งบรายจ่ายอื่น (GF)'!F88</f>
        <v>0</v>
      </c>
      <c r="V88" s="37">
        <f t="shared" si="19"/>
        <v>0</v>
      </c>
      <c r="W88" s="38" t="e">
        <f t="shared" si="20"/>
        <v>#DIV/0!</v>
      </c>
      <c r="X88" s="36">
        <f t="shared" si="21"/>
        <v>2073107</v>
      </c>
      <c r="Y88" s="36">
        <f t="shared" si="22"/>
        <v>0</v>
      </c>
      <c r="Z88" s="36">
        <f t="shared" si="23"/>
        <v>266868.08</v>
      </c>
      <c r="AA88" s="50">
        <f t="shared" si="24"/>
        <v>1806238.92</v>
      </c>
      <c r="AB88" s="38">
        <f t="shared" si="25"/>
        <v>12.872856056151468</v>
      </c>
      <c r="AC88" s="228"/>
    </row>
    <row r="89" spans="1:29" s="30" customFormat="1" ht="35.25" customHeight="1" x14ac:dyDescent="0.5">
      <c r="A89" s="44">
        <v>83</v>
      </c>
      <c r="B89" s="45" t="s">
        <v>113</v>
      </c>
      <c r="C89" s="46" t="s">
        <v>157</v>
      </c>
      <c r="D89" s="36">
        <f>+'3.งบบุคลากร (GF)'!D90</f>
        <v>1227943</v>
      </c>
      <c r="E89" s="36">
        <f>+'3.งบบุคลากร (GF)'!E90</f>
        <v>0</v>
      </c>
      <c r="F89" s="36">
        <f>+'3.งบบุคลากร (GF)'!F90</f>
        <v>164140</v>
      </c>
      <c r="G89" s="50">
        <f t="shared" si="13"/>
        <v>1063803</v>
      </c>
      <c r="H89" s="38">
        <f t="shared" si="14"/>
        <v>13.367069969860164</v>
      </c>
      <c r="I89" s="36">
        <f>+'4. งบดำเนินงาน (GF)'!D90</f>
        <v>669014</v>
      </c>
      <c r="J89" s="36">
        <f>+'4. งบดำเนินงาน (GF)'!E90</f>
        <v>0</v>
      </c>
      <c r="K89" s="36">
        <f>+'4. งบดำเนินงาน (GF)'!F90</f>
        <v>21729.99</v>
      </c>
      <c r="L89" s="37">
        <f t="shared" si="15"/>
        <v>647284.01</v>
      </c>
      <c r="M89" s="38">
        <f t="shared" si="16"/>
        <v>3.2480620734394199</v>
      </c>
      <c r="N89" s="36">
        <f>+'5.งบลงทุน'!F90</f>
        <v>56800</v>
      </c>
      <c r="O89" s="36">
        <f>+'5.งบลงทุน'!G90</f>
        <v>0</v>
      </c>
      <c r="P89" s="36">
        <f>+'5.งบลงทุน'!H90</f>
        <v>0</v>
      </c>
      <c r="Q89" s="37">
        <f t="shared" si="17"/>
        <v>56800</v>
      </c>
      <c r="R89" s="38">
        <f t="shared" si="18"/>
        <v>0</v>
      </c>
      <c r="S89" s="36">
        <f>+'6.งบรายจ่ายอื่น (GF)'!D89</f>
        <v>0</v>
      </c>
      <c r="T89" s="36">
        <f>+'6.งบรายจ่ายอื่น (GF)'!E89</f>
        <v>0</v>
      </c>
      <c r="U89" s="36">
        <f>+'6.งบรายจ่ายอื่น (GF)'!F89</f>
        <v>0</v>
      </c>
      <c r="V89" s="37">
        <f t="shared" si="19"/>
        <v>0</v>
      </c>
      <c r="W89" s="38" t="e">
        <f t="shared" si="20"/>
        <v>#DIV/0!</v>
      </c>
      <c r="X89" s="36">
        <f t="shared" si="21"/>
        <v>1953757</v>
      </c>
      <c r="Y89" s="36">
        <f t="shared" si="22"/>
        <v>0</v>
      </c>
      <c r="Z89" s="36">
        <f t="shared" si="23"/>
        <v>185869.99</v>
      </c>
      <c r="AA89" s="50">
        <f t="shared" si="24"/>
        <v>1767887.01</v>
      </c>
      <c r="AB89" s="38">
        <f t="shared" si="25"/>
        <v>9.5134650829146103</v>
      </c>
      <c r="AC89" s="228" t="s">
        <v>383</v>
      </c>
    </row>
    <row r="90" spans="1:29" s="30" customFormat="1" ht="35.25" customHeight="1" x14ac:dyDescent="0.5">
      <c r="A90" s="44">
        <v>84</v>
      </c>
      <c r="B90" s="45" t="s">
        <v>113</v>
      </c>
      <c r="C90" s="46" t="s">
        <v>158</v>
      </c>
      <c r="D90" s="36">
        <f>+'3.งบบุคลากร (GF)'!D91</f>
        <v>1766015</v>
      </c>
      <c r="E90" s="36">
        <f>+'3.งบบุคลากร (GF)'!E91</f>
        <v>0</v>
      </c>
      <c r="F90" s="36">
        <f>+'3.งบบุคลากร (GF)'!F91</f>
        <v>239490</v>
      </c>
      <c r="G90" s="50">
        <f t="shared" si="13"/>
        <v>1526525</v>
      </c>
      <c r="H90" s="38">
        <f t="shared" si="14"/>
        <v>13.561039968516688</v>
      </c>
      <c r="I90" s="36">
        <f>+'4. งบดำเนินงาน (GF)'!D91</f>
        <v>590362</v>
      </c>
      <c r="J90" s="36">
        <f>+'4. งบดำเนินงาน (GF)'!E91</f>
        <v>0</v>
      </c>
      <c r="K90" s="36">
        <f>+'4. งบดำเนินงาน (GF)'!F91</f>
        <v>40675</v>
      </c>
      <c r="L90" s="37">
        <f t="shared" si="15"/>
        <v>549687</v>
      </c>
      <c r="M90" s="38">
        <f t="shared" si="16"/>
        <v>6.8898404707620067</v>
      </c>
      <c r="N90" s="36">
        <f>+'5.งบลงทุน'!F91</f>
        <v>105400</v>
      </c>
      <c r="O90" s="36">
        <f>+'5.งบลงทุน'!G91</f>
        <v>0</v>
      </c>
      <c r="P90" s="36">
        <f>+'5.งบลงทุน'!H91</f>
        <v>0</v>
      </c>
      <c r="Q90" s="37">
        <f t="shared" si="17"/>
        <v>105400</v>
      </c>
      <c r="R90" s="38">
        <f t="shared" si="18"/>
        <v>0</v>
      </c>
      <c r="S90" s="36">
        <f>+'6.งบรายจ่ายอื่น (GF)'!D90</f>
        <v>0</v>
      </c>
      <c r="T90" s="36">
        <f>+'6.งบรายจ่ายอื่น (GF)'!E90</f>
        <v>0</v>
      </c>
      <c r="U90" s="36">
        <f>+'6.งบรายจ่ายอื่น (GF)'!F90</f>
        <v>0</v>
      </c>
      <c r="V90" s="37">
        <f t="shared" si="19"/>
        <v>0</v>
      </c>
      <c r="W90" s="38" t="e">
        <f t="shared" si="20"/>
        <v>#DIV/0!</v>
      </c>
      <c r="X90" s="36">
        <f t="shared" si="21"/>
        <v>2461777</v>
      </c>
      <c r="Y90" s="36">
        <f t="shared" si="22"/>
        <v>0</v>
      </c>
      <c r="Z90" s="36">
        <f t="shared" si="23"/>
        <v>280165</v>
      </c>
      <c r="AA90" s="50">
        <f t="shared" si="24"/>
        <v>2181612</v>
      </c>
      <c r="AB90" s="38">
        <f t="shared" si="25"/>
        <v>11.380600273704726</v>
      </c>
      <c r="AC90" s="228" t="s">
        <v>383</v>
      </c>
    </row>
    <row r="91" spans="1:29" s="30" customFormat="1" ht="35.25" customHeight="1" x14ac:dyDescent="0.5">
      <c r="A91" s="44">
        <v>85</v>
      </c>
      <c r="B91" s="45" t="s">
        <v>113</v>
      </c>
      <c r="C91" s="46" t="s">
        <v>52</v>
      </c>
      <c r="D91" s="36">
        <f>+'3.งบบุคลากร (GF)'!D92</f>
        <v>1728695</v>
      </c>
      <c r="E91" s="36">
        <f>+'3.งบบุคลากร (GF)'!E92</f>
        <v>0</v>
      </c>
      <c r="F91" s="36">
        <f>+'3.งบบุคลากร (GF)'!F92</f>
        <v>213300</v>
      </c>
      <c r="G91" s="50">
        <f t="shared" si="13"/>
        <v>1515395</v>
      </c>
      <c r="H91" s="38">
        <f t="shared" si="14"/>
        <v>12.33878735115217</v>
      </c>
      <c r="I91" s="36">
        <f>+'4. งบดำเนินงาน (GF)'!D92</f>
        <v>705520</v>
      </c>
      <c r="J91" s="36">
        <f>+'4. งบดำเนินงาน (GF)'!E92</f>
        <v>0</v>
      </c>
      <c r="K91" s="36">
        <f>+'4. งบดำเนินงาน (GF)'!F92</f>
        <v>96448.15</v>
      </c>
      <c r="L91" s="37">
        <f t="shared" si="15"/>
        <v>609071.85</v>
      </c>
      <c r="M91" s="38">
        <f t="shared" si="16"/>
        <v>13.670505442793967</v>
      </c>
      <c r="N91" s="36">
        <f>+'5.งบลงทุน'!F92</f>
        <v>68200</v>
      </c>
      <c r="O91" s="36">
        <f>+'5.งบลงทุน'!G92</f>
        <v>0</v>
      </c>
      <c r="P91" s="36">
        <f>+'5.งบลงทุน'!H92</f>
        <v>0</v>
      </c>
      <c r="Q91" s="37">
        <f t="shared" si="17"/>
        <v>68200</v>
      </c>
      <c r="R91" s="38">
        <f t="shared" si="18"/>
        <v>0</v>
      </c>
      <c r="S91" s="36">
        <f>+'6.งบรายจ่ายอื่น (GF)'!D91</f>
        <v>0</v>
      </c>
      <c r="T91" s="36">
        <f>+'6.งบรายจ่ายอื่น (GF)'!E91</f>
        <v>0</v>
      </c>
      <c r="U91" s="36">
        <f>+'6.งบรายจ่ายอื่น (GF)'!F91</f>
        <v>0</v>
      </c>
      <c r="V91" s="37">
        <f t="shared" si="19"/>
        <v>0</v>
      </c>
      <c r="W91" s="38" t="e">
        <f t="shared" si="20"/>
        <v>#DIV/0!</v>
      </c>
      <c r="X91" s="36">
        <f t="shared" si="21"/>
        <v>2502415</v>
      </c>
      <c r="Y91" s="36">
        <f t="shared" si="22"/>
        <v>0</v>
      </c>
      <c r="Z91" s="36">
        <f t="shared" si="23"/>
        <v>309748.15000000002</v>
      </c>
      <c r="AA91" s="50">
        <f t="shared" si="24"/>
        <v>2192666.85</v>
      </c>
      <c r="AB91" s="38">
        <f t="shared" si="25"/>
        <v>12.377968882059932</v>
      </c>
      <c r="AC91" s="228"/>
    </row>
    <row r="92" spans="1:29" s="30" customFormat="1" ht="35.25" customHeight="1" x14ac:dyDescent="0.5">
      <c r="A92" s="44">
        <v>86</v>
      </c>
      <c r="B92" s="45" t="s">
        <v>113</v>
      </c>
      <c r="C92" s="46" t="s">
        <v>53</v>
      </c>
      <c r="D92" s="36">
        <f>+'3.งบบุคลากร (GF)'!D93</f>
        <v>1754800</v>
      </c>
      <c r="E92" s="36">
        <f>+'3.งบบุคลากร (GF)'!E93</f>
        <v>0</v>
      </c>
      <c r="F92" s="36">
        <f>+'3.งบบุคลากร (GF)'!F93</f>
        <v>226830</v>
      </c>
      <c r="G92" s="50">
        <f t="shared" si="13"/>
        <v>1527970</v>
      </c>
      <c r="H92" s="38">
        <f t="shared" si="14"/>
        <v>12.926259402780945</v>
      </c>
      <c r="I92" s="36">
        <f>+'4. งบดำเนินงาน (GF)'!D93</f>
        <v>909261</v>
      </c>
      <c r="J92" s="36">
        <f>+'4. งบดำเนินงาน (GF)'!E93</f>
        <v>0</v>
      </c>
      <c r="K92" s="36">
        <f>+'4. งบดำเนินงาน (GF)'!F93</f>
        <v>86495.78</v>
      </c>
      <c r="L92" s="37">
        <f t="shared" si="15"/>
        <v>822765.22</v>
      </c>
      <c r="M92" s="38">
        <f t="shared" si="16"/>
        <v>9.5127559633592558</v>
      </c>
      <c r="N92" s="36">
        <f>+'5.งบลงทุน'!F93</f>
        <v>0</v>
      </c>
      <c r="O92" s="36">
        <f>+'5.งบลงทุน'!G93</f>
        <v>0</v>
      </c>
      <c r="P92" s="36">
        <f>+'5.งบลงทุน'!H93</f>
        <v>0</v>
      </c>
      <c r="Q92" s="37">
        <f t="shared" si="17"/>
        <v>0</v>
      </c>
      <c r="R92" s="38" t="e">
        <f t="shared" si="18"/>
        <v>#DIV/0!</v>
      </c>
      <c r="S92" s="36">
        <f>+'6.งบรายจ่ายอื่น (GF)'!D92</f>
        <v>7000</v>
      </c>
      <c r="T92" s="36">
        <f>+'6.งบรายจ่ายอื่น (GF)'!E92</f>
        <v>0</v>
      </c>
      <c r="U92" s="36">
        <f>+'6.งบรายจ่ายอื่น (GF)'!F92</f>
        <v>0</v>
      </c>
      <c r="V92" s="37">
        <f t="shared" si="19"/>
        <v>7000</v>
      </c>
      <c r="W92" s="38">
        <f t="shared" si="20"/>
        <v>0</v>
      </c>
      <c r="X92" s="36">
        <f t="shared" si="21"/>
        <v>2671061</v>
      </c>
      <c r="Y92" s="36">
        <f t="shared" si="22"/>
        <v>0</v>
      </c>
      <c r="Z92" s="36">
        <f t="shared" si="23"/>
        <v>313325.78000000003</v>
      </c>
      <c r="AA92" s="50">
        <f t="shared" si="24"/>
        <v>2357735.2199999997</v>
      </c>
      <c r="AB92" s="38">
        <f t="shared" si="25"/>
        <v>11.730386539281582</v>
      </c>
      <c r="AC92" s="228" t="s">
        <v>384</v>
      </c>
    </row>
    <row r="93" spans="1:29" s="30" customFormat="1" ht="35.25" customHeight="1" x14ac:dyDescent="0.5">
      <c r="A93" s="44">
        <v>87</v>
      </c>
      <c r="B93" s="45" t="s">
        <v>113</v>
      </c>
      <c r="C93" s="46" t="s">
        <v>159</v>
      </c>
      <c r="D93" s="36">
        <f>+'3.งบบุคลากร (GF)'!D94</f>
        <v>2130219</v>
      </c>
      <c r="E93" s="36">
        <f>+'3.งบบุคลากร (GF)'!E94</f>
        <v>0</v>
      </c>
      <c r="F93" s="36">
        <f>+'3.งบบุคลากร (GF)'!F94</f>
        <v>276120</v>
      </c>
      <c r="G93" s="50">
        <f t="shared" si="13"/>
        <v>1854099</v>
      </c>
      <c r="H93" s="38">
        <f t="shared" si="14"/>
        <v>12.962047564123688</v>
      </c>
      <c r="I93" s="36">
        <f>+'4. งบดำเนินงาน (GF)'!D94</f>
        <v>1184129</v>
      </c>
      <c r="J93" s="36">
        <f>+'4. งบดำเนินงาน (GF)'!E94</f>
        <v>0</v>
      </c>
      <c r="K93" s="36">
        <f>+'4. งบดำเนินงาน (GF)'!F94</f>
        <v>18044.3</v>
      </c>
      <c r="L93" s="37">
        <f t="shared" si="15"/>
        <v>1166084.7</v>
      </c>
      <c r="M93" s="38">
        <f t="shared" si="16"/>
        <v>1.5238457972062165</v>
      </c>
      <c r="N93" s="36">
        <f>+'5.งบลงทุน'!F94</f>
        <v>209700</v>
      </c>
      <c r="O93" s="36">
        <f>+'5.งบลงทุน'!G94</f>
        <v>0</v>
      </c>
      <c r="P93" s="36">
        <f>+'5.งบลงทุน'!H94</f>
        <v>0</v>
      </c>
      <c r="Q93" s="37">
        <f t="shared" si="17"/>
        <v>209700</v>
      </c>
      <c r="R93" s="38">
        <f t="shared" si="18"/>
        <v>0</v>
      </c>
      <c r="S93" s="36">
        <f>+'6.งบรายจ่ายอื่น (GF)'!D93</f>
        <v>10000</v>
      </c>
      <c r="T93" s="36">
        <f>+'6.งบรายจ่ายอื่น (GF)'!E93</f>
        <v>0</v>
      </c>
      <c r="U93" s="36">
        <f>+'6.งบรายจ่ายอื่น (GF)'!F93</f>
        <v>0</v>
      </c>
      <c r="V93" s="37">
        <f t="shared" si="19"/>
        <v>10000</v>
      </c>
      <c r="W93" s="38">
        <f t="shared" si="20"/>
        <v>0</v>
      </c>
      <c r="X93" s="36">
        <f t="shared" si="21"/>
        <v>3534048</v>
      </c>
      <c r="Y93" s="36">
        <f t="shared" si="22"/>
        <v>0</v>
      </c>
      <c r="Z93" s="36">
        <f t="shared" si="23"/>
        <v>294164.3</v>
      </c>
      <c r="AA93" s="50">
        <f t="shared" si="24"/>
        <v>3239883.7</v>
      </c>
      <c r="AB93" s="38">
        <f t="shared" si="25"/>
        <v>8.323721126594771</v>
      </c>
      <c r="AC93" s="228"/>
    </row>
    <row r="94" spans="1:29" s="30" customFormat="1" ht="35.25" customHeight="1" x14ac:dyDescent="0.5">
      <c r="A94" s="44">
        <v>88</v>
      </c>
      <c r="B94" s="45" t="s">
        <v>113</v>
      </c>
      <c r="C94" s="46" t="s">
        <v>160</v>
      </c>
      <c r="D94" s="36">
        <f>+'3.งบบุคลากร (GF)'!D95</f>
        <v>1793146</v>
      </c>
      <c r="E94" s="36">
        <f>+'3.งบบุคลากร (GF)'!E95</f>
        <v>0</v>
      </c>
      <c r="F94" s="36">
        <f>+'3.งบบุคลากร (GF)'!F95</f>
        <v>233000</v>
      </c>
      <c r="G94" s="50">
        <f t="shared" si="13"/>
        <v>1560146</v>
      </c>
      <c r="H94" s="38">
        <f t="shared" si="14"/>
        <v>12.993922413456573</v>
      </c>
      <c r="I94" s="36">
        <f>+'4. งบดำเนินงาน (GF)'!D95</f>
        <v>826365</v>
      </c>
      <c r="J94" s="36">
        <f>+'4. งบดำเนินงาน (GF)'!E95</f>
        <v>0</v>
      </c>
      <c r="K94" s="36">
        <f>+'4. งบดำเนินงาน (GF)'!F95</f>
        <v>33956.28</v>
      </c>
      <c r="L94" s="37">
        <f t="shared" si="15"/>
        <v>792408.72</v>
      </c>
      <c r="M94" s="38">
        <f t="shared" si="16"/>
        <v>4.1091140113630171</v>
      </c>
      <c r="N94" s="36">
        <f>+'5.งบลงทุน'!F95</f>
        <v>17600</v>
      </c>
      <c r="O94" s="36">
        <f>+'5.งบลงทุน'!G95</f>
        <v>0</v>
      </c>
      <c r="P94" s="36">
        <f>+'5.งบลงทุน'!H95</f>
        <v>0</v>
      </c>
      <c r="Q94" s="37">
        <f t="shared" si="17"/>
        <v>17600</v>
      </c>
      <c r="R94" s="38">
        <f t="shared" si="18"/>
        <v>0</v>
      </c>
      <c r="S94" s="36">
        <f>+'6.งบรายจ่ายอื่น (GF)'!D94</f>
        <v>0</v>
      </c>
      <c r="T94" s="36">
        <f>+'6.งบรายจ่ายอื่น (GF)'!E94</f>
        <v>0</v>
      </c>
      <c r="U94" s="36">
        <f>+'6.งบรายจ่ายอื่น (GF)'!F94</f>
        <v>0</v>
      </c>
      <c r="V94" s="37">
        <f t="shared" si="19"/>
        <v>0</v>
      </c>
      <c r="W94" s="38" t="e">
        <f t="shared" si="20"/>
        <v>#DIV/0!</v>
      </c>
      <c r="X94" s="36">
        <f t="shared" si="21"/>
        <v>2637111</v>
      </c>
      <c r="Y94" s="36">
        <f t="shared" si="22"/>
        <v>0</v>
      </c>
      <c r="Z94" s="36">
        <f t="shared" si="23"/>
        <v>266956.28000000003</v>
      </c>
      <c r="AA94" s="50">
        <f t="shared" si="24"/>
        <v>2370154.7199999997</v>
      </c>
      <c r="AB94" s="38">
        <f t="shared" si="25"/>
        <v>10.123058149619036</v>
      </c>
      <c r="AC94" s="228"/>
    </row>
    <row r="95" spans="1:29" s="30" customFormat="1" ht="35.25" customHeight="1" x14ac:dyDescent="0.5">
      <c r="A95" s="44">
        <v>89</v>
      </c>
      <c r="B95" s="45" t="s">
        <v>113</v>
      </c>
      <c r="C95" s="46" t="s">
        <v>161</v>
      </c>
      <c r="D95" s="36">
        <f>+'3.งบบุคลากร (GF)'!D96</f>
        <v>1855054</v>
      </c>
      <c r="E95" s="36">
        <f>+'3.งบบุคลากร (GF)'!E96</f>
        <v>0</v>
      </c>
      <c r="F95" s="36">
        <f>+'3.งบบุคลากร (GF)'!F96</f>
        <v>283082</v>
      </c>
      <c r="G95" s="50">
        <f t="shared" si="13"/>
        <v>1571972</v>
      </c>
      <c r="H95" s="38">
        <f t="shared" si="14"/>
        <v>15.260040947595057</v>
      </c>
      <c r="I95" s="36">
        <f>+'4. งบดำเนินงาน (GF)'!D96</f>
        <v>3416565</v>
      </c>
      <c r="J95" s="36">
        <f>+'4. งบดำเนินงาน (GF)'!E96</f>
        <v>0</v>
      </c>
      <c r="K95" s="36">
        <f>+'4. งบดำเนินงาน (GF)'!F96</f>
        <v>46197.74</v>
      </c>
      <c r="L95" s="37">
        <f t="shared" si="15"/>
        <v>3370367.26</v>
      </c>
      <c r="M95" s="38">
        <f t="shared" si="16"/>
        <v>1.3521692108887142</v>
      </c>
      <c r="N95" s="36">
        <f>+'5.งบลงทุน'!F96</f>
        <v>748500</v>
      </c>
      <c r="O95" s="36">
        <f>+'5.งบลงทุน'!G96</f>
        <v>0</v>
      </c>
      <c r="P95" s="36">
        <f>+'5.งบลงทุน'!H96</f>
        <v>0</v>
      </c>
      <c r="Q95" s="37">
        <f t="shared" si="17"/>
        <v>748500</v>
      </c>
      <c r="R95" s="38">
        <f t="shared" si="18"/>
        <v>0</v>
      </c>
      <c r="S95" s="36">
        <f>+'6.งบรายจ่ายอื่น (GF)'!D95</f>
        <v>74000</v>
      </c>
      <c r="T95" s="36">
        <f>+'6.งบรายจ่ายอื่น (GF)'!E95</f>
        <v>0</v>
      </c>
      <c r="U95" s="36">
        <f>+'6.งบรายจ่ายอื่น (GF)'!F95</f>
        <v>0</v>
      </c>
      <c r="V95" s="37">
        <f t="shared" si="19"/>
        <v>74000</v>
      </c>
      <c r="W95" s="38">
        <f t="shared" si="20"/>
        <v>0</v>
      </c>
      <c r="X95" s="36">
        <f t="shared" si="21"/>
        <v>6094119</v>
      </c>
      <c r="Y95" s="36">
        <f t="shared" si="22"/>
        <v>0</v>
      </c>
      <c r="Z95" s="36">
        <f t="shared" si="23"/>
        <v>329279.74</v>
      </c>
      <c r="AA95" s="50">
        <f t="shared" si="24"/>
        <v>5764839.2599999998</v>
      </c>
      <c r="AB95" s="38">
        <f t="shared" si="25"/>
        <v>5.4032377772734668</v>
      </c>
      <c r="AC95" s="228"/>
    </row>
    <row r="96" spans="1:29" s="30" customFormat="1" ht="35.25" customHeight="1" x14ac:dyDescent="0.5">
      <c r="A96" s="44">
        <v>90</v>
      </c>
      <c r="B96" s="45" t="s">
        <v>113</v>
      </c>
      <c r="C96" s="46" t="s">
        <v>54</v>
      </c>
      <c r="D96" s="36">
        <f>+'3.งบบุคลากร (GF)'!D97</f>
        <v>2210319</v>
      </c>
      <c r="E96" s="36">
        <f>+'3.งบบุคลากร (GF)'!E97</f>
        <v>0</v>
      </c>
      <c r="F96" s="36">
        <f>+'3.งบบุคลากร (GF)'!F97</f>
        <v>352970</v>
      </c>
      <c r="G96" s="50">
        <f t="shared" si="13"/>
        <v>1857349</v>
      </c>
      <c r="H96" s="38">
        <f t="shared" si="14"/>
        <v>15.969188157908428</v>
      </c>
      <c r="I96" s="36">
        <f>+'4. งบดำเนินงาน (GF)'!D97</f>
        <v>924162</v>
      </c>
      <c r="J96" s="36">
        <f>+'4. งบดำเนินงาน (GF)'!E97</f>
        <v>0</v>
      </c>
      <c r="K96" s="36">
        <f>+'4. งบดำเนินงาน (GF)'!F97</f>
        <v>55536.12</v>
      </c>
      <c r="L96" s="37">
        <f t="shared" si="15"/>
        <v>868625.88</v>
      </c>
      <c r="M96" s="38">
        <f t="shared" si="16"/>
        <v>6.0093490102384646</v>
      </c>
      <c r="N96" s="36">
        <f>+'5.งบลงทุน'!F97</f>
        <v>44000</v>
      </c>
      <c r="O96" s="36">
        <f>+'5.งบลงทุน'!G97</f>
        <v>0</v>
      </c>
      <c r="P96" s="36">
        <f>+'5.งบลงทุน'!H97</f>
        <v>0</v>
      </c>
      <c r="Q96" s="37">
        <f t="shared" si="17"/>
        <v>44000</v>
      </c>
      <c r="R96" s="38">
        <f t="shared" si="18"/>
        <v>0</v>
      </c>
      <c r="S96" s="36">
        <f>+'6.งบรายจ่ายอื่น (GF)'!D96</f>
        <v>0</v>
      </c>
      <c r="T96" s="36">
        <f>+'6.งบรายจ่ายอื่น (GF)'!E96</f>
        <v>0</v>
      </c>
      <c r="U96" s="36">
        <f>+'6.งบรายจ่ายอื่น (GF)'!F96</f>
        <v>0</v>
      </c>
      <c r="V96" s="37">
        <f t="shared" si="19"/>
        <v>0</v>
      </c>
      <c r="W96" s="38" t="e">
        <f t="shared" si="20"/>
        <v>#DIV/0!</v>
      </c>
      <c r="X96" s="36">
        <f t="shared" si="21"/>
        <v>3178481</v>
      </c>
      <c r="Y96" s="36">
        <f t="shared" si="22"/>
        <v>0</v>
      </c>
      <c r="Z96" s="36">
        <f t="shared" si="23"/>
        <v>408506.12</v>
      </c>
      <c r="AA96" s="50">
        <f t="shared" si="24"/>
        <v>2769974.88</v>
      </c>
      <c r="AB96" s="38">
        <f t="shared" si="25"/>
        <v>12.852243571693522</v>
      </c>
      <c r="AC96" s="228"/>
    </row>
    <row r="97" spans="1:29" s="30" customFormat="1" ht="35.25" customHeight="1" x14ac:dyDescent="0.5">
      <c r="A97" s="44">
        <v>91</v>
      </c>
      <c r="B97" s="45" t="s">
        <v>113</v>
      </c>
      <c r="C97" s="46" t="s">
        <v>55</v>
      </c>
      <c r="D97" s="36">
        <f>+'3.งบบุคลากร (GF)'!D98</f>
        <v>2320172</v>
      </c>
      <c r="E97" s="36">
        <f>+'3.งบบุคลากร (GF)'!E98</f>
        <v>0</v>
      </c>
      <c r="F97" s="36">
        <f>+'3.งบบุคลากร (GF)'!F98</f>
        <v>288710</v>
      </c>
      <c r="G97" s="50">
        <f t="shared" si="13"/>
        <v>2031462</v>
      </c>
      <c r="H97" s="38">
        <f t="shared" si="14"/>
        <v>12.443474018305539</v>
      </c>
      <c r="I97" s="36">
        <f>+'4. งบดำเนินงาน (GF)'!D98</f>
        <v>829795</v>
      </c>
      <c r="J97" s="36">
        <f>+'4. งบดำเนินงาน (GF)'!E98</f>
        <v>288000</v>
      </c>
      <c r="K97" s="36">
        <f>+'4. งบดำเนินงาน (GF)'!F98</f>
        <v>34499.269999999997</v>
      </c>
      <c r="L97" s="37">
        <f t="shared" si="15"/>
        <v>507295.73</v>
      </c>
      <c r="M97" s="38">
        <f t="shared" si="16"/>
        <v>4.1575654227851455</v>
      </c>
      <c r="N97" s="36">
        <f>+'5.งบลงทุน'!F98</f>
        <v>94700</v>
      </c>
      <c r="O97" s="36">
        <f>+'5.งบลงทุน'!G98</f>
        <v>0</v>
      </c>
      <c r="P97" s="36">
        <f>+'5.งบลงทุน'!H98</f>
        <v>0</v>
      </c>
      <c r="Q97" s="37">
        <f t="shared" si="17"/>
        <v>94700</v>
      </c>
      <c r="R97" s="38">
        <f t="shared" si="18"/>
        <v>0</v>
      </c>
      <c r="S97" s="36">
        <f>+'6.งบรายจ่ายอื่น (GF)'!D97</f>
        <v>0</v>
      </c>
      <c r="T97" s="36">
        <f>+'6.งบรายจ่ายอื่น (GF)'!E97</f>
        <v>0</v>
      </c>
      <c r="U97" s="36">
        <f>+'6.งบรายจ่ายอื่น (GF)'!F97</f>
        <v>0</v>
      </c>
      <c r="V97" s="37">
        <f t="shared" si="19"/>
        <v>0</v>
      </c>
      <c r="W97" s="38" t="e">
        <f t="shared" si="20"/>
        <v>#DIV/0!</v>
      </c>
      <c r="X97" s="36">
        <f t="shared" si="21"/>
        <v>3244667</v>
      </c>
      <c r="Y97" s="36">
        <f t="shared" si="22"/>
        <v>288000</v>
      </c>
      <c r="Z97" s="36">
        <f t="shared" si="23"/>
        <v>323209.27</v>
      </c>
      <c r="AA97" s="50">
        <f t="shared" si="24"/>
        <v>2633457.73</v>
      </c>
      <c r="AB97" s="38">
        <f t="shared" si="25"/>
        <v>9.9612462542381088</v>
      </c>
      <c r="AC97" s="228"/>
    </row>
    <row r="98" spans="1:29" s="30" customFormat="1" ht="35.25" customHeight="1" x14ac:dyDescent="0.5">
      <c r="A98" s="44">
        <v>92</v>
      </c>
      <c r="B98" s="47" t="s">
        <v>115</v>
      </c>
      <c r="C98" s="48" t="s">
        <v>20</v>
      </c>
      <c r="D98" s="36">
        <f>+'3.งบบุคลากร (GF)'!D99</f>
        <v>4714576</v>
      </c>
      <c r="E98" s="36">
        <f>+'3.งบบุคลากร (GF)'!E99</f>
        <v>0</v>
      </c>
      <c r="F98" s="36">
        <f>+'3.งบบุคลากร (GF)'!F99</f>
        <v>707811.25</v>
      </c>
      <c r="G98" s="50">
        <f t="shared" si="13"/>
        <v>4006764.75</v>
      </c>
      <c r="H98" s="38">
        <f t="shared" si="14"/>
        <v>15.013253577840297</v>
      </c>
      <c r="I98" s="36">
        <f>+'4. งบดำเนินงาน (GF)'!D99</f>
        <v>2033706</v>
      </c>
      <c r="J98" s="36">
        <f>+'4. งบดำเนินงาน (GF)'!E99</f>
        <v>0</v>
      </c>
      <c r="K98" s="36">
        <f>+'4. งบดำเนินงาน (GF)'!F99</f>
        <v>58271.71</v>
      </c>
      <c r="L98" s="37">
        <f t="shared" si="15"/>
        <v>1975434.29</v>
      </c>
      <c r="M98" s="38">
        <f t="shared" si="16"/>
        <v>2.8652966554654409</v>
      </c>
      <c r="N98" s="36">
        <f>+'5.งบลงทุน'!F99</f>
        <v>805200</v>
      </c>
      <c r="O98" s="36">
        <f>+'5.งบลงทุน'!G99</f>
        <v>0</v>
      </c>
      <c r="P98" s="36">
        <f>+'5.งบลงทุน'!H99</f>
        <v>0</v>
      </c>
      <c r="Q98" s="37">
        <f t="shared" si="17"/>
        <v>805200</v>
      </c>
      <c r="R98" s="38">
        <f t="shared" si="18"/>
        <v>0</v>
      </c>
      <c r="S98" s="36">
        <f>+'6.งบรายจ่ายอื่น (GF)'!D98</f>
        <v>73000</v>
      </c>
      <c r="T98" s="36">
        <f>+'6.งบรายจ่ายอื่น (GF)'!E98</f>
        <v>0</v>
      </c>
      <c r="U98" s="36">
        <f>+'6.งบรายจ่ายอื่น (GF)'!F98</f>
        <v>0</v>
      </c>
      <c r="V98" s="37">
        <f t="shared" si="19"/>
        <v>73000</v>
      </c>
      <c r="W98" s="38">
        <f t="shared" si="20"/>
        <v>0</v>
      </c>
      <c r="X98" s="36">
        <f t="shared" si="21"/>
        <v>7626482</v>
      </c>
      <c r="Y98" s="36">
        <f t="shared" si="22"/>
        <v>0</v>
      </c>
      <c r="Z98" s="36">
        <f t="shared" si="23"/>
        <v>766082.96</v>
      </c>
      <c r="AA98" s="50">
        <f t="shared" si="24"/>
        <v>6860399.04</v>
      </c>
      <c r="AB98" s="38">
        <f t="shared" si="25"/>
        <v>10.045037279311746</v>
      </c>
      <c r="AC98" s="228" t="s">
        <v>382</v>
      </c>
    </row>
    <row r="99" spans="1:29" s="30" customFormat="1" ht="32.25" customHeight="1" x14ac:dyDescent="0.5">
      <c r="A99" s="44">
        <v>93</v>
      </c>
      <c r="B99" s="45" t="s">
        <v>115</v>
      </c>
      <c r="C99" s="46" t="s">
        <v>162</v>
      </c>
      <c r="D99" s="36">
        <f>+'3.งบบุคลากร (GF)'!D100</f>
        <v>4938446</v>
      </c>
      <c r="E99" s="36">
        <f>+'3.งบบุคลากร (GF)'!E100</f>
        <v>0</v>
      </c>
      <c r="F99" s="36">
        <f>+'3.งบบุคลากร (GF)'!F100</f>
        <v>614144.52</v>
      </c>
      <c r="G99" s="50">
        <f t="shared" si="13"/>
        <v>4324301.4800000004</v>
      </c>
      <c r="H99" s="38">
        <f t="shared" si="14"/>
        <v>12.435987353106626</v>
      </c>
      <c r="I99" s="36">
        <f>+'4. งบดำเนินงาน (GF)'!D100</f>
        <v>2874454</v>
      </c>
      <c r="J99" s="36">
        <f>+'4. งบดำเนินงาน (GF)'!E100</f>
        <v>0</v>
      </c>
      <c r="K99" s="36">
        <f>+'4. งบดำเนินงาน (GF)'!F100</f>
        <v>23091.46</v>
      </c>
      <c r="L99" s="37">
        <f t="shared" si="15"/>
        <v>2851362.54</v>
      </c>
      <c r="M99" s="38">
        <f t="shared" si="16"/>
        <v>0.80333378095457431</v>
      </c>
      <c r="N99" s="36">
        <f>+'5.งบลงทุน'!F100</f>
        <v>1139700</v>
      </c>
      <c r="O99" s="36">
        <f>+'5.งบลงทุน'!G100</f>
        <v>0</v>
      </c>
      <c r="P99" s="36">
        <f>+'5.งบลงทุน'!H100</f>
        <v>0</v>
      </c>
      <c r="Q99" s="37">
        <f t="shared" si="17"/>
        <v>1139700</v>
      </c>
      <c r="R99" s="38">
        <f t="shared" si="18"/>
        <v>0</v>
      </c>
      <c r="S99" s="36">
        <f>+'6.งบรายจ่ายอื่น (GF)'!D99</f>
        <v>597500</v>
      </c>
      <c r="T99" s="36">
        <f>+'6.งบรายจ่ายอื่น (GF)'!E99</f>
        <v>0</v>
      </c>
      <c r="U99" s="36">
        <f>+'6.งบรายจ่ายอื่น (GF)'!F99</f>
        <v>0</v>
      </c>
      <c r="V99" s="37">
        <f t="shared" si="19"/>
        <v>597500</v>
      </c>
      <c r="W99" s="38">
        <f t="shared" si="20"/>
        <v>0</v>
      </c>
      <c r="X99" s="36">
        <f t="shared" si="21"/>
        <v>9550100</v>
      </c>
      <c r="Y99" s="36">
        <f t="shared" si="22"/>
        <v>0</v>
      </c>
      <c r="Z99" s="36">
        <f t="shared" si="23"/>
        <v>637235.98</v>
      </c>
      <c r="AA99" s="50">
        <f t="shared" si="24"/>
        <v>8912864.0199999996</v>
      </c>
      <c r="AB99" s="38">
        <f t="shared" si="25"/>
        <v>6.6725581931079256</v>
      </c>
      <c r="AC99" s="233" t="s">
        <v>388</v>
      </c>
    </row>
    <row r="100" spans="1:29" s="30" customFormat="1" ht="35.25" customHeight="1" x14ac:dyDescent="0.5">
      <c r="A100" s="44">
        <v>94</v>
      </c>
      <c r="B100" s="45" t="s">
        <v>113</v>
      </c>
      <c r="C100" s="46" t="s">
        <v>89</v>
      </c>
      <c r="D100" s="36">
        <f>+'3.งบบุคลากร (GF)'!D101</f>
        <v>1306678</v>
      </c>
      <c r="E100" s="36">
        <f>+'3.งบบุคลากร (GF)'!E101</f>
        <v>0</v>
      </c>
      <c r="F100" s="36">
        <f>+'3.งบบุคลากร (GF)'!F101</f>
        <v>160470</v>
      </c>
      <c r="G100" s="50">
        <f t="shared" si="13"/>
        <v>1146208</v>
      </c>
      <c r="H100" s="38">
        <f t="shared" si="14"/>
        <v>12.280760830135657</v>
      </c>
      <c r="I100" s="36">
        <f>+'4. งบดำเนินงาน (GF)'!D101</f>
        <v>893034</v>
      </c>
      <c r="J100" s="36">
        <f>+'4. งบดำเนินงาน (GF)'!E101</f>
        <v>0</v>
      </c>
      <c r="K100" s="36">
        <f>+'4. งบดำเนินงาน (GF)'!F101</f>
        <v>102839.03</v>
      </c>
      <c r="L100" s="37">
        <f t="shared" si="15"/>
        <v>790194.97</v>
      </c>
      <c r="M100" s="38">
        <f t="shared" si="16"/>
        <v>11.515690332059025</v>
      </c>
      <c r="N100" s="36">
        <f>+'5.งบลงทุน'!F101</f>
        <v>72300</v>
      </c>
      <c r="O100" s="36">
        <f>+'5.งบลงทุน'!G101</f>
        <v>0</v>
      </c>
      <c r="P100" s="36">
        <f>+'5.งบลงทุน'!H101</f>
        <v>72300</v>
      </c>
      <c r="Q100" s="37">
        <f t="shared" si="17"/>
        <v>0</v>
      </c>
      <c r="R100" s="38">
        <f t="shared" si="18"/>
        <v>100</v>
      </c>
      <c r="S100" s="36">
        <f>+'6.งบรายจ่ายอื่น (GF)'!D100</f>
        <v>10000</v>
      </c>
      <c r="T100" s="36">
        <f>+'6.งบรายจ่ายอื่น (GF)'!E100</f>
        <v>0</v>
      </c>
      <c r="U100" s="36">
        <f>+'6.งบรายจ่ายอื่น (GF)'!F100</f>
        <v>0</v>
      </c>
      <c r="V100" s="37">
        <f t="shared" si="19"/>
        <v>10000</v>
      </c>
      <c r="W100" s="38">
        <f t="shared" si="20"/>
        <v>0</v>
      </c>
      <c r="X100" s="36">
        <f t="shared" si="21"/>
        <v>2282012</v>
      </c>
      <c r="Y100" s="36">
        <f t="shared" si="22"/>
        <v>0</v>
      </c>
      <c r="Z100" s="36">
        <f t="shared" si="23"/>
        <v>335609.03</v>
      </c>
      <c r="AA100" s="50">
        <f t="shared" si="24"/>
        <v>1946402.97</v>
      </c>
      <c r="AB100" s="38">
        <f t="shared" si="25"/>
        <v>14.706716266172132</v>
      </c>
      <c r="AC100" s="228" t="s">
        <v>383</v>
      </c>
    </row>
    <row r="101" spans="1:29" s="30" customFormat="1" ht="35.25" customHeight="1" x14ac:dyDescent="0.5">
      <c r="A101" s="44">
        <v>95</v>
      </c>
      <c r="B101" s="45" t="s">
        <v>115</v>
      </c>
      <c r="C101" s="46" t="s">
        <v>43</v>
      </c>
      <c r="D101" s="36">
        <f>+'3.งบบุคลากร (GF)'!D102</f>
        <v>5114260</v>
      </c>
      <c r="E101" s="36">
        <f>+'3.งบบุคลากร (GF)'!E102</f>
        <v>0</v>
      </c>
      <c r="F101" s="36">
        <f>+'3.งบบุคลากร (GF)'!F102</f>
        <v>818030</v>
      </c>
      <c r="G101" s="50">
        <f t="shared" si="13"/>
        <v>4296230</v>
      </c>
      <c r="H101" s="38">
        <f t="shared" si="14"/>
        <v>15.995080422192068</v>
      </c>
      <c r="I101" s="36">
        <f>+'4. งบดำเนินงาน (GF)'!D102</f>
        <v>3252496</v>
      </c>
      <c r="J101" s="36">
        <f>+'4. งบดำเนินงาน (GF)'!E102</f>
        <v>0</v>
      </c>
      <c r="K101" s="36">
        <f>+'4. งบดำเนินงาน (GF)'!F102</f>
        <v>88047.6</v>
      </c>
      <c r="L101" s="37">
        <f t="shared" si="15"/>
        <v>3164448.4</v>
      </c>
      <c r="M101" s="38">
        <f t="shared" si="16"/>
        <v>2.7070778872595076</v>
      </c>
      <c r="N101" s="36">
        <f>+'5.งบลงทุน'!F102</f>
        <v>491500</v>
      </c>
      <c r="O101" s="36">
        <f>+'5.งบลงทุน'!G102</f>
        <v>17900</v>
      </c>
      <c r="P101" s="36">
        <f>+'5.งบลงทุน'!H102</f>
        <v>429448</v>
      </c>
      <c r="Q101" s="37">
        <f t="shared" si="17"/>
        <v>44152</v>
      </c>
      <c r="R101" s="38">
        <f t="shared" si="18"/>
        <v>87.374974567650057</v>
      </c>
      <c r="S101" s="36">
        <f>+'6.งบรายจ่ายอื่น (GF)'!D101</f>
        <v>80000</v>
      </c>
      <c r="T101" s="36">
        <f>+'6.งบรายจ่ายอื่น (GF)'!E101</f>
        <v>0</v>
      </c>
      <c r="U101" s="36">
        <f>+'6.งบรายจ่ายอื่น (GF)'!F101</f>
        <v>0</v>
      </c>
      <c r="V101" s="37">
        <f t="shared" si="19"/>
        <v>80000</v>
      </c>
      <c r="W101" s="38">
        <f t="shared" si="20"/>
        <v>0</v>
      </c>
      <c r="X101" s="36">
        <f t="shared" si="21"/>
        <v>8938256</v>
      </c>
      <c r="Y101" s="36">
        <f t="shared" si="22"/>
        <v>17900</v>
      </c>
      <c r="Z101" s="36">
        <f t="shared" si="23"/>
        <v>1335525.6000000001</v>
      </c>
      <c r="AA101" s="50">
        <f t="shared" si="24"/>
        <v>7584830.4000000004</v>
      </c>
      <c r="AB101" s="38">
        <f t="shared" si="25"/>
        <v>14.941679898181482</v>
      </c>
      <c r="AC101" s="228" t="s">
        <v>383</v>
      </c>
    </row>
    <row r="102" spans="1:29" s="30" customFormat="1" ht="35.25" customHeight="1" thickBot="1" x14ac:dyDescent="0.55000000000000004">
      <c r="A102" s="44">
        <v>96</v>
      </c>
      <c r="B102" s="45" t="s">
        <v>115</v>
      </c>
      <c r="C102" s="46" t="s">
        <v>163</v>
      </c>
      <c r="D102" s="36">
        <f>+'3.งบบุคลากร (GF)'!D103</f>
        <v>4133632</v>
      </c>
      <c r="E102" s="36">
        <f>+'3.งบบุคลากร (GF)'!E103</f>
        <v>0</v>
      </c>
      <c r="F102" s="36">
        <f>+'3.งบบุคลากร (GF)'!F103</f>
        <v>638925.80000000005</v>
      </c>
      <c r="G102" s="50">
        <f t="shared" si="13"/>
        <v>3494706.2</v>
      </c>
      <c r="H102" s="38">
        <f t="shared" si="14"/>
        <v>15.456765382114327</v>
      </c>
      <c r="I102" s="36">
        <f>+'4. งบดำเนินงาน (GF)'!D103</f>
        <v>2419853</v>
      </c>
      <c r="J102" s="36">
        <f>+'4. งบดำเนินงาน (GF)'!E103</f>
        <v>532209.55000000005</v>
      </c>
      <c r="K102" s="36">
        <f>+'4. งบดำเนินงาน (GF)'!F103</f>
        <v>75698.960000000006</v>
      </c>
      <c r="L102" s="37">
        <f t="shared" si="15"/>
        <v>1811944.49</v>
      </c>
      <c r="M102" s="38">
        <f t="shared" si="16"/>
        <v>3.1282462199150118</v>
      </c>
      <c r="N102" s="36">
        <f>+'5.งบลงทุน'!F103</f>
        <v>185300</v>
      </c>
      <c r="O102" s="36">
        <f>+'5.งบลงทุน'!G103</f>
        <v>168590</v>
      </c>
      <c r="P102" s="36">
        <f>+'5.งบลงทุน'!H103</f>
        <v>0</v>
      </c>
      <c r="Q102" s="37">
        <f t="shared" si="17"/>
        <v>16710</v>
      </c>
      <c r="R102" s="38">
        <f t="shared" si="18"/>
        <v>0</v>
      </c>
      <c r="S102" s="36">
        <f>+'6.งบรายจ่ายอื่น (GF)'!D102</f>
        <v>35000</v>
      </c>
      <c r="T102" s="36">
        <f>+'6.งบรายจ่ายอื่น (GF)'!E102</f>
        <v>0</v>
      </c>
      <c r="U102" s="36">
        <f>+'6.งบรายจ่ายอื่น (GF)'!F102</f>
        <v>0</v>
      </c>
      <c r="V102" s="37">
        <f t="shared" si="19"/>
        <v>35000</v>
      </c>
      <c r="W102" s="38">
        <f t="shared" si="20"/>
        <v>0</v>
      </c>
      <c r="X102" s="36">
        <f t="shared" si="21"/>
        <v>6773785</v>
      </c>
      <c r="Y102" s="36">
        <f t="shared" si="22"/>
        <v>700799.55</v>
      </c>
      <c r="Z102" s="36">
        <f t="shared" si="23"/>
        <v>714624.76</v>
      </c>
      <c r="AA102" s="50">
        <f t="shared" si="24"/>
        <v>5358360.6900000004</v>
      </c>
      <c r="AB102" s="38">
        <f t="shared" si="25"/>
        <v>10.549858904585841</v>
      </c>
      <c r="AC102" s="228"/>
    </row>
    <row r="103" spans="1:29" s="35" customFormat="1" ht="35.25" customHeight="1" thickBot="1" x14ac:dyDescent="0.55000000000000004">
      <c r="A103" s="1142" t="s">
        <v>164</v>
      </c>
      <c r="B103" s="1143"/>
      <c r="C103" s="1144"/>
      <c r="D103" s="32">
        <f>SUM(D7:D102)</f>
        <v>695026000</v>
      </c>
      <c r="E103" s="32">
        <f>SUM(E7:E102)</f>
        <v>0</v>
      </c>
      <c r="F103" s="32">
        <f>SUM(F7:F102)</f>
        <v>109106629.46999997</v>
      </c>
      <c r="G103" s="33">
        <f>SUM(G7:G102)</f>
        <v>585919370.52999997</v>
      </c>
      <c r="H103" s="34">
        <f>F103*100/D103</f>
        <v>15.698208336091019</v>
      </c>
      <c r="I103" s="32">
        <f>SUM(I7:I102)</f>
        <v>216270500</v>
      </c>
      <c r="J103" s="32">
        <f>SUM(J7:J102)</f>
        <v>11020747.960000001</v>
      </c>
      <c r="K103" s="32">
        <f>SUM(K7:K102)</f>
        <v>8016568.5899999999</v>
      </c>
      <c r="L103" s="32">
        <f>SUM(L7:L102)</f>
        <v>197233183.45000002</v>
      </c>
      <c r="M103" s="34">
        <f>K103*100/I103</f>
        <v>3.7067323513840305</v>
      </c>
      <c r="N103" s="32">
        <f>SUM(N7:N102)</f>
        <v>68223500</v>
      </c>
      <c r="O103" s="32">
        <f>SUM(O7:O102)</f>
        <v>7587410</v>
      </c>
      <c r="P103" s="32">
        <f>SUM(P7:P102)</f>
        <v>1322506.5</v>
      </c>
      <c r="Q103" s="32">
        <f>SUM(Q7:Q102)</f>
        <v>59313583.5</v>
      </c>
      <c r="R103" s="34">
        <f>P103*100/N103</f>
        <v>1.9384911357523433</v>
      </c>
      <c r="S103" s="32">
        <f>SUM(S7:S102)</f>
        <v>14396800</v>
      </c>
      <c r="T103" s="32">
        <f>SUM(T7:T102)</f>
        <v>0</v>
      </c>
      <c r="U103" s="32">
        <f>SUM(U7:U102)</f>
        <v>0</v>
      </c>
      <c r="V103" s="32">
        <f>SUM(V7:V102)</f>
        <v>14396800</v>
      </c>
      <c r="W103" s="34">
        <f>U103*100/S103</f>
        <v>0</v>
      </c>
      <c r="X103" s="32">
        <f>SUM(X7:X102)</f>
        <v>993916800</v>
      </c>
      <c r="Y103" s="32">
        <f>SUM(Y7:Y102)</f>
        <v>18608157.960000001</v>
      </c>
      <c r="Z103" s="32">
        <f>SUM(Z7:Z102)</f>
        <v>118445704.55999999</v>
      </c>
      <c r="AA103" s="32">
        <f>SUM(AA7:AA102)</f>
        <v>856862937.48000002</v>
      </c>
      <c r="AB103" s="34">
        <f>+Z103*100/X103</f>
        <v>11.91706434180406</v>
      </c>
      <c r="AC103" s="229"/>
    </row>
    <row r="104" spans="1:29" s="839" customFormat="1" ht="24" thickTop="1" x14ac:dyDescent="0.5">
      <c r="A104" s="49" t="s">
        <v>165</v>
      </c>
      <c r="B104" s="49"/>
      <c r="C104" s="49" t="s">
        <v>848</v>
      </c>
      <c r="D104" s="838"/>
      <c r="E104" s="838"/>
      <c r="F104" s="18"/>
      <c r="G104" s="838"/>
      <c r="I104" s="838"/>
      <c r="J104" s="838"/>
      <c r="K104" s="18"/>
      <c r="L104" s="838"/>
      <c r="N104" s="838"/>
      <c r="O104" s="838"/>
      <c r="P104" s="18"/>
      <c r="Q104" s="838"/>
      <c r="S104" s="838"/>
      <c r="T104" s="838"/>
      <c r="U104" s="18"/>
      <c r="V104" s="838"/>
      <c r="X104" s="838"/>
      <c r="Y104" s="838"/>
      <c r="Z104" s="18"/>
      <c r="AA104" s="838"/>
    </row>
  </sheetData>
  <mergeCells count="11">
    <mergeCell ref="B7:C7"/>
    <mergeCell ref="A103:C103"/>
    <mergeCell ref="S4:W4"/>
    <mergeCell ref="X4:AB4"/>
    <mergeCell ref="A1:AB1"/>
    <mergeCell ref="A2:AB2"/>
    <mergeCell ref="A3:AB3"/>
    <mergeCell ref="B4:C6"/>
    <mergeCell ref="D4:H4"/>
    <mergeCell ref="I4:M4"/>
    <mergeCell ref="N4:R4"/>
  </mergeCells>
  <pageMargins left="0.27559055118110237" right="0.27559055118110237" top="0.47244094488188981" bottom="0.43307086614173229" header="0.31496062992125984" footer="0.23622047244094491"/>
  <pageSetup paperSize="5" scale="42" orientation="landscape" r:id="rId1"/>
  <headerFooter>
    <oddFooter>&amp;Lกลุ่มงานบัญชีและงบประมาณ&amp;Rหน้าที่ &amp;P จาก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30"/>
  <sheetViews>
    <sheetView zoomScale="110" zoomScaleNormal="110" workbookViewId="0">
      <selection activeCell="A4" sqref="A4:H4"/>
    </sheetView>
  </sheetViews>
  <sheetFormatPr defaultRowHeight="27.75" x14ac:dyDescent="0.65"/>
  <cols>
    <col min="1" max="1" width="6.85546875" style="646" customWidth="1"/>
    <col min="2" max="2" width="4.7109375" style="647" customWidth="1"/>
    <col min="3" max="3" width="12.5703125" style="648" customWidth="1"/>
    <col min="4" max="4" width="19.28515625" style="646" bestFit="1" customWidth="1"/>
    <col min="5" max="5" width="15.28515625" style="646" customWidth="1"/>
    <col min="6" max="6" width="18.7109375" style="646" bestFit="1" customWidth="1"/>
    <col min="7" max="7" width="18.85546875" style="638" bestFit="1" customWidth="1"/>
    <col min="8" max="8" width="15" style="639" customWidth="1"/>
    <col min="9" max="9" width="18.140625" style="645" hidden="1" customWidth="1"/>
    <col min="10" max="11" width="16.42578125" style="645" hidden="1" customWidth="1"/>
    <col min="12" max="12" width="14.7109375" style="645" bestFit="1" customWidth="1"/>
    <col min="13" max="13" width="9.140625" style="645" customWidth="1"/>
    <col min="14" max="34" width="9.140625" style="646" customWidth="1"/>
    <col min="35" max="16384" width="9.140625" style="646"/>
  </cols>
  <sheetData>
    <row r="1" spans="1:13" s="639" customFormat="1" x14ac:dyDescent="0.65">
      <c r="A1" s="1153" t="s">
        <v>57</v>
      </c>
      <c r="B1" s="1153"/>
      <c r="C1" s="1153"/>
      <c r="D1" s="1153"/>
      <c r="E1" s="1153"/>
      <c r="F1" s="1153"/>
      <c r="G1" s="1153"/>
      <c r="H1" s="1153"/>
      <c r="I1" s="638"/>
      <c r="J1" s="638"/>
      <c r="K1" s="638"/>
      <c r="L1" s="638"/>
      <c r="M1" s="638"/>
    </row>
    <row r="2" spans="1:13" s="639" customFormat="1" x14ac:dyDescent="0.65">
      <c r="A2" s="1154" t="s">
        <v>1085</v>
      </c>
      <c r="B2" s="1154"/>
      <c r="C2" s="1154"/>
      <c r="D2" s="1154"/>
      <c r="E2" s="1154"/>
      <c r="F2" s="1154"/>
      <c r="G2" s="1154"/>
      <c r="H2" s="1154"/>
      <c r="I2" s="638"/>
      <c r="J2" s="638"/>
      <c r="K2" s="638"/>
      <c r="L2" s="638"/>
      <c r="M2" s="638"/>
    </row>
    <row r="3" spans="1:13" s="639" customFormat="1" hidden="1" x14ac:dyDescent="0.65">
      <c r="A3" s="1155" t="s">
        <v>259</v>
      </c>
      <c r="B3" s="1155"/>
      <c r="C3" s="1155"/>
      <c r="D3" s="1155"/>
      <c r="E3" s="1155"/>
      <c r="F3" s="1155"/>
      <c r="G3" s="1155"/>
      <c r="H3" s="1155"/>
      <c r="I3" s="638"/>
      <c r="J3" s="638"/>
      <c r="K3" s="638"/>
      <c r="L3" s="638"/>
      <c r="M3" s="638"/>
    </row>
    <row r="4" spans="1:13" s="639" customFormat="1" x14ac:dyDescent="0.65">
      <c r="A4" s="1155" t="s">
        <v>282</v>
      </c>
      <c r="B4" s="1155"/>
      <c r="C4" s="1155"/>
      <c r="D4" s="1155"/>
      <c r="E4" s="1155"/>
      <c r="F4" s="1155"/>
      <c r="G4" s="1155"/>
      <c r="H4" s="1155"/>
      <c r="I4" s="638"/>
      <c r="J4" s="638"/>
      <c r="K4" s="638"/>
      <c r="L4" s="638"/>
      <c r="M4" s="638"/>
    </row>
    <row r="5" spans="1:13" s="639" customFormat="1" x14ac:dyDescent="0.65">
      <c r="A5" s="1156" t="str">
        <f>+รายจ่ายจริง!A3:P3</f>
        <v>ตั้งแต่วันที่ 1  ตุลาคม 2564 ถึงวันที่ 31 ตุลาคม 2564</v>
      </c>
      <c r="B5" s="1155"/>
      <c r="C5" s="1155"/>
      <c r="D5" s="1155"/>
      <c r="E5" s="1155"/>
      <c r="F5" s="1155"/>
      <c r="G5" s="1155"/>
      <c r="H5" s="1155"/>
      <c r="I5" s="638" t="s">
        <v>183</v>
      </c>
      <c r="J5" s="638"/>
      <c r="K5" s="638"/>
      <c r="L5" s="638"/>
      <c r="M5" s="638"/>
    </row>
    <row r="6" spans="1:13" s="639" customFormat="1" x14ac:dyDescent="0.65">
      <c r="A6" s="1157" t="s">
        <v>0</v>
      </c>
      <c r="B6" s="1157" t="s">
        <v>1</v>
      </c>
      <c r="C6" s="1157"/>
      <c r="D6" s="640" t="s">
        <v>67</v>
      </c>
      <c r="E6" s="641" t="s">
        <v>109</v>
      </c>
      <c r="F6" s="640" t="s">
        <v>110</v>
      </c>
      <c r="G6" s="642" t="s">
        <v>60</v>
      </c>
      <c r="H6" s="989" t="s">
        <v>66</v>
      </c>
      <c r="I6" s="638"/>
      <c r="J6" s="638"/>
      <c r="K6" s="638"/>
      <c r="L6" s="638"/>
      <c r="M6" s="638"/>
    </row>
    <row r="7" spans="1:13" s="639" customFormat="1" x14ac:dyDescent="0.65">
      <c r="A7" s="1157"/>
      <c r="B7" s="1157"/>
      <c r="C7" s="1157"/>
      <c r="D7" s="643" t="s">
        <v>2</v>
      </c>
      <c r="E7" s="643" t="s">
        <v>2</v>
      </c>
      <c r="F7" s="643" t="s">
        <v>2</v>
      </c>
      <c r="G7" s="644" t="s">
        <v>2</v>
      </c>
      <c r="H7" s="990" t="s">
        <v>111</v>
      </c>
      <c r="I7" s="638"/>
      <c r="J7" s="638"/>
      <c r="K7" s="638"/>
      <c r="L7" s="638"/>
      <c r="M7" s="638"/>
    </row>
    <row r="8" spans="1:13" s="276" customFormat="1" ht="24" x14ac:dyDescent="0.55000000000000004">
      <c r="A8" s="273">
        <v>1</v>
      </c>
      <c r="B8" s="74" t="s">
        <v>112</v>
      </c>
      <c r="C8" s="274"/>
      <c r="D8" s="427">
        <v>446566804</v>
      </c>
      <c r="E8" s="416">
        <v>0</v>
      </c>
      <c r="F8" s="427">
        <v>73302504.729999989</v>
      </c>
      <c r="G8" s="288">
        <f>+D8-E8-F8</f>
        <v>373264299.26999998</v>
      </c>
      <c r="H8" s="287">
        <f>F8*100/D8</f>
        <v>16.414678402741281</v>
      </c>
      <c r="I8" s="281">
        <v>1397262100</v>
      </c>
      <c r="J8" s="281">
        <f>+D104</f>
        <v>695026000</v>
      </c>
      <c r="K8" s="281">
        <f>+I8-J8</f>
        <v>702236100</v>
      </c>
      <c r="L8" s="281"/>
      <c r="M8" s="281"/>
    </row>
    <row r="9" spans="1:13" s="276" customFormat="1" ht="24" x14ac:dyDescent="0.55000000000000004">
      <c r="A9" s="273">
        <v>2</v>
      </c>
      <c r="B9" s="74" t="s">
        <v>113</v>
      </c>
      <c r="C9" s="274" t="s">
        <v>114</v>
      </c>
      <c r="D9" s="427">
        <v>8458319</v>
      </c>
      <c r="E9" s="416">
        <v>0</v>
      </c>
      <c r="F9" s="427">
        <v>1092680.6399999999</v>
      </c>
      <c r="G9" s="288">
        <f t="shared" ref="G9:G72" si="0">+D9-E9-F9</f>
        <v>7365638.3600000003</v>
      </c>
      <c r="H9" s="287">
        <f t="shared" ref="H9:H72" si="1">F9*100/D9</f>
        <v>12.918413694257687</v>
      </c>
      <c r="I9" s="281"/>
      <c r="J9" s="281"/>
      <c r="K9" s="281"/>
      <c r="L9" s="281"/>
      <c r="M9" s="281"/>
    </row>
    <row r="10" spans="1:13" s="276" customFormat="1" ht="24" x14ac:dyDescent="0.55000000000000004">
      <c r="A10" s="273">
        <v>3</v>
      </c>
      <c r="B10" s="74" t="s">
        <v>115</v>
      </c>
      <c r="C10" s="274" t="s">
        <v>18</v>
      </c>
      <c r="D10" s="427">
        <v>6342305</v>
      </c>
      <c r="E10" s="416">
        <v>0</v>
      </c>
      <c r="F10" s="427">
        <v>956853.55</v>
      </c>
      <c r="G10" s="288">
        <f t="shared" si="0"/>
        <v>5385451.4500000002</v>
      </c>
      <c r="H10" s="287">
        <f t="shared" si="1"/>
        <v>15.086842244262929</v>
      </c>
      <c r="I10" s="281"/>
      <c r="J10" s="281"/>
      <c r="K10" s="281"/>
      <c r="L10" s="281"/>
      <c r="M10" s="281"/>
    </row>
    <row r="11" spans="1:13" s="276" customFormat="1" ht="24" x14ac:dyDescent="0.55000000000000004">
      <c r="A11" s="273">
        <v>4</v>
      </c>
      <c r="B11" s="74" t="s">
        <v>115</v>
      </c>
      <c r="C11" s="274" t="s">
        <v>76</v>
      </c>
      <c r="D11" s="427">
        <v>2607638</v>
      </c>
      <c r="E11" s="416">
        <v>0</v>
      </c>
      <c r="F11" s="427">
        <v>341740</v>
      </c>
      <c r="G11" s="288">
        <f t="shared" si="0"/>
        <v>2265898</v>
      </c>
      <c r="H11" s="287">
        <f t="shared" si="1"/>
        <v>13.105346677721371</v>
      </c>
      <c r="I11" s="281"/>
      <c r="J11" s="281"/>
      <c r="K11" s="281"/>
      <c r="L11" s="281"/>
      <c r="M11" s="281"/>
    </row>
    <row r="12" spans="1:13" s="276" customFormat="1" ht="24" x14ac:dyDescent="0.55000000000000004">
      <c r="A12" s="273">
        <v>5</v>
      </c>
      <c r="B12" s="74" t="s">
        <v>115</v>
      </c>
      <c r="C12" s="274" t="s">
        <v>116</v>
      </c>
      <c r="D12" s="427">
        <v>2808815</v>
      </c>
      <c r="E12" s="416">
        <v>0</v>
      </c>
      <c r="F12" s="427">
        <v>448143.87</v>
      </c>
      <c r="G12" s="288">
        <f t="shared" si="0"/>
        <v>2360671.13</v>
      </c>
      <c r="H12" s="287">
        <f t="shared" si="1"/>
        <v>15.954908742654821</v>
      </c>
      <c r="I12" s="281"/>
      <c r="J12" s="281"/>
      <c r="K12" s="281"/>
      <c r="L12" s="281"/>
      <c r="M12" s="281"/>
    </row>
    <row r="13" spans="1:13" s="276" customFormat="1" ht="24" x14ac:dyDescent="0.55000000000000004">
      <c r="A13" s="273">
        <v>6</v>
      </c>
      <c r="B13" s="74" t="s">
        <v>115</v>
      </c>
      <c r="C13" s="274" t="s">
        <v>73</v>
      </c>
      <c r="D13" s="427">
        <v>2654616</v>
      </c>
      <c r="E13" s="416">
        <v>0</v>
      </c>
      <c r="F13" s="427">
        <v>407340</v>
      </c>
      <c r="G13" s="288">
        <f t="shared" si="0"/>
        <v>2247276</v>
      </c>
      <c r="H13" s="287">
        <f t="shared" si="1"/>
        <v>15.344592212206964</v>
      </c>
      <c r="I13" s="281"/>
      <c r="J13" s="281"/>
      <c r="K13" s="281"/>
      <c r="L13" s="281"/>
      <c r="M13" s="281"/>
    </row>
    <row r="14" spans="1:13" s="276" customFormat="1" ht="24" x14ac:dyDescent="0.55000000000000004">
      <c r="A14" s="273">
        <v>7</v>
      </c>
      <c r="B14" s="74" t="s">
        <v>115</v>
      </c>
      <c r="C14" s="274" t="s">
        <v>106</v>
      </c>
      <c r="D14" s="427">
        <v>2734176</v>
      </c>
      <c r="E14" s="416">
        <v>0</v>
      </c>
      <c r="F14" s="427">
        <v>426826.45</v>
      </c>
      <c r="G14" s="288">
        <f t="shared" si="0"/>
        <v>2307349.5499999998</v>
      </c>
      <c r="H14" s="287">
        <f t="shared" si="1"/>
        <v>15.610789137202579</v>
      </c>
      <c r="I14" s="281">
        <v>1393000</v>
      </c>
      <c r="J14" s="281">
        <v>1393000</v>
      </c>
      <c r="K14" s="281"/>
      <c r="L14" s="281"/>
      <c r="M14" s="281"/>
    </row>
    <row r="15" spans="1:13" s="276" customFormat="1" ht="24" x14ac:dyDescent="0.55000000000000004">
      <c r="A15" s="273">
        <v>8</v>
      </c>
      <c r="B15" s="74" t="s">
        <v>115</v>
      </c>
      <c r="C15" s="274" t="s">
        <v>117</v>
      </c>
      <c r="D15" s="427">
        <v>5427503</v>
      </c>
      <c r="E15" s="416">
        <v>0</v>
      </c>
      <c r="F15" s="427">
        <v>665640</v>
      </c>
      <c r="G15" s="288">
        <f t="shared" si="0"/>
        <v>4761863</v>
      </c>
      <c r="H15" s="287">
        <f t="shared" si="1"/>
        <v>12.264203262531591</v>
      </c>
      <c r="I15" s="281"/>
      <c r="J15" s="281"/>
      <c r="K15" s="281"/>
      <c r="L15" s="281"/>
      <c r="M15" s="281"/>
    </row>
    <row r="16" spans="1:13" s="276" customFormat="1" ht="24" x14ac:dyDescent="0.55000000000000004">
      <c r="A16" s="273">
        <v>9</v>
      </c>
      <c r="B16" s="74" t="s">
        <v>115</v>
      </c>
      <c r="C16" s="274" t="s">
        <v>118</v>
      </c>
      <c r="D16" s="427">
        <v>4900402</v>
      </c>
      <c r="E16" s="416">
        <v>0</v>
      </c>
      <c r="F16" s="427">
        <v>795529.03</v>
      </c>
      <c r="G16" s="288">
        <f t="shared" si="0"/>
        <v>4104872.9699999997</v>
      </c>
      <c r="H16" s="287">
        <f t="shared" si="1"/>
        <v>16.233954479652894</v>
      </c>
      <c r="I16" s="281"/>
      <c r="J16" s="281"/>
      <c r="K16" s="281"/>
      <c r="L16" s="281"/>
      <c r="M16" s="281"/>
    </row>
    <row r="17" spans="1:13" s="276" customFormat="1" ht="24" x14ac:dyDescent="0.55000000000000004">
      <c r="A17" s="273">
        <v>10</v>
      </c>
      <c r="B17" s="74" t="s">
        <v>115</v>
      </c>
      <c r="C17" s="274" t="s">
        <v>119</v>
      </c>
      <c r="D17" s="427">
        <v>6783318</v>
      </c>
      <c r="E17" s="416">
        <v>0</v>
      </c>
      <c r="F17" s="427">
        <v>1074183.22</v>
      </c>
      <c r="G17" s="288">
        <f t="shared" si="0"/>
        <v>5709134.7800000003</v>
      </c>
      <c r="H17" s="287">
        <f t="shared" si="1"/>
        <v>15.835660660461444</v>
      </c>
      <c r="I17" s="281"/>
      <c r="J17" s="281"/>
      <c r="K17" s="281"/>
      <c r="L17" s="281"/>
      <c r="M17" s="281"/>
    </row>
    <row r="18" spans="1:13" s="276" customFormat="1" ht="24" x14ac:dyDescent="0.55000000000000004">
      <c r="A18" s="273">
        <v>11</v>
      </c>
      <c r="B18" s="74" t="s">
        <v>115</v>
      </c>
      <c r="C18" s="274" t="s">
        <v>120</v>
      </c>
      <c r="D18" s="427">
        <v>5557043</v>
      </c>
      <c r="E18" s="416">
        <v>0</v>
      </c>
      <c r="F18" s="427">
        <v>740483.87</v>
      </c>
      <c r="G18" s="288">
        <f t="shared" si="0"/>
        <v>4816559.13</v>
      </c>
      <c r="H18" s="287">
        <f t="shared" si="1"/>
        <v>13.325141986484539</v>
      </c>
      <c r="I18" s="281"/>
      <c r="J18" s="281"/>
      <c r="K18" s="281"/>
      <c r="L18" s="281"/>
      <c r="M18" s="281"/>
    </row>
    <row r="19" spans="1:13" s="276" customFormat="1" ht="24" x14ac:dyDescent="0.55000000000000004">
      <c r="A19" s="273">
        <v>12</v>
      </c>
      <c r="B19" s="74" t="s">
        <v>115</v>
      </c>
      <c r="C19" s="274" t="s">
        <v>121</v>
      </c>
      <c r="D19" s="427">
        <v>6297260</v>
      </c>
      <c r="E19" s="416">
        <v>0</v>
      </c>
      <c r="F19" s="427">
        <v>817023</v>
      </c>
      <c r="G19" s="288">
        <f t="shared" si="0"/>
        <v>5480237</v>
      </c>
      <c r="H19" s="287">
        <f t="shared" si="1"/>
        <v>12.974261821808215</v>
      </c>
      <c r="I19" s="281"/>
      <c r="J19" s="281"/>
      <c r="K19" s="281"/>
      <c r="L19" s="281"/>
      <c r="M19" s="281"/>
    </row>
    <row r="20" spans="1:13" s="276" customFormat="1" ht="24" x14ac:dyDescent="0.55000000000000004">
      <c r="A20" s="273">
        <v>13</v>
      </c>
      <c r="B20" s="74" t="s">
        <v>115</v>
      </c>
      <c r="C20" s="274" t="s">
        <v>122</v>
      </c>
      <c r="D20" s="427">
        <v>5907977</v>
      </c>
      <c r="E20" s="416">
        <v>0</v>
      </c>
      <c r="F20" s="427">
        <v>729569.67</v>
      </c>
      <c r="G20" s="288">
        <f t="shared" si="0"/>
        <v>5178407.33</v>
      </c>
      <c r="H20" s="287">
        <f t="shared" si="1"/>
        <v>12.348891507194425</v>
      </c>
      <c r="I20" s="281"/>
      <c r="J20" s="281"/>
      <c r="K20" s="281"/>
      <c r="L20" s="281"/>
      <c r="M20" s="281"/>
    </row>
    <row r="21" spans="1:13" s="276" customFormat="1" ht="24" x14ac:dyDescent="0.55000000000000004">
      <c r="A21" s="273">
        <v>14</v>
      </c>
      <c r="B21" s="74" t="s">
        <v>115</v>
      </c>
      <c r="C21" s="274" t="s">
        <v>123</v>
      </c>
      <c r="D21" s="427">
        <v>8959202</v>
      </c>
      <c r="E21" s="416">
        <v>0</v>
      </c>
      <c r="F21" s="427">
        <v>1428050</v>
      </c>
      <c r="G21" s="288">
        <f t="shared" si="0"/>
        <v>7531152</v>
      </c>
      <c r="H21" s="287">
        <f t="shared" si="1"/>
        <v>15.939477645442082</v>
      </c>
      <c r="I21" s="281"/>
      <c r="J21" s="281"/>
      <c r="K21" s="281"/>
      <c r="L21" s="281"/>
      <c r="M21" s="281"/>
    </row>
    <row r="22" spans="1:13" s="276" customFormat="1" ht="24" x14ac:dyDescent="0.55000000000000004">
      <c r="A22" s="273">
        <v>15</v>
      </c>
      <c r="B22" s="74" t="s">
        <v>115</v>
      </c>
      <c r="C22" s="274" t="s">
        <v>124</v>
      </c>
      <c r="D22" s="427">
        <v>6574376</v>
      </c>
      <c r="E22" s="416">
        <v>0</v>
      </c>
      <c r="F22" s="427">
        <v>1042545.49</v>
      </c>
      <c r="G22" s="288">
        <f t="shared" si="0"/>
        <v>5531830.5099999998</v>
      </c>
      <c r="H22" s="287">
        <f t="shared" si="1"/>
        <v>15.857710146179652</v>
      </c>
      <c r="I22" s="281"/>
      <c r="J22" s="281"/>
      <c r="K22" s="281"/>
      <c r="L22" s="281"/>
      <c r="M22" s="281"/>
    </row>
    <row r="23" spans="1:13" s="276" customFormat="1" ht="24" x14ac:dyDescent="0.55000000000000004">
      <c r="A23" s="273">
        <v>16</v>
      </c>
      <c r="B23" s="74" t="s">
        <v>115</v>
      </c>
      <c r="C23" s="274" t="s">
        <v>125</v>
      </c>
      <c r="D23" s="427">
        <v>5130925</v>
      </c>
      <c r="E23" s="416">
        <v>0</v>
      </c>
      <c r="F23" s="427">
        <v>826466.67</v>
      </c>
      <c r="G23" s="288">
        <f t="shared" si="0"/>
        <v>4304458.33</v>
      </c>
      <c r="H23" s="287">
        <f t="shared" si="1"/>
        <v>16.10755701944581</v>
      </c>
      <c r="I23" s="281"/>
      <c r="J23" s="281"/>
      <c r="K23" s="281"/>
      <c r="L23" s="281"/>
      <c r="M23" s="281"/>
    </row>
    <row r="24" spans="1:13" s="276" customFormat="1" ht="24" x14ac:dyDescent="0.55000000000000004">
      <c r="A24" s="273">
        <v>17</v>
      </c>
      <c r="B24" s="74" t="s">
        <v>113</v>
      </c>
      <c r="C24" s="274" t="s">
        <v>126</v>
      </c>
      <c r="D24" s="427">
        <v>2713295</v>
      </c>
      <c r="E24" s="416">
        <v>0</v>
      </c>
      <c r="F24" s="427">
        <v>435850</v>
      </c>
      <c r="G24" s="288">
        <f t="shared" si="0"/>
        <v>2277445</v>
      </c>
      <c r="H24" s="287">
        <f t="shared" si="1"/>
        <v>16.063494754532773</v>
      </c>
      <c r="I24" s="281"/>
      <c r="J24" s="281"/>
      <c r="K24" s="281"/>
      <c r="L24" s="281"/>
      <c r="M24" s="281"/>
    </row>
    <row r="25" spans="1:13" s="276" customFormat="1" ht="24" x14ac:dyDescent="0.55000000000000004">
      <c r="A25" s="273">
        <v>18</v>
      </c>
      <c r="B25" s="74" t="s">
        <v>113</v>
      </c>
      <c r="C25" s="274" t="s">
        <v>127</v>
      </c>
      <c r="D25" s="427">
        <v>2017610</v>
      </c>
      <c r="E25" s="416">
        <v>0</v>
      </c>
      <c r="F25" s="427">
        <v>324160</v>
      </c>
      <c r="G25" s="288">
        <f t="shared" si="0"/>
        <v>1693450</v>
      </c>
      <c r="H25" s="287">
        <f t="shared" si="1"/>
        <v>16.066534166662535</v>
      </c>
      <c r="I25" s="281"/>
      <c r="J25" s="281"/>
      <c r="K25" s="281"/>
      <c r="L25" s="281"/>
      <c r="M25" s="281"/>
    </row>
    <row r="26" spans="1:13" s="276" customFormat="1" ht="24" x14ac:dyDescent="0.55000000000000004">
      <c r="A26" s="273">
        <v>19</v>
      </c>
      <c r="B26" s="74" t="s">
        <v>113</v>
      </c>
      <c r="C26" s="274" t="s">
        <v>19</v>
      </c>
      <c r="D26" s="427">
        <v>1515653</v>
      </c>
      <c r="E26" s="416">
        <v>0</v>
      </c>
      <c r="F26" s="427">
        <v>243540</v>
      </c>
      <c r="G26" s="288">
        <f t="shared" si="0"/>
        <v>1272113</v>
      </c>
      <c r="H26" s="287">
        <f t="shared" si="1"/>
        <v>16.068321706881456</v>
      </c>
      <c r="I26" s="281"/>
      <c r="J26" s="281"/>
      <c r="K26" s="281"/>
      <c r="L26" s="281"/>
      <c r="M26" s="281"/>
    </row>
    <row r="27" spans="1:13" s="276" customFormat="1" ht="24" x14ac:dyDescent="0.55000000000000004">
      <c r="A27" s="273">
        <v>20</v>
      </c>
      <c r="B27" s="74" t="s">
        <v>113</v>
      </c>
      <c r="C27" s="274" t="s">
        <v>20</v>
      </c>
      <c r="D27" s="427">
        <v>1829860</v>
      </c>
      <c r="E27" s="416">
        <v>0</v>
      </c>
      <c r="F27" s="427">
        <v>215398.48</v>
      </c>
      <c r="G27" s="288">
        <f t="shared" si="0"/>
        <v>1614461.52</v>
      </c>
      <c r="H27" s="287">
        <f t="shared" si="1"/>
        <v>11.771309280491403</v>
      </c>
      <c r="I27" s="281"/>
      <c r="J27" s="281"/>
      <c r="K27" s="281"/>
      <c r="L27" s="281"/>
      <c r="M27" s="281"/>
    </row>
    <row r="28" spans="1:13" s="276" customFormat="1" ht="24" x14ac:dyDescent="0.55000000000000004">
      <c r="A28" s="273">
        <v>21</v>
      </c>
      <c r="B28" s="74" t="s">
        <v>113</v>
      </c>
      <c r="C28" s="274" t="s">
        <v>128</v>
      </c>
      <c r="D28" s="427">
        <v>1082515</v>
      </c>
      <c r="E28" s="416">
        <v>0</v>
      </c>
      <c r="F28" s="427">
        <v>135430</v>
      </c>
      <c r="G28" s="288">
        <f t="shared" si="0"/>
        <v>947085</v>
      </c>
      <c r="H28" s="287">
        <f t="shared" si="1"/>
        <v>12.510681145295909</v>
      </c>
      <c r="I28" s="281"/>
      <c r="J28" s="281"/>
      <c r="K28" s="281"/>
      <c r="L28" s="281"/>
      <c r="M28" s="281"/>
    </row>
    <row r="29" spans="1:13" s="276" customFormat="1" ht="24" x14ac:dyDescent="0.55000000000000004">
      <c r="A29" s="273">
        <v>22</v>
      </c>
      <c r="B29" s="74" t="s">
        <v>113</v>
      </c>
      <c r="C29" s="274" t="s">
        <v>129</v>
      </c>
      <c r="D29" s="427">
        <v>1086289</v>
      </c>
      <c r="E29" s="416">
        <v>0</v>
      </c>
      <c r="F29" s="427">
        <v>141470</v>
      </c>
      <c r="G29" s="288">
        <f t="shared" si="0"/>
        <v>944819</v>
      </c>
      <c r="H29" s="287">
        <f t="shared" si="1"/>
        <v>13.023237830816662</v>
      </c>
      <c r="I29" s="281"/>
      <c r="J29" s="281"/>
      <c r="K29" s="281"/>
      <c r="L29" s="281"/>
      <c r="M29" s="281"/>
    </row>
    <row r="30" spans="1:13" s="276" customFormat="1" ht="24" x14ac:dyDescent="0.55000000000000004">
      <c r="A30" s="273">
        <v>23</v>
      </c>
      <c r="B30" s="74" t="s">
        <v>113</v>
      </c>
      <c r="C30" s="274" t="s">
        <v>130</v>
      </c>
      <c r="D30" s="427">
        <v>1828125</v>
      </c>
      <c r="E30" s="416">
        <v>0</v>
      </c>
      <c r="F30" s="427">
        <v>288220</v>
      </c>
      <c r="G30" s="288">
        <f t="shared" si="0"/>
        <v>1539905</v>
      </c>
      <c r="H30" s="287">
        <f t="shared" si="1"/>
        <v>15.765880341880342</v>
      </c>
      <c r="I30" s="281"/>
      <c r="J30" s="281"/>
      <c r="K30" s="281"/>
      <c r="L30" s="281"/>
      <c r="M30" s="281"/>
    </row>
    <row r="31" spans="1:13" s="276" customFormat="1" ht="24" x14ac:dyDescent="0.55000000000000004">
      <c r="A31" s="273">
        <v>24</v>
      </c>
      <c r="B31" s="74" t="s">
        <v>113</v>
      </c>
      <c r="C31" s="274" t="s">
        <v>21</v>
      </c>
      <c r="D31" s="427">
        <v>3637338</v>
      </c>
      <c r="E31" s="416">
        <v>0</v>
      </c>
      <c r="F31" s="427">
        <v>576090</v>
      </c>
      <c r="G31" s="288">
        <f t="shared" si="0"/>
        <v>3061248</v>
      </c>
      <c r="H31" s="287">
        <f t="shared" si="1"/>
        <v>15.838231145964439</v>
      </c>
      <c r="I31" s="281"/>
      <c r="J31" s="281"/>
      <c r="K31" s="281"/>
      <c r="L31" s="281"/>
      <c r="M31" s="281"/>
    </row>
    <row r="32" spans="1:13" s="276" customFormat="1" ht="24" x14ac:dyDescent="0.55000000000000004">
      <c r="A32" s="273">
        <v>25</v>
      </c>
      <c r="B32" s="74" t="s">
        <v>113</v>
      </c>
      <c r="C32" s="274" t="s">
        <v>22</v>
      </c>
      <c r="D32" s="427">
        <v>1489176</v>
      </c>
      <c r="E32" s="416">
        <v>0</v>
      </c>
      <c r="F32" s="427">
        <v>197585.81</v>
      </c>
      <c r="G32" s="288">
        <f t="shared" si="0"/>
        <v>1291590.19</v>
      </c>
      <c r="H32" s="287">
        <f t="shared" si="1"/>
        <v>13.268130160572021</v>
      </c>
      <c r="I32" s="281"/>
      <c r="J32" s="281"/>
      <c r="K32" s="281"/>
      <c r="L32" s="281"/>
      <c r="M32" s="281"/>
    </row>
    <row r="33" spans="1:13" s="276" customFormat="1" ht="24" x14ac:dyDescent="0.55000000000000004">
      <c r="A33" s="273">
        <v>26</v>
      </c>
      <c r="B33" s="74" t="s">
        <v>113</v>
      </c>
      <c r="C33" s="274" t="s">
        <v>131</v>
      </c>
      <c r="D33" s="427">
        <v>954170</v>
      </c>
      <c r="E33" s="416">
        <v>0</v>
      </c>
      <c r="F33" s="427">
        <v>125720</v>
      </c>
      <c r="G33" s="288">
        <f t="shared" si="0"/>
        <v>828450</v>
      </c>
      <c r="H33" s="287">
        <f t="shared" si="1"/>
        <v>13.175849167339154</v>
      </c>
      <c r="I33" s="281"/>
      <c r="J33" s="281"/>
      <c r="K33" s="281"/>
      <c r="L33" s="281"/>
      <c r="M33" s="281"/>
    </row>
    <row r="34" spans="1:13" s="276" customFormat="1" ht="24" x14ac:dyDescent="0.55000000000000004">
      <c r="A34" s="273">
        <v>27</v>
      </c>
      <c r="B34" s="74" t="s">
        <v>113</v>
      </c>
      <c r="C34" s="274" t="s">
        <v>132</v>
      </c>
      <c r="D34" s="427">
        <v>974029</v>
      </c>
      <c r="E34" s="416">
        <v>0</v>
      </c>
      <c r="F34" s="427">
        <v>123460</v>
      </c>
      <c r="G34" s="288">
        <f t="shared" si="0"/>
        <v>850569</v>
      </c>
      <c r="H34" s="287">
        <f t="shared" si="1"/>
        <v>12.675187289084821</v>
      </c>
      <c r="I34" s="281"/>
      <c r="J34" s="281"/>
      <c r="K34" s="281"/>
      <c r="L34" s="281"/>
      <c r="M34" s="281"/>
    </row>
    <row r="35" spans="1:13" s="276" customFormat="1" ht="24" x14ac:dyDescent="0.55000000000000004">
      <c r="A35" s="273">
        <v>28</v>
      </c>
      <c r="B35" s="74" t="s">
        <v>113</v>
      </c>
      <c r="C35" s="274" t="s">
        <v>23</v>
      </c>
      <c r="D35" s="427">
        <v>3027160</v>
      </c>
      <c r="E35" s="416">
        <v>0</v>
      </c>
      <c r="F35" s="427">
        <v>387230</v>
      </c>
      <c r="G35" s="288">
        <f t="shared" si="0"/>
        <v>2639930</v>
      </c>
      <c r="H35" s="287">
        <f t="shared" si="1"/>
        <v>12.791857714821813</v>
      </c>
      <c r="I35" s="281"/>
      <c r="J35" s="281"/>
      <c r="K35" s="281"/>
      <c r="L35" s="281"/>
      <c r="M35" s="281"/>
    </row>
    <row r="36" spans="1:13" s="276" customFormat="1" ht="24" x14ac:dyDescent="0.55000000000000004">
      <c r="A36" s="273">
        <v>29</v>
      </c>
      <c r="B36" s="74" t="s">
        <v>113</v>
      </c>
      <c r="C36" s="274" t="s">
        <v>24</v>
      </c>
      <c r="D36" s="427">
        <v>2270199</v>
      </c>
      <c r="E36" s="416">
        <v>0</v>
      </c>
      <c r="F36" s="427">
        <v>380306.13</v>
      </c>
      <c r="G36" s="288">
        <f t="shared" si="0"/>
        <v>1889892.87</v>
      </c>
      <c r="H36" s="287">
        <f t="shared" si="1"/>
        <v>16.75210543216696</v>
      </c>
      <c r="I36" s="281"/>
      <c r="J36" s="281"/>
      <c r="K36" s="281"/>
      <c r="L36" s="281"/>
      <c r="M36" s="281"/>
    </row>
    <row r="37" spans="1:13" s="276" customFormat="1" ht="24" x14ac:dyDescent="0.55000000000000004">
      <c r="A37" s="273">
        <v>30</v>
      </c>
      <c r="B37" s="74" t="s">
        <v>113</v>
      </c>
      <c r="C37" s="274" t="s">
        <v>25</v>
      </c>
      <c r="D37" s="427">
        <v>1533276</v>
      </c>
      <c r="E37" s="416">
        <v>0</v>
      </c>
      <c r="F37" s="427">
        <v>207630</v>
      </c>
      <c r="G37" s="288">
        <f t="shared" si="0"/>
        <v>1325646</v>
      </c>
      <c r="H37" s="287">
        <f t="shared" si="1"/>
        <v>13.541593294357963</v>
      </c>
      <c r="I37" s="281"/>
      <c r="J37" s="281"/>
      <c r="K37" s="281"/>
      <c r="L37" s="281"/>
      <c r="M37" s="281"/>
    </row>
    <row r="38" spans="1:13" s="276" customFormat="1" ht="24" x14ac:dyDescent="0.55000000000000004">
      <c r="A38" s="273">
        <v>31</v>
      </c>
      <c r="B38" s="74" t="s">
        <v>113</v>
      </c>
      <c r="C38" s="274" t="s">
        <v>181</v>
      </c>
      <c r="D38" s="427">
        <v>1142029</v>
      </c>
      <c r="E38" s="416">
        <v>0</v>
      </c>
      <c r="F38" s="427">
        <v>179395.39</v>
      </c>
      <c r="G38" s="288">
        <f t="shared" si="0"/>
        <v>962633.61</v>
      </c>
      <c r="H38" s="287">
        <f t="shared" si="1"/>
        <v>15.708479381872088</v>
      </c>
      <c r="I38" s="281"/>
      <c r="J38" s="281"/>
      <c r="K38" s="281"/>
      <c r="L38" s="281"/>
      <c r="M38" s="281"/>
    </row>
    <row r="39" spans="1:13" s="276" customFormat="1" ht="24" x14ac:dyDescent="0.55000000000000004">
      <c r="A39" s="273">
        <v>32</v>
      </c>
      <c r="B39" s="74" t="s">
        <v>113</v>
      </c>
      <c r="C39" s="274" t="s">
        <v>26</v>
      </c>
      <c r="D39" s="427">
        <v>3419186</v>
      </c>
      <c r="E39" s="416">
        <v>0</v>
      </c>
      <c r="F39" s="427">
        <v>438530</v>
      </c>
      <c r="G39" s="288">
        <f t="shared" si="0"/>
        <v>2980656</v>
      </c>
      <c r="H39" s="287">
        <f t="shared" si="1"/>
        <v>12.82556725489634</v>
      </c>
      <c r="I39" s="281"/>
      <c r="J39" s="281"/>
      <c r="K39" s="281"/>
      <c r="L39" s="281"/>
      <c r="M39" s="281"/>
    </row>
    <row r="40" spans="1:13" s="276" customFormat="1" ht="24" x14ac:dyDescent="0.55000000000000004">
      <c r="A40" s="273">
        <v>33</v>
      </c>
      <c r="B40" s="74" t="s">
        <v>113</v>
      </c>
      <c r="C40" s="274" t="s">
        <v>27</v>
      </c>
      <c r="D40" s="427">
        <v>660412</v>
      </c>
      <c r="E40" s="416">
        <v>0</v>
      </c>
      <c r="F40" s="427">
        <v>106020</v>
      </c>
      <c r="G40" s="288">
        <f t="shared" si="0"/>
        <v>554392</v>
      </c>
      <c r="H40" s="287">
        <f t="shared" si="1"/>
        <v>16.053615016080872</v>
      </c>
      <c r="I40" s="281"/>
      <c r="J40" s="281"/>
      <c r="K40" s="281"/>
      <c r="L40" s="281"/>
      <c r="M40" s="281"/>
    </row>
    <row r="41" spans="1:13" s="276" customFormat="1" ht="24" x14ac:dyDescent="0.55000000000000004">
      <c r="A41" s="273">
        <v>34</v>
      </c>
      <c r="B41" s="74" t="s">
        <v>113</v>
      </c>
      <c r="C41" s="274" t="s">
        <v>28</v>
      </c>
      <c r="D41" s="427">
        <v>2063979</v>
      </c>
      <c r="E41" s="416">
        <v>0</v>
      </c>
      <c r="F41" s="427">
        <v>265490</v>
      </c>
      <c r="G41" s="288">
        <f t="shared" si="0"/>
        <v>1798489</v>
      </c>
      <c r="H41" s="287">
        <f t="shared" si="1"/>
        <v>12.863018470633664</v>
      </c>
      <c r="I41" s="281"/>
      <c r="J41" s="281"/>
      <c r="K41" s="281"/>
      <c r="L41" s="281"/>
      <c r="M41" s="281"/>
    </row>
    <row r="42" spans="1:13" s="276" customFormat="1" ht="24" x14ac:dyDescent="0.55000000000000004">
      <c r="A42" s="273">
        <v>35</v>
      </c>
      <c r="B42" s="74" t="s">
        <v>113</v>
      </c>
      <c r="C42" s="274" t="s">
        <v>133</v>
      </c>
      <c r="D42" s="427">
        <v>2242844</v>
      </c>
      <c r="E42" s="416">
        <v>0</v>
      </c>
      <c r="F42" s="427">
        <v>288750</v>
      </c>
      <c r="G42" s="288">
        <f t="shared" si="0"/>
        <v>1954094</v>
      </c>
      <c r="H42" s="287">
        <f t="shared" si="1"/>
        <v>12.874279263292498</v>
      </c>
      <c r="I42" s="281"/>
      <c r="J42" s="281"/>
      <c r="K42" s="281"/>
      <c r="L42" s="281"/>
      <c r="M42" s="281"/>
    </row>
    <row r="43" spans="1:13" s="276" customFormat="1" ht="24" x14ac:dyDescent="0.55000000000000004">
      <c r="A43" s="273">
        <v>36</v>
      </c>
      <c r="B43" s="74" t="s">
        <v>113</v>
      </c>
      <c r="C43" s="274" t="s">
        <v>29</v>
      </c>
      <c r="D43" s="427">
        <v>1320409</v>
      </c>
      <c r="E43" s="416">
        <v>0</v>
      </c>
      <c r="F43" s="427">
        <v>209251.6</v>
      </c>
      <c r="G43" s="288">
        <f t="shared" si="0"/>
        <v>1111157.3999999999</v>
      </c>
      <c r="H43" s="287">
        <f t="shared" si="1"/>
        <v>15.847483620605434</v>
      </c>
      <c r="I43" s="281"/>
      <c r="J43" s="281"/>
      <c r="K43" s="281"/>
      <c r="L43" s="281"/>
      <c r="M43" s="281"/>
    </row>
    <row r="44" spans="1:13" s="276" customFormat="1" ht="24" x14ac:dyDescent="0.55000000000000004">
      <c r="A44" s="273">
        <v>37</v>
      </c>
      <c r="B44" s="74" t="s">
        <v>113</v>
      </c>
      <c r="C44" s="274" t="s">
        <v>30</v>
      </c>
      <c r="D44" s="427">
        <v>3194177</v>
      </c>
      <c r="E44" s="416">
        <v>0</v>
      </c>
      <c r="F44" s="427">
        <v>432437.74</v>
      </c>
      <c r="G44" s="288">
        <f t="shared" si="0"/>
        <v>2761739.26</v>
      </c>
      <c r="H44" s="287">
        <f t="shared" si="1"/>
        <v>13.538314877353384</v>
      </c>
      <c r="I44" s="281"/>
      <c r="J44" s="281"/>
      <c r="K44" s="281"/>
      <c r="L44" s="281"/>
      <c r="M44" s="281"/>
    </row>
    <row r="45" spans="1:13" s="276" customFormat="1" ht="24" x14ac:dyDescent="0.55000000000000004">
      <c r="A45" s="273">
        <v>38</v>
      </c>
      <c r="B45" s="74" t="s">
        <v>113</v>
      </c>
      <c r="C45" s="274" t="s">
        <v>31</v>
      </c>
      <c r="D45" s="427">
        <v>4008811</v>
      </c>
      <c r="E45" s="416">
        <v>0</v>
      </c>
      <c r="F45" s="427">
        <v>555547.42000000004</v>
      </c>
      <c r="G45" s="288">
        <f t="shared" si="0"/>
        <v>3453263.58</v>
      </c>
      <c r="H45" s="287">
        <f t="shared" si="1"/>
        <v>13.858159439295095</v>
      </c>
      <c r="I45" s="281"/>
      <c r="J45" s="281"/>
      <c r="K45" s="281"/>
      <c r="L45" s="281"/>
      <c r="M45" s="281"/>
    </row>
    <row r="46" spans="1:13" s="276" customFormat="1" ht="24" x14ac:dyDescent="0.55000000000000004">
      <c r="A46" s="273">
        <v>39</v>
      </c>
      <c r="B46" s="74" t="s">
        <v>113</v>
      </c>
      <c r="C46" s="274" t="s">
        <v>134</v>
      </c>
      <c r="D46" s="427">
        <v>1253098</v>
      </c>
      <c r="E46" s="416">
        <v>0</v>
      </c>
      <c r="F46" s="427">
        <v>157320</v>
      </c>
      <c r="G46" s="288">
        <f t="shared" si="0"/>
        <v>1095778</v>
      </c>
      <c r="H46" s="287">
        <f t="shared" si="1"/>
        <v>12.554484964464072</v>
      </c>
      <c r="I46" s="281"/>
      <c r="J46" s="281"/>
      <c r="K46" s="281"/>
      <c r="L46" s="281"/>
      <c r="M46" s="281"/>
    </row>
    <row r="47" spans="1:13" s="276" customFormat="1" ht="24" x14ac:dyDescent="0.55000000000000004">
      <c r="A47" s="273">
        <v>40</v>
      </c>
      <c r="B47" s="74" t="s">
        <v>113</v>
      </c>
      <c r="C47" s="274" t="s">
        <v>32</v>
      </c>
      <c r="D47" s="427">
        <v>2053610</v>
      </c>
      <c r="E47" s="416">
        <v>0</v>
      </c>
      <c r="F47" s="427">
        <v>253680</v>
      </c>
      <c r="G47" s="288">
        <f t="shared" si="0"/>
        <v>1799930</v>
      </c>
      <c r="H47" s="287">
        <f t="shared" si="1"/>
        <v>12.35288102414772</v>
      </c>
      <c r="I47" s="281"/>
      <c r="J47" s="281"/>
      <c r="K47" s="281"/>
      <c r="L47" s="281"/>
      <c r="M47" s="281"/>
    </row>
    <row r="48" spans="1:13" s="276" customFormat="1" ht="24" x14ac:dyDescent="0.55000000000000004">
      <c r="A48" s="273">
        <v>41</v>
      </c>
      <c r="B48" s="74" t="s">
        <v>113</v>
      </c>
      <c r="C48" s="274" t="s">
        <v>33</v>
      </c>
      <c r="D48" s="427">
        <v>2881361</v>
      </c>
      <c r="E48" s="416">
        <v>0</v>
      </c>
      <c r="F48" s="427">
        <v>369340</v>
      </c>
      <c r="G48" s="288">
        <f t="shared" si="0"/>
        <v>2512021</v>
      </c>
      <c r="H48" s="287">
        <f t="shared" si="1"/>
        <v>12.818248043199031</v>
      </c>
      <c r="I48" s="281"/>
      <c r="J48" s="281"/>
      <c r="K48" s="281"/>
      <c r="L48" s="281"/>
      <c r="M48" s="281"/>
    </row>
    <row r="49" spans="1:13" s="276" customFormat="1" ht="24" x14ac:dyDescent="0.55000000000000004">
      <c r="A49" s="273">
        <v>42</v>
      </c>
      <c r="B49" s="74" t="s">
        <v>113</v>
      </c>
      <c r="C49" s="274" t="s">
        <v>34</v>
      </c>
      <c r="D49" s="427">
        <v>1389042</v>
      </c>
      <c r="E49" s="416">
        <v>0</v>
      </c>
      <c r="F49" s="427">
        <v>172700.32</v>
      </c>
      <c r="G49" s="288">
        <f t="shared" si="0"/>
        <v>1216341.68</v>
      </c>
      <c r="H49" s="287">
        <f t="shared" si="1"/>
        <v>12.433052420301186</v>
      </c>
      <c r="I49" s="281"/>
      <c r="J49" s="281"/>
      <c r="K49" s="281"/>
      <c r="L49" s="281"/>
      <c r="M49" s="281"/>
    </row>
    <row r="50" spans="1:13" s="276" customFormat="1" ht="24" x14ac:dyDescent="0.55000000000000004">
      <c r="A50" s="273">
        <v>43</v>
      </c>
      <c r="B50" s="74" t="s">
        <v>113</v>
      </c>
      <c r="C50" s="274" t="s">
        <v>35</v>
      </c>
      <c r="D50" s="427">
        <v>2539363</v>
      </c>
      <c r="E50" s="416">
        <v>0</v>
      </c>
      <c r="F50" s="427">
        <v>407750</v>
      </c>
      <c r="G50" s="288">
        <f t="shared" si="0"/>
        <v>2131613</v>
      </c>
      <c r="H50" s="287">
        <f t="shared" si="1"/>
        <v>16.05717654388128</v>
      </c>
      <c r="I50" s="281"/>
      <c r="J50" s="281"/>
      <c r="K50" s="281"/>
      <c r="L50" s="281"/>
      <c r="M50" s="281"/>
    </row>
    <row r="51" spans="1:13" s="276" customFormat="1" ht="24" x14ac:dyDescent="0.55000000000000004">
      <c r="A51" s="273">
        <v>44</v>
      </c>
      <c r="B51" s="74" t="s">
        <v>113</v>
      </c>
      <c r="C51" s="274" t="s">
        <v>135</v>
      </c>
      <c r="D51" s="427">
        <v>1636673</v>
      </c>
      <c r="E51" s="416">
        <v>0</v>
      </c>
      <c r="F51" s="427">
        <v>258930</v>
      </c>
      <c r="G51" s="288">
        <f t="shared" si="0"/>
        <v>1377743</v>
      </c>
      <c r="H51" s="287">
        <f t="shared" si="1"/>
        <v>15.820509044873349</v>
      </c>
      <c r="I51" s="281"/>
      <c r="J51" s="281"/>
      <c r="K51" s="281"/>
      <c r="L51" s="281"/>
      <c r="M51" s="281"/>
    </row>
    <row r="52" spans="1:13" s="276" customFormat="1" ht="24" x14ac:dyDescent="0.55000000000000004">
      <c r="A52" s="273">
        <v>45</v>
      </c>
      <c r="B52" s="74" t="s">
        <v>113</v>
      </c>
      <c r="C52" s="274" t="s">
        <v>36</v>
      </c>
      <c r="D52" s="427">
        <v>1926400</v>
      </c>
      <c r="E52" s="416">
        <v>0</v>
      </c>
      <c r="F52" s="427">
        <v>297154.84000000003</v>
      </c>
      <c r="G52" s="288">
        <f t="shared" si="0"/>
        <v>1629245.16</v>
      </c>
      <c r="H52" s="287">
        <f t="shared" si="1"/>
        <v>15.425396594684388</v>
      </c>
      <c r="I52" s="281"/>
      <c r="J52" s="281"/>
      <c r="K52" s="281"/>
      <c r="L52" s="281"/>
      <c r="M52" s="281"/>
    </row>
    <row r="53" spans="1:13" s="276" customFormat="1" ht="24" x14ac:dyDescent="0.55000000000000004">
      <c r="A53" s="273">
        <v>46</v>
      </c>
      <c r="B53" s="74" t="s">
        <v>113</v>
      </c>
      <c r="C53" s="274" t="s">
        <v>37</v>
      </c>
      <c r="D53" s="427">
        <v>3701197</v>
      </c>
      <c r="E53" s="416">
        <v>0</v>
      </c>
      <c r="F53" s="427">
        <v>579936.12</v>
      </c>
      <c r="G53" s="288">
        <f t="shared" si="0"/>
        <v>3121260.88</v>
      </c>
      <c r="H53" s="287">
        <f t="shared" si="1"/>
        <v>15.668880094736918</v>
      </c>
      <c r="I53" s="281"/>
      <c r="J53" s="281"/>
      <c r="K53" s="281"/>
      <c r="L53" s="281"/>
      <c r="M53" s="281"/>
    </row>
    <row r="54" spans="1:13" s="276" customFormat="1" ht="24" x14ac:dyDescent="0.55000000000000004">
      <c r="A54" s="273">
        <v>47</v>
      </c>
      <c r="B54" s="74" t="s">
        <v>113</v>
      </c>
      <c r="C54" s="274" t="s">
        <v>38</v>
      </c>
      <c r="D54" s="427">
        <v>845936</v>
      </c>
      <c r="E54" s="416">
        <v>0</v>
      </c>
      <c r="F54" s="427">
        <v>135890</v>
      </c>
      <c r="G54" s="288">
        <f t="shared" si="0"/>
        <v>710046</v>
      </c>
      <c r="H54" s="287">
        <f t="shared" si="1"/>
        <v>16.063862987270905</v>
      </c>
      <c r="I54" s="281"/>
      <c r="J54" s="281"/>
      <c r="K54" s="281"/>
      <c r="L54" s="281"/>
      <c r="M54" s="281"/>
    </row>
    <row r="55" spans="1:13" s="276" customFormat="1" ht="24" x14ac:dyDescent="0.55000000000000004">
      <c r="A55" s="273">
        <v>48</v>
      </c>
      <c r="B55" s="74" t="s">
        <v>113</v>
      </c>
      <c r="C55" s="274" t="s">
        <v>136</v>
      </c>
      <c r="D55" s="427">
        <v>2629597</v>
      </c>
      <c r="E55" s="416">
        <v>0</v>
      </c>
      <c r="F55" s="427">
        <v>420270</v>
      </c>
      <c r="G55" s="288">
        <f t="shared" si="0"/>
        <v>2209327</v>
      </c>
      <c r="H55" s="287">
        <f t="shared" si="1"/>
        <v>15.982296907092607</v>
      </c>
      <c r="I55" s="281"/>
      <c r="J55" s="281"/>
      <c r="K55" s="281"/>
      <c r="L55" s="281"/>
      <c r="M55" s="281"/>
    </row>
    <row r="56" spans="1:13" s="276" customFormat="1" ht="24" x14ac:dyDescent="0.55000000000000004">
      <c r="A56" s="273">
        <v>49</v>
      </c>
      <c r="B56" s="74" t="s">
        <v>113</v>
      </c>
      <c r="C56" s="274" t="s">
        <v>137</v>
      </c>
      <c r="D56" s="427">
        <v>1172437</v>
      </c>
      <c r="E56" s="416">
        <v>0</v>
      </c>
      <c r="F56" s="427">
        <v>177656.13</v>
      </c>
      <c r="G56" s="288">
        <f t="shared" si="0"/>
        <v>994780.87</v>
      </c>
      <c r="H56" s="287">
        <f t="shared" si="1"/>
        <v>15.152722918161061</v>
      </c>
      <c r="I56" s="281"/>
      <c r="J56" s="281"/>
      <c r="K56" s="281"/>
      <c r="L56" s="281"/>
      <c r="M56" s="281"/>
    </row>
    <row r="57" spans="1:13" s="276" customFormat="1" ht="24" x14ac:dyDescent="0.55000000000000004">
      <c r="A57" s="273">
        <v>50</v>
      </c>
      <c r="B57" s="74" t="s">
        <v>113</v>
      </c>
      <c r="C57" s="274" t="s">
        <v>138</v>
      </c>
      <c r="D57" s="427">
        <v>1078135</v>
      </c>
      <c r="E57" s="416">
        <v>0</v>
      </c>
      <c r="F57" s="427">
        <v>204830</v>
      </c>
      <c r="G57" s="288">
        <f t="shared" si="0"/>
        <v>873305</v>
      </c>
      <c r="H57" s="287">
        <f t="shared" si="1"/>
        <v>18.998548419261038</v>
      </c>
      <c r="I57" s="281"/>
      <c r="J57" s="281"/>
      <c r="K57" s="281"/>
      <c r="L57" s="281"/>
      <c r="M57" s="281"/>
    </row>
    <row r="58" spans="1:13" s="276" customFormat="1" ht="24" x14ac:dyDescent="0.55000000000000004">
      <c r="A58" s="273">
        <v>51</v>
      </c>
      <c r="B58" s="74" t="s">
        <v>113</v>
      </c>
      <c r="C58" s="274" t="s">
        <v>139</v>
      </c>
      <c r="D58" s="427">
        <v>2838462</v>
      </c>
      <c r="E58" s="416">
        <v>0</v>
      </c>
      <c r="F58" s="427">
        <v>447900</v>
      </c>
      <c r="G58" s="288">
        <f t="shared" si="0"/>
        <v>2390562</v>
      </c>
      <c r="H58" s="287">
        <f t="shared" si="1"/>
        <v>15.779672230947604</v>
      </c>
      <c r="I58" s="281"/>
      <c r="J58" s="281"/>
      <c r="K58" s="281"/>
      <c r="L58" s="281"/>
      <c r="M58" s="281"/>
    </row>
    <row r="59" spans="1:13" s="276" customFormat="1" ht="24" x14ac:dyDescent="0.55000000000000004">
      <c r="A59" s="273">
        <v>52</v>
      </c>
      <c r="B59" s="74" t="s">
        <v>113</v>
      </c>
      <c r="C59" s="274" t="s">
        <v>140</v>
      </c>
      <c r="D59" s="427">
        <v>1771240</v>
      </c>
      <c r="E59" s="416">
        <v>0</v>
      </c>
      <c r="F59" s="427">
        <v>284540</v>
      </c>
      <c r="G59" s="288">
        <f t="shared" si="0"/>
        <v>1486700</v>
      </c>
      <c r="H59" s="287">
        <f t="shared" si="1"/>
        <v>16.064452022312054</v>
      </c>
      <c r="I59" s="281"/>
      <c r="J59" s="281"/>
      <c r="K59" s="281"/>
      <c r="L59" s="281"/>
      <c r="M59" s="281"/>
    </row>
    <row r="60" spans="1:13" s="276" customFormat="1" ht="24" x14ac:dyDescent="0.55000000000000004">
      <c r="A60" s="273">
        <v>53</v>
      </c>
      <c r="B60" s="74" t="s">
        <v>113</v>
      </c>
      <c r="C60" s="274" t="s">
        <v>141</v>
      </c>
      <c r="D60" s="427">
        <v>3114750</v>
      </c>
      <c r="E60" s="416">
        <v>0</v>
      </c>
      <c r="F60" s="427">
        <v>395850</v>
      </c>
      <c r="G60" s="288">
        <f t="shared" si="0"/>
        <v>2718900</v>
      </c>
      <c r="H60" s="287">
        <f t="shared" si="1"/>
        <v>12.708885143269926</v>
      </c>
      <c r="I60" s="281"/>
      <c r="J60" s="281"/>
      <c r="K60" s="281"/>
      <c r="L60" s="281"/>
      <c r="M60" s="281"/>
    </row>
    <row r="61" spans="1:13" s="276" customFormat="1" ht="24" x14ac:dyDescent="0.55000000000000004">
      <c r="A61" s="273">
        <v>54</v>
      </c>
      <c r="B61" s="74" t="s">
        <v>113</v>
      </c>
      <c r="C61" s="274" t="s">
        <v>142</v>
      </c>
      <c r="D61" s="427">
        <v>2682811</v>
      </c>
      <c r="E61" s="416">
        <v>0</v>
      </c>
      <c r="F61" s="427">
        <v>417871.6</v>
      </c>
      <c r="G61" s="288">
        <f t="shared" si="0"/>
        <v>2264939.4</v>
      </c>
      <c r="H61" s="287">
        <f t="shared" si="1"/>
        <v>15.57588663532392</v>
      </c>
      <c r="I61" s="281"/>
      <c r="J61" s="281"/>
      <c r="K61" s="281"/>
      <c r="L61" s="281"/>
      <c r="M61" s="281"/>
    </row>
    <row r="62" spans="1:13" s="276" customFormat="1" ht="24" x14ac:dyDescent="0.55000000000000004">
      <c r="A62" s="273">
        <v>55</v>
      </c>
      <c r="B62" s="74" t="s">
        <v>113</v>
      </c>
      <c r="C62" s="274" t="s">
        <v>39</v>
      </c>
      <c r="D62" s="427">
        <v>2689356</v>
      </c>
      <c r="E62" s="416">
        <v>0</v>
      </c>
      <c r="F62" s="427">
        <v>434722.9</v>
      </c>
      <c r="G62" s="288">
        <f t="shared" si="0"/>
        <v>2254633.1</v>
      </c>
      <c r="H62" s="287">
        <f t="shared" si="1"/>
        <v>16.164572485011281</v>
      </c>
      <c r="I62" s="281"/>
      <c r="J62" s="281"/>
      <c r="K62" s="281"/>
      <c r="L62" s="281"/>
      <c r="M62" s="281"/>
    </row>
    <row r="63" spans="1:13" s="276" customFormat="1" ht="24" x14ac:dyDescent="0.55000000000000004">
      <c r="A63" s="273">
        <v>56</v>
      </c>
      <c r="B63" s="74" t="s">
        <v>113</v>
      </c>
      <c r="C63" s="274" t="s">
        <v>143</v>
      </c>
      <c r="D63" s="427">
        <v>1159369</v>
      </c>
      <c r="E63" s="416">
        <v>0</v>
      </c>
      <c r="F63" s="427">
        <v>158460</v>
      </c>
      <c r="G63" s="288">
        <f t="shared" si="0"/>
        <v>1000909</v>
      </c>
      <c r="H63" s="287">
        <f t="shared" si="1"/>
        <v>13.667779628401311</v>
      </c>
      <c r="I63" s="281"/>
      <c r="J63" s="281"/>
      <c r="K63" s="281"/>
      <c r="L63" s="281"/>
      <c r="M63" s="281"/>
    </row>
    <row r="64" spans="1:13" s="276" customFormat="1" ht="24" x14ac:dyDescent="0.55000000000000004">
      <c r="A64" s="273">
        <v>57</v>
      </c>
      <c r="B64" s="74" t="s">
        <v>113</v>
      </c>
      <c r="C64" s="274" t="s">
        <v>144</v>
      </c>
      <c r="D64" s="427">
        <v>4108999</v>
      </c>
      <c r="E64" s="416">
        <v>0</v>
      </c>
      <c r="F64" s="427">
        <v>609920</v>
      </c>
      <c r="G64" s="288">
        <f t="shared" si="0"/>
        <v>3499079</v>
      </c>
      <c r="H64" s="287">
        <f t="shared" si="1"/>
        <v>14.843517849481103</v>
      </c>
      <c r="I64" s="281"/>
      <c r="J64" s="281"/>
      <c r="K64" s="281"/>
      <c r="L64" s="281"/>
      <c r="M64" s="281"/>
    </row>
    <row r="65" spans="1:13" s="276" customFormat="1" ht="24" x14ac:dyDescent="0.55000000000000004">
      <c r="A65" s="273">
        <v>58</v>
      </c>
      <c r="B65" s="74" t="s">
        <v>113</v>
      </c>
      <c r="C65" s="274" t="s">
        <v>40</v>
      </c>
      <c r="D65" s="427">
        <v>1895685</v>
      </c>
      <c r="E65" s="416">
        <v>0</v>
      </c>
      <c r="F65" s="427">
        <v>300480</v>
      </c>
      <c r="G65" s="288">
        <f t="shared" si="0"/>
        <v>1595205</v>
      </c>
      <c r="H65" s="287">
        <f t="shared" si="1"/>
        <v>15.850734694846453</v>
      </c>
      <c r="I65" s="281"/>
      <c r="J65" s="281"/>
      <c r="K65" s="281"/>
      <c r="L65" s="281"/>
      <c r="M65" s="281"/>
    </row>
    <row r="66" spans="1:13" s="276" customFormat="1" ht="24" x14ac:dyDescent="0.55000000000000004">
      <c r="A66" s="273">
        <v>59</v>
      </c>
      <c r="B66" s="74" t="s">
        <v>113</v>
      </c>
      <c r="C66" s="274" t="s">
        <v>145</v>
      </c>
      <c r="D66" s="427">
        <v>4411043</v>
      </c>
      <c r="E66" s="416">
        <v>0</v>
      </c>
      <c r="F66" s="427">
        <v>687190</v>
      </c>
      <c r="G66" s="288">
        <f t="shared" si="0"/>
        <v>3723853</v>
      </c>
      <c r="H66" s="287">
        <f t="shared" si="1"/>
        <v>15.578855159652717</v>
      </c>
      <c r="I66" s="281"/>
      <c r="J66" s="281"/>
      <c r="K66" s="281"/>
      <c r="L66" s="281"/>
      <c r="M66" s="281"/>
    </row>
    <row r="67" spans="1:13" s="276" customFormat="1" ht="24" x14ac:dyDescent="0.55000000000000004">
      <c r="A67" s="273">
        <v>60</v>
      </c>
      <c r="B67" s="74" t="s">
        <v>113</v>
      </c>
      <c r="C67" s="274" t="s">
        <v>146</v>
      </c>
      <c r="D67" s="427">
        <v>1534782</v>
      </c>
      <c r="E67" s="416">
        <v>0</v>
      </c>
      <c r="F67" s="427">
        <v>202450</v>
      </c>
      <c r="G67" s="288">
        <f t="shared" si="0"/>
        <v>1332332</v>
      </c>
      <c r="H67" s="287">
        <f t="shared" si="1"/>
        <v>13.190798432611276</v>
      </c>
      <c r="I67" s="281"/>
      <c r="J67" s="281"/>
      <c r="K67" s="281"/>
      <c r="L67" s="281"/>
      <c r="M67" s="281"/>
    </row>
    <row r="68" spans="1:13" s="276" customFormat="1" ht="24" x14ac:dyDescent="0.55000000000000004">
      <c r="A68" s="273">
        <v>61</v>
      </c>
      <c r="B68" s="74" t="s">
        <v>113</v>
      </c>
      <c r="C68" s="274" t="s">
        <v>147</v>
      </c>
      <c r="D68" s="427">
        <v>1874670</v>
      </c>
      <c r="E68" s="416">
        <v>0</v>
      </c>
      <c r="F68" s="427">
        <v>251470</v>
      </c>
      <c r="G68" s="288">
        <f t="shared" si="0"/>
        <v>1623200</v>
      </c>
      <c r="H68" s="287">
        <f t="shared" si="1"/>
        <v>13.414094213914982</v>
      </c>
      <c r="I68" s="281"/>
      <c r="J68" s="281"/>
      <c r="K68" s="281"/>
      <c r="L68" s="281"/>
      <c r="M68" s="281"/>
    </row>
    <row r="69" spans="1:13" s="276" customFormat="1" ht="24" x14ac:dyDescent="0.55000000000000004">
      <c r="A69" s="273">
        <v>62</v>
      </c>
      <c r="B69" s="74" t="s">
        <v>113</v>
      </c>
      <c r="C69" s="274" t="s">
        <v>148</v>
      </c>
      <c r="D69" s="427">
        <v>1468002</v>
      </c>
      <c r="E69" s="416">
        <v>0</v>
      </c>
      <c r="F69" s="427">
        <v>197190</v>
      </c>
      <c r="G69" s="288">
        <f t="shared" si="0"/>
        <v>1270812</v>
      </c>
      <c r="H69" s="287">
        <f t="shared" si="1"/>
        <v>13.432543007434594</v>
      </c>
      <c r="I69" s="281"/>
      <c r="J69" s="281"/>
      <c r="K69" s="281"/>
      <c r="L69" s="281"/>
      <c r="M69" s="281"/>
    </row>
    <row r="70" spans="1:13" s="276" customFormat="1" ht="24" x14ac:dyDescent="0.55000000000000004">
      <c r="A70" s="273">
        <v>63</v>
      </c>
      <c r="B70" s="74" t="s">
        <v>113</v>
      </c>
      <c r="C70" s="274" t="s">
        <v>149</v>
      </c>
      <c r="D70" s="427">
        <v>1537242</v>
      </c>
      <c r="E70" s="416">
        <v>0</v>
      </c>
      <c r="F70" s="427">
        <v>244850</v>
      </c>
      <c r="G70" s="288">
        <f t="shared" si="0"/>
        <v>1292392</v>
      </c>
      <c r="H70" s="287">
        <f t="shared" si="1"/>
        <v>15.927876027326862</v>
      </c>
      <c r="I70" s="281"/>
      <c r="J70" s="281"/>
      <c r="K70" s="281"/>
      <c r="L70" s="281"/>
      <c r="M70" s="281"/>
    </row>
    <row r="71" spans="1:13" s="276" customFormat="1" ht="24" x14ac:dyDescent="0.55000000000000004">
      <c r="A71" s="273">
        <v>64</v>
      </c>
      <c r="B71" s="74" t="s">
        <v>113</v>
      </c>
      <c r="C71" s="274" t="s">
        <v>41</v>
      </c>
      <c r="D71" s="427">
        <v>1362162</v>
      </c>
      <c r="E71" s="416">
        <v>0</v>
      </c>
      <c r="F71" s="427">
        <v>180220</v>
      </c>
      <c r="G71" s="288">
        <f t="shared" si="0"/>
        <v>1181942</v>
      </c>
      <c r="H71" s="287">
        <f t="shared" si="1"/>
        <v>13.230438082988661</v>
      </c>
      <c r="I71" s="281"/>
      <c r="J71" s="281"/>
      <c r="K71" s="281"/>
      <c r="L71" s="281"/>
      <c r="M71" s="281"/>
    </row>
    <row r="72" spans="1:13" s="276" customFormat="1" ht="24" x14ac:dyDescent="0.55000000000000004">
      <c r="A72" s="273">
        <v>65</v>
      </c>
      <c r="B72" s="74" t="s">
        <v>113</v>
      </c>
      <c r="C72" s="274" t="s">
        <v>42</v>
      </c>
      <c r="D72" s="427">
        <v>1287942</v>
      </c>
      <c r="E72" s="416">
        <v>0</v>
      </c>
      <c r="F72" s="427">
        <v>161696.76999999999</v>
      </c>
      <c r="G72" s="288">
        <f t="shared" si="0"/>
        <v>1126245.23</v>
      </c>
      <c r="H72" s="287">
        <f t="shared" si="1"/>
        <v>12.554662399393759</v>
      </c>
      <c r="I72" s="281"/>
      <c r="J72" s="281"/>
      <c r="K72" s="281"/>
      <c r="L72" s="281"/>
      <c r="M72" s="281"/>
    </row>
    <row r="73" spans="1:13" s="276" customFormat="1" ht="24" x14ac:dyDescent="0.55000000000000004">
      <c r="A73" s="273">
        <v>66</v>
      </c>
      <c r="B73" s="74" t="s">
        <v>113</v>
      </c>
      <c r="C73" s="274" t="s">
        <v>43</v>
      </c>
      <c r="D73" s="427">
        <v>1914640</v>
      </c>
      <c r="E73" s="416">
        <v>0</v>
      </c>
      <c r="F73" s="427">
        <v>252460</v>
      </c>
      <c r="G73" s="288">
        <f t="shared" ref="G73:G103" si="2">+D73-E73-F73</f>
        <v>1662180</v>
      </c>
      <c r="H73" s="287">
        <f t="shared" ref="H73:H103" si="3">F73*100/D73</f>
        <v>13.185768604019554</v>
      </c>
      <c r="I73" s="281"/>
      <c r="J73" s="281"/>
      <c r="K73" s="281"/>
      <c r="L73" s="281"/>
      <c r="M73" s="281"/>
    </row>
    <row r="74" spans="1:13" s="276" customFormat="1" ht="24" x14ac:dyDescent="0.55000000000000004">
      <c r="A74" s="273">
        <v>67</v>
      </c>
      <c r="B74" s="74" t="s">
        <v>113</v>
      </c>
      <c r="C74" s="274" t="s">
        <v>44</v>
      </c>
      <c r="D74" s="427">
        <v>3780135</v>
      </c>
      <c r="E74" s="416">
        <v>0</v>
      </c>
      <c r="F74" s="427">
        <v>489980</v>
      </c>
      <c r="G74" s="288">
        <f t="shared" si="2"/>
        <v>3290155</v>
      </c>
      <c r="H74" s="287">
        <f t="shared" si="3"/>
        <v>12.961970934900473</v>
      </c>
      <c r="I74" s="281"/>
      <c r="J74" s="281"/>
      <c r="K74" s="281"/>
      <c r="L74" s="281"/>
      <c r="M74" s="281"/>
    </row>
    <row r="75" spans="1:13" s="276" customFormat="1" ht="24" x14ac:dyDescent="0.55000000000000004">
      <c r="A75" s="273">
        <v>68</v>
      </c>
      <c r="B75" s="74" t="s">
        <v>113</v>
      </c>
      <c r="C75" s="274" t="s">
        <v>45</v>
      </c>
      <c r="D75" s="427">
        <v>1687846</v>
      </c>
      <c r="E75" s="416">
        <v>0</v>
      </c>
      <c r="F75" s="427">
        <v>196030</v>
      </c>
      <c r="G75" s="288">
        <f t="shared" si="2"/>
        <v>1491816</v>
      </c>
      <c r="H75" s="287">
        <f t="shared" si="3"/>
        <v>11.614211249130548</v>
      </c>
      <c r="I75" s="281"/>
      <c r="J75" s="281"/>
      <c r="K75" s="281"/>
      <c r="L75" s="281"/>
      <c r="M75" s="281"/>
    </row>
    <row r="76" spans="1:13" s="276" customFormat="1" ht="24" x14ac:dyDescent="0.55000000000000004">
      <c r="A76" s="273">
        <v>69</v>
      </c>
      <c r="B76" s="74" t="s">
        <v>113</v>
      </c>
      <c r="C76" s="274" t="s">
        <v>63</v>
      </c>
      <c r="D76" s="427">
        <v>2064765</v>
      </c>
      <c r="E76" s="416">
        <v>0</v>
      </c>
      <c r="F76" s="427">
        <v>254217.1</v>
      </c>
      <c r="G76" s="288">
        <f t="shared" si="2"/>
        <v>1810547.9</v>
      </c>
      <c r="H76" s="287">
        <f t="shared" si="3"/>
        <v>12.312156589248655</v>
      </c>
      <c r="I76" s="281"/>
      <c r="J76" s="281"/>
      <c r="K76" s="281"/>
      <c r="L76" s="281"/>
      <c r="M76" s="281"/>
    </row>
    <row r="77" spans="1:13" s="276" customFormat="1" ht="24" x14ac:dyDescent="0.55000000000000004">
      <c r="A77" s="273">
        <v>70</v>
      </c>
      <c r="B77" s="74" t="s">
        <v>113</v>
      </c>
      <c r="C77" s="274" t="s">
        <v>150</v>
      </c>
      <c r="D77" s="427">
        <v>1605102</v>
      </c>
      <c r="E77" s="416">
        <v>0</v>
      </c>
      <c r="F77" s="427">
        <v>213710</v>
      </c>
      <c r="G77" s="288">
        <f t="shared" si="2"/>
        <v>1391392</v>
      </c>
      <c r="H77" s="287">
        <f t="shared" si="3"/>
        <v>13.314418647537664</v>
      </c>
      <c r="I77" s="281"/>
      <c r="J77" s="281"/>
      <c r="K77" s="281"/>
      <c r="L77" s="281"/>
      <c r="M77" s="281"/>
    </row>
    <row r="78" spans="1:13" s="276" customFormat="1" ht="24" x14ac:dyDescent="0.55000000000000004">
      <c r="A78" s="273">
        <v>71</v>
      </c>
      <c r="B78" s="74" t="s">
        <v>113</v>
      </c>
      <c r="C78" s="274" t="s">
        <v>46</v>
      </c>
      <c r="D78" s="427">
        <v>2019694</v>
      </c>
      <c r="E78" s="416">
        <v>0</v>
      </c>
      <c r="F78" s="427">
        <v>269250</v>
      </c>
      <c r="G78" s="288">
        <f t="shared" si="2"/>
        <v>1750444</v>
      </c>
      <c r="H78" s="287">
        <f t="shared" si="3"/>
        <v>13.331227403755223</v>
      </c>
      <c r="I78" s="281"/>
      <c r="J78" s="281"/>
      <c r="K78" s="281"/>
      <c r="L78" s="281"/>
      <c r="M78" s="281"/>
    </row>
    <row r="79" spans="1:13" s="276" customFormat="1" ht="24" x14ac:dyDescent="0.55000000000000004">
      <c r="A79" s="273">
        <v>72</v>
      </c>
      <c r="B79" s="74" t="s">
        <v>113</v>
      </c>
      <c r="C79" s="274" t="s">
        <v>151</v>
      </c>
      <c r="D79" s="427">
        <v>1790739</v>
      </c>
      <c r="E79" s="416">
        <v>0</v>
      </c>
      <c r="F79" s="427">
        <v>285510</v>
      </c>
      <c r="G79" s="288">
        <f t="shared" si="2"/>
        <v>1505229</v>
      </c>
      <c r="H79" s="287">
        <f t="shared" si="3"/>
        <v>15.94369698766822</v>
      </c>
      <c r="I79" s="281"/>
      <c r="J79" s="281"/>
      <c r="K79" s="281"/>
      <c r="L79" s="281"/>
      <c r="M79" s="281"/>
    </row>
    <row r="80" spans="1:13" s="276" customFormat="1" ht="24" x14ac:dyDescent="0.55000000000000004">
      <c r="A80" s="273">
        <v>73</v>
      </c>
      <c r="B80" s="74" t="s">
        <v>113</v>
      </c>
      <c r="C80" s="274" t="s">
        <v>152</v>
      </c>
      <c r="D80" s="427">
        <v>1554882</v>
      </c>
      <c r="E80" s="416">
        <v>0</v>
      </c>
      <c r="F80" s="427">
        <v>189120</v>
      </c>
      <c r="G80" s="288">
        <f t="shared" si="2"/>
        <v>1365762</v>
      </c>
      <c r="H80" s="287">
        <f t="shared" si="3"/>
        <v>12.162980856425119</v>
      </c>
      <c r="I80" s="281"/>
      <c r="J80" s="281"/>
      <c r="K80" s="281"/>
      <c r="L80" s="281"/>
      <c r="M80" s="281"/>
    </row>
    <row r="81" spans="1:13" s="276" customFormat="1" ht="24" x14ac:dyDescent="0.55000000000000004">
      <c r="A81" s="273">
        <v>74</v>
      </c>
      <c r="B81" s="74" t="s">
        <v>113</v>
      </c>
      <c r="C81" s="274" t="s">
        <v>47</v>
      </c>
      <c r="D81" s="427">
        <v>1708063</v>
      </c>
      <c r="E81" s="416">
        <v>0</v>
      </c>
      <c r="F81" s="427">
        <v>255418</v>
      </c>
      <c r="G81" s="288">
        <f t="shared" si="2"/>
        <v>1452645</v>
      </c>
      <c r="H81" s="287">
        <f t="shared" si="3"/>
        <v>14.953663887104867</v>
      </c>
      <c r="I81" s="281"/>
      <c r="J81" s="281"/>
      <c r="K81" s="281"/>
      <c r="L81" s="281"/>
      <c r="M81" s="281"/>
    </row>
    <row r="82" spans="1:13" s="276" customFormat="1" ht="24" x14ac:dyDescent="0.55000000000000004">
      <c r="A82" s="273">
        <v>75</v>
      </c>
      <c r="B82" s="74" t="s">
        <v>113</v>
      </c>
      <c r="C82" s="274" t="s">
        <v>153</v>
      </c>
      <c r="D82" s="427">
        <v>1399297</v>
      </c>
      <c r="E82" s="416">
        <v>0</v>
      </c>
      <c r="F82" s="427">
        <v>224590</v>
      </c>
      <c r="G82" s="288">
        <f t="shared" si="2"/>
        <v>1174707</v>
      </c>
      <c r="H82" s="287">
        <f t="shared" si="3"/>
        <v>16.050202351609414</v>
      </c>
      <c r="I82" s="281"/>
      <c r="J82" s="281"/>
      <c r="K82" s="281"/>
      <c r="L82" s="281"/>
      <c r="M82" s="281"/>
    </row>
    <row r="83" spans="1:13" s="276" customFormat="1" ht="24" x14ac:dyDescent="0.55000000000000004">
      <c r="A83" s="273">
        <v>76</v>
      </c>
      <c r="B83" s="74" t="s">
        <v>113</v>
      </c>
      <c r="C83" s="274" t="s">
        <v>48</v>
      </c>
      <c r="D83" s="427">
        <v>1106444</v>
      </c>
      <c r="E83" s="416">
        <v>0</v>
      </c>
      <c r="F83" s="427">
        <v>177610</v>
      </c>
      <c r="G83" s="288">
        <f t="shared" si="2"/>
        <v>928834</v>
      </c>
      <c r="H83" s="287">
        <f t="shared" si="3"/>
        <v>16.052326190932391</v>
      </c>
      <c r="I83" s="281"/>
      <c r="J83" s="281"/>
      <c r="K83" s="281"/>
      <c r="L83" s="281"/>
      <c r="M83" s="281"/>
    </row>
    <row r="84" spans="1:13" s="276" customFormat="1" ht="24" x14ac:dyDescent="0.55000000000000004">
      <c r="A84" s="273">
        <v>77</v>
      </c>
      <c r="B84" s="74" t="s">
        <v>113</v>
      </c>
      <c r="C84" s="274" t="s">
        <v>154</v>
      </c>
      <c r="D84" s="427">
        <v>1803526</v>
      </c>
      <c r="E84" s="416">
        <v>0</v>
      </c>
      <c r="F84" s="427">
        <v>210140.97</v>
      </c>
      <c r="G84" s="288">
        <f t="shared" si="2"/>
        <v>1593385.03</v>
      </c>
      <c r="H84" s="287">
        <f t="shared" si="3"/>
        <v>11.651673998600518</v>
      </c>
      <c r="I84" s="281"/>
      <c r="J84" s="281"/>
      <c r="K84" s="281"/>
      <c r="L84" s="281"/>
      <c r="M84" s="281"/>
    </row>
    <row r="85" spans="1:13" s="276" customFormat="1" ht="24" x14ac:dyDescent="0.55000000000000004">
      <c r="A85" s="273">
        <v>78</v>
      </c>
      <c r="B85" s="74" t="s">
        <v>113</v>
      </c>
      <c r="C85" s="274" t="s">
        <v>49</v>
      </c>
      <c r="D85" s="427">
        <v>1457802</v>
      </c>
      <c r="E85" s="416">
        <v>0</v>
      </c>
      <c r="F85" s="427">
        <v>232110</v>
      </c>
      <c r="G85" s="288">
        <f t="shared" si="2"/>
        <v>1225692</v>
      </c>
      <c r="H85" s="287">
        <f t="shared" si="3"/>
        <v>15.921915321833829</v>
      </c>
      <c r="I85" s="281"/>
      <c r="J85" s="281"/>
      <c r="K85" s="281"/>
      <c r="L85" s="281"/>
      <c r="M85" s="281"/>
    </row>
    <row r="86" spans="1:13" s="276" customFormat="1" ht="24" x14ac:dyDescent="0.55000000000000004">
      <c r="A86" s="273">
        <v>79</v>
      </c>
      <c r="B86" s="74" t="s">
        <v>113</v>
      </c>
      <c r="C86" s="274" t="s">
        <v>50</v>
      </c>
      <c r="D86" s="427">
        <v>1166744</v>
      </c>
      <c r="E86" s="416">
        <v>0</v>
      </c>
      <c r="F86" s="427">
        <v>185270</v>
      </c>
      <c r="G86" s="288">
        <f t="shared" si="2"/>
        <v>981474</v>
      </c>
      <c r="H86" s="287">
        <f t="shared" si="3"/>
        <v>15.879233147974192</v>
      </c>
      <c r="I86" s="281"/>
      <c r="J86" s="281"/>
      <c r="K86" s="281"/>
      <c r="L86" s="281"/>
      <c r="M86" s="281"/>
    </row>
    <row r="87" spans="1:13" s="276" customFormat="1" ht="24" x14ac:dyDescent="0.55000000000000004">
      <c r="A87" s="273">
        <v>80</v>
      </c>
      <c r="B87" s="74" t="s">
        <v>113</v>
      </c>
      <c r="C87" s="274" t="s">
        <v>155</v>
      </c>
      <c r="D87" s="427">
        <v>1149344</v>
      </c>
      <c r="E87" s="416">
        <v>0</v>
      </c>
      <c r="F87" s="427">
        <v>182470</v>
      </c>
      <c r="G87" s="288">
        <f t="shared" si="2"/>
        <v>966874</v>
      </c>
      <c r="H87" s="287">
        <f t="shared" si="3"/>
        <v>15.876012751621795</v>
      </c>
      <c r="I87" s="281"/>
      <c r="J87" s="281"/>
      <c r="K87" s="281"/>
      <c r="L87" s="281"/>
      <c r="M87" s="281"/>
    </row>
    <row r="88" spans="1:13" s="276" customFormat="1" ht="24" x14ac:dyDescent="0.55000000000000004">
      <c r="A88" s="273">
        <v>81</v>
      </c>
      <c r="B88" s="74" t="s">
        <v>113</v>
      </c>
      <c r="C88" s="274" t="s">
        <v>51</v>
      </c>
      <c r="D88" s="427">
        <v>1794155</v>
      </c>
      <c r="E88" s="416">
        <v>0</v>
      </c>
      <c r="F88" s="427">
        <v>286060</v>
      </c>
      <c r="G88" s="288">
        <f t="shared" si="2"/>
        <v>1508095</v>
      </c>
      <c r="H88" s="287">
        <f t="shared" si="3"/>
        <v>15.943995920084943</v>
      </c>
      <c r="I88" s="281"/>
      <c r="J88" s="281"/>
      <c r="K88" s="281"/>
      <c r="L88" s="281"/>
      <c r="M88" s="281"/>
    </row>
    <row r="89" spans="1:13" s="276" customFormat="1" ht="24" x14ac:dyDescent="0.55000000000000004">
      <c r="A89" s="273">
        <v>82</v>
      </c>
      <c r="B89" s="74" t="s">
        <v>113</v>
      </c>
      <c r="C89" s="274" t="s">
        <v>156</v>
      </c>
      <c r="D89" s="427">
        <v>1464282</v>
      </c>
      <c r="E89" s="416">
        <v>0</v>
      </c>
      <c r="F89" s="427">
        <v>222298.39</v>
      </c>
      <c r="G89" s="288">
        <f t="shared" si="2"/>
        <v>1241983.6099999999</v>
      </c>
      <c r="H89" s="287">
        <f t="shared" si="3"/>
        <v>15.181391972311344</v>
      </c>
      <c r="I89" s="281"/>
      <c r="J89" s="281"/>
      <c r="K89" s="281"/>
      <c r="L89" s="281"/>
      <c r="M89" s="281"/>
    </row>
    <row r="90" spans="1:13" s="276" customFormat="1" ht="24" x14ac:dyDescent="0.55000000000000004">
      <c r="A90" s="273">
        <v>83</v>
      </c>
      <c r="B90" s="74" t="s">
        <v>113</v>
      </c>
      <c r="C90" s="274" t="s">
        <v>157</v>
      </c>
      <c r="D90" s="427">
        <v>1227943</v>
      </c>
      <c r="E90" s="416">
        <v>0</v>
      </c>
      <c r="F90" s="427">
        <v>164140</v>
      </c>
      <c r="G90" s="288">
        <f t="shared" si="2"/>
        <v>1063803</v>
      </c>
      <c r="H90" s="287">
        <f t="shared" si="3"/>
        <v>13.367069969860164</v>
      </c>
      <c r="I90" s="281"/>
      <c r="J90" s="281"/>
      <c r="K90" s="281"/>
      <c r="L90" s="281"/>
      <c r="M90" s="281"/>
    </row>
    <row r="91" spans="1:13" s="276" customFormat="1" ht="24" x14ac:dyDescent="0.55000000000000004">
      <c r="A91" s="273">
        <v>84</v>
      </c>
      <c r="B91" s="74" t="s">
        <v>113</v>
      </c>
      <c r="C91" s="274" t="s">
        <v>158</v>
      </c>
      <c r="D91" s="427">
        <v>1766015</v>
      </c>
      <c r="E91" s="416">
        <v>0</v>
      </c>
      <c r="F91" s="427">
        <v>239490</v>
      </c>
      <c r="G91" s="288">
        <f t="shared" si="2"/>
        <v>1526525</v>
      </c>
      <c r="H91" s="287">
        <f t="shared" si="3"/>
        <v>13.561039968516688</v>
      </c>
      <c r="I91" s="281"/>
      <c r="J91" s="281"/>
      <c r="K91" s="281"/>
      <c r="L91" s="281"/>
      <c r="M91" s="281"/>
    </row>
    <row r="92" spans="1:13" s="276" customFormat="1" ht="24" x14ac:dyDescent="0.55000000000000004">
      <c r="A92" s="273">
        <v>85</v>
      </c>
      <c r="B92" s="74" t="s">
        <v>113</v>
      </c>
      <c r="C92" s="274" t="s">
        <v>52</v>
      </c>
      <c r="D92" s="427">
        <v>1728695</v>
      </c>
      <c r="E92" s="416">
        <v>0</v>
      </c>
      <c r="F92" s="427">
        <v>213300</v>
      </c>
      <c r="G92" s="288">
        <f t="shared" si="2"/>
        <v>1515395</v>
      </c>
      <c r="H92" s="287">
        <f t="shared" si="3"/>
        <v>12.33878735115217</v>
      </c>
      <c r="I92" s="281"/>
      <c r="J92" s="281"/>
      <c r="K92" s="281"/>
      <c r="L92" s="281"/>
      <c r="M92" s="281"/>
    </row>
    <row r="93" spans="1:13" s="276" customFormat="1" ht="24" x14ac:dyDescent="0.55000000000000004">
      <c r="A93" s="273">
        <v>86</v>
      </c>
      <c r="B93" s="74" t="s">
        <v>113</v>
      </c>
      <c r="C93" s="274" t="s">
        <v>53</v>
      </c>
      <c r="D93" s="427">
        <v>1754800</v>
      </c>
      <c r="E93" s="416">
        <v>0</v>
      </c>
      <c r="F93" s="427">
        <v>226830</v>
      </c>
      <c r="G93" s="288">
        <f t="shared" si="2"/>
        <v>1527970</v>
      </c>
      <c r="H93" s="287">
        <f t="shared" si="3"/>
        <v>12.926259402780945</v>
      </c>
      <c r="I93" s="281"/>
      <c r="J93" s="281"/>
      <c r="K93" s="281"/>
      <c r="L93" s="281"/>
      <c r="M93" s="281"/>
    </row>
    <row r="94" spans="1:13" s="276" customFormat="1" ht="24" x14ac:dyDescent="0.55000000000000004">
      <c r="A94" s="273">
        <v>87</v>
      </c>
      <c r="B94" s="74" t="s">
        <v>113</v>
      </c>
      <c r="C94" s="274" t="s">
        <v>159</v>
      </c>
      <c r="D94" s="427">
        <v>2130219</v>
      </c>
      <c r="E94" s="416">
        <v>0</v>
      </c>
      <c r="F94" s="427">
        <v>276120</v>
      </c>
      <c r="G94" s="288">
        <f t="shared" si="2"/>
        <v>1854099</v>
      </c>
      <c r="H94" s="287">
        <f t="shared" si="3"/>
        <v>12.962047564123688</v>
      </c>
      <c r="I94" s="281"/>
      <c r="J94" s="281"/>
      <c r="K94" s="281"/>
      <c r="L94" s="281"/>
      <c r="M94" s="281"/>
    </row>
    <row r="95" spans="1:13" s="276" customFormat="1" ht="24" x14ac:dyDescent="0.55000000000000004">
      <c r="A95" s="273">
        <v>88</v>
      </c>
      <c r="B95" s="74" t="s">
        <v>113</v>
      </c>
      <c r="C95" s="274" t="s">
        <v>160</v>
      </c>
      <c r="D95" s="427">
        <v>1793146</v>
      </c>
      <c r="E95" s="416">
        <v>0</v>
      </c>
      <c r="F95" s="427">
        <v>233000</v>
      </c>
      <c r="G95" s="288">
        <f t="shared" si="2"/>
        <v>1560146</v>
      </c>
      <c r="H95" s="287">
        <f t="shared" si="3"/>
        <v>12.993922413456573</v>
      </c>
      <c r="I95" s="281"/>
      <c r="J95" s="281"/>
      <c r="K95" s="281"/>
      <c r="L95" s="281"/>
      <c r="M95" s="281"/>
    </row>
    <row r="96" spans="1:13" s="276" customFormat="1" ht="24" x14ac:dyDescent="0.55000000000000004">
      <c r="A96" s="273">
        <v>89</v>
      </c>
      <c r="B96" s="74" t="s">
        <v>113</v>
      </c>
      <c r="C96" s="274" t="s">
        <v>161</v>
      </c>
      <c r="D96" s="427">
        <v>1855054</v>
      </c>
      <c r="E96" s="416">
        <v>0</v>
      </c>
      <c r="F96" s="427">
        <v>283082</v>
      </c>
      <c r="G96" s="288">
        <f t="shared" si="2"/>
        <v>1571972</v>
      </c>
      <c r="H96" s="287">
        <f t="shared" si="3"/>
        <v>15.260040947595057</v>
      </c>
      <c r="I96" s="281"/>
      <c r="J96" s="281"/>
      <c r="K96" s="281"/>
      <c r="L96" s="281"/>
      <c r="M96" s="281"/>
    </row>
    <row r="97" spans="1:13" s="276" customFormat="1" ht="24" x14ac:dyDescent="0.55000000000000004">
      <c r="A97" s="273">
        <v>90</v>
      </c>
      <c r="B97" s="74" t="s">
        <v>113</v>
      </c>
      <c r="C97" s="274" t="s">
        <v>54</v>
      </c>
      <c r="D97" s="427">
        <v>2210319</v>
      </c>
      <c r="E97" s="416">
        <v>0</v>
      </c>
      <c r="F97" s="427">
        <v>352970</v>
      </c>
      <c r="G97" s="288">
        <f t="shared" si="2"/>
        <v>1857349</v>
      </c>
      <c r="H97" s="287">
        <f t="shared" si="3"/>
        <v>15.969188157908428</v>
      </c>
      <c r="I97" s="281"/>
      <c r="J97" s="281"/>
      <c r="K97" s="281"/>
      <c r="L97" s="281"/>
      <c r="M97" s="281"/>
    </row>
    <row r="98" spans="1:13" s="276" customFormat="1" ht="24" x14ac:dyDescent="0.55000000000000004">
      <c r="A98" s="273">
        <v>91</v>
      </c>
      <c r="B98" s="74" t="s">
        <v>113</v>
      </c>
      <c r="C98" s="274" t="s">
        <v>55</v>
      </c>
      <c r="D98" s="427">
        <v>2320172</v>
      </c>
      <c r="E98" s="416">
        <v>0</v>
      </c>
      <c r="F98" s="427">
        <v>288710</v>
      </c>
      <c r="G98" s="288">
        <f t="shared" si="2"/>
        <v>2031462</v>
      </c>
      <c r="H98" s="287">
        <f t="shared" si="3"/>
        <v>12.443474018305539</v>
      </c>
      <c r="I98" s="281"/>
      <c r="J98" s="281"/>
      <c r="K98" s="281"/>
      <c r="L98" s="281"/>
      <c r="M98" s="281"/>
    </row>
    <row r="99" spans="1:13" s="276" customFormat="1" ht="24" x14ac:dyDescent="0.55000000000000004">
      <c r="A99" s="273">
        <v>92</v>
      </c>
      <c r="B99" s="74" t="s">
        <v>115</v>
      </c>
      <c r="C99" s="274" t="s">
        <v>20</v>
      </c>
      <c r="D99" s="427">
        <v>4714576</v>
      </c>
      <c r="E99" s="416">
        <v>0</v>
      </c>
      <c r="F99" s="427">
        <v>707811.25</v>
      </c>
      <c r="G99" s="288">
        <f t="shared" si="2"/>
        <v>4006764.75</v>
      </c>
      <c r="H99" s="287">
        <f t="shared" si="3"/>
        <v>15.013253577840297</v>
      </c>
      <c r="I99" s="281"/>
      <c r="J99" s="281"/>
      <c r="K99" s="281"/>
      <c r="L99" s="281"/>
      <c r="M99" s="281"/>
    </row>
    <row r="100" spans="1:13" s="276" customFormat="1" ht="24" x14ac:dyDescent="0.55000000000000004">
      <c r="A100" s="273">
        <v>93</v>
      </c>
      <c r="B100" s="74" t="s">
        <v>115</v>
      </c>
      <c r="C100" s="274" t="s">
        <v>162</v>
      </c>
      <c r="D100" s="427">
        <v>4938446</v>
      </c>
      <c r="E100" s="416">
        <v>0</v>
      </c>
      <c r="F100" s="427">
        <v>614144.52</v>
      </c>
      <c r="G100" s="288">
        <f t="shared" si="2"/>
        <v>4324301.4800000004</v>
      </c>
      <c r="H100" s="287">
        <f t="shared" si="3"/>
        <v>12.435987353106626</v>
      </c>
      <c r="I100" s="281"/>
      <c r="J100" s="281"/>
      <c r="K100" s="281"/>
      <c r="L100" s="281"/>
      <c r="M100" s="281"/>
    </row>
    <row r="101" spans="1:13" s="276" customFormat="1" ht="24" x14ac:dyDescent="0.55000000000000004">
      <c r="A101" s="273">
        <v>94</v>
      </c>
      <c r="B101" s="74" t="s">
        <v>113</v>
      </c>
      <c r="C101" s="274" t="s">
        <v>89</v>
      </c>
      <c r="D101" s="427">
        <v>1306678</v>
      </c>
      <c r="E101" s="416">
        <v>0</v>
      </c>
      <c r="F101" s="427">
        <v>160470</v>
      </c>
      <c r="G101" s="288">
        <f t="shared" si="2"/>
        <v>1146208</v>
      </c>
      <c r="H101" s="287">
        <f t="shared" si="3"/>
        <v>12.280760830135657</v>
      </c>
      <c r="I101" s="281"/>
      <c r="J101" s="281"/>
      <c r="K101" s="281"/>
      <c r="L101" s="281"/>
      <c r="M101" s="281"/>
    </row>
    <row r="102" spans="1:13" s="276" customFormat="1" ht="24" x14ac:dyDescent="0.55000000000000004">
      <c r="A102" s="273">
        <v>95</v>
      </c>
      <c r="B102" s="74" t="s">
        <v>115</v>
      </c>
      <c r="C102" s="274" t="s">
        <v>43</v>
      </c>
      <c r="D102" s="427">
        <v>5114260</v>
      </c>
      <c r="E102" s="416">
        <v>0</v>
      </c>
      <c r="F102" s="427">
        <v>818030</v>
      </c>
      <c r="G102" s="288">
        <f t="shared" si="2"/>
        <v>4296230</v>
      </c>
      <c r="H102" s="287">
        <f t="shared" si="3"/>
        <v>15.995080422192068</v>
      </c>
      <c r="I102" s="281"/>
      <c r="J102" s="281"/>
      <c r="K102" s="281"/>
      <c r="L102" s="281"/>
      <c r="M102" s="281"/>
    </row>
    <row r="103" spans="1:13" s="276" customFormat="1" ht="24.75" thickBot="1" x14ac:dyDescent="0.6">
      <c r="A103" s="678">
        <v>96</v>
      </c>
      <c r="B103" s="679" t="s">
        <v>115</v>
      </c>
      <c r="C103" s="782" t="s">
        <v>222</v>
      </c>
      <c r="D103" s="993">
        <v>4133632</v>
      </c>
      <c r="E103" s="994">
        <v>0</v>
      </c>
      <c r="F103" s="993">
        <v>638925.80000000005</v>
      </c>
      <c r="G103" s="995">
        <f t="shared" si="2"/>
        <v>3494706.2</v>
      </c>
      <c r="H103" s="996">
        <f t="shared" si="3"/>
        <v>15.456765382114327</v>
      </c>
      <c r="I103" s="281">
        <v>1914750</v>
      </c>
      <c r="J103" s="281">
        <v>1914750</v>
      </c>
      <c r="K103" s="281"/>
      <c r="L103" s="992"/>
      <c r="M103" s="281"/>
    </row>
    <row r="104" spans="1:13" s="272" customFormat="1" ht="24.75" thickBot="1" x14ac:dyDescent="0.6">
      <c r="A104" s="1150" t="s">
        <v>164</v>
      </c>
      <c r="B104" s="1151"/>
      <c r="C104" s="1152"/>
      <c r="D104" s="767">
        <f>SUM(D8:D103)</f>
        <v>695026000</v>
      </c>
      <c r="E104" s="767">
        <f>SUM(E8:E103)</f>
        <v>0</v>
      </c>
      <c r="F104" s="767">
        <f>SUM(F8:F103)</f>
        <v>109106629.46999997</v>
      </c>
      <c r="G104" s="768">
        <f>SUM(G8:G103)</f>
        <v>585919370.52999997</v>
      </c>
      <c r="H104" s="769">
        <f>F104*100/D104</f>
        <v>15.698208336091019</v>
      </c>
      <c r="I104" s="346"/>
      <c r="J104" s="346"/>
      <c r="K104" s="346"/>
      <c r="L104" s="346"/>
      <c r="M104" s="346"/>
    </row>
    <row r="105" spans="1:13" s="276" customFormat="1" ht="24.75" hidden="1" thickTop="1" x14ac:dyDescent="0.55000000000000004">
      <c r="B105" s="278"/>
      <c r="C105" s="279"/>
      <c r="D105" s="277"/>
      <c r="F105" s="277"/>
      <c r="G105" s="346"/>
      <c r="H105" s="272"/>
      <c r="I105" s="281"/>
      <c r="J105" s="281"/>
      <c r="K105" s="281"/>
      <c r="L105" s="281"/>
      <c r="M105" s="281"/>
    </row>
    <row r="106" spans="1:13" s="276" customFormat="1" ht="24.75" hidden="1" thickTop="1" x14ac:dyDescent="0.55000000000000004">
      <c r="B106" s="278"/>
      <c r="C106" s="279"/>
      <c r="F106" s="277"/>
      <c r="G106" s="346"/>
      <c r="H106" s="272"/>
      <c r="I106" s="281"/>
      <c r="J106" s="281"/>
      <c r="K106" s="281"/>
      <c r="L106" s="281"/>
      <c r="M106" s="281"/>
    </row>
    <row r="107" spans="1:13" s="276" customFormat="1" ht="24.75" hidden="1" thickTop="1" x14ac:dyDescent="0.55000000000000004">
      <c r="B107" s="278"/>
      <c r="C107" s="279"/>
      <c r="G107" s="346"/>
      <c r="H107" s="272"/>
      <c r="I107" s="281"/>
      <c r="J107" s="281"/>
      <c r="K107" s="281"/>
      <c r="L107" s="281"/>
      <c r="M107" s="281"/>
    </row>
    <row r="108" spans="1:13" s="276" customFormat="1" ht="24.75" hidden="1" thickTop="1" x14ac:dyDescent="0.55000000000000004">
      <c r="B108" s="278"/>
      <c r="C108" s="279"/>
      <c r="G108" s="346"/>
      <c r="H108" s="272"/>
      <c r="I108" s="281"/>
      <c r="J108" s="281"/>
      <c r="K108" s="281"/>
      <c r="L108" s="281"/>
      <c r="M108" s="281"/>
    </row>
    <row r="109" spans="1:13" s="276" customFormat="1" ht="24.75" hidden="1" thickTop="1" x14ac:dyDescent="0.55000000000000004">
      <c r="B109" s="278"/>
      <c r="C109" s="279"/>
      <c r="G109" s="346"/>
      <c r="H109" s="272"/>
      <c r="I109" s="281"/>
      <c r="J109" s="281"/>
      <c r="K109" s="281"/>
      <c r="L109" s="281"/>
      <c r="M109" s="281"/>
    </row>
    <row r="110" spans="1:13" s="276" customFormat="1" ht="24.75" hidden="1" thickTop="1" x14ac:dyDescent="0.55000000000000004">
      <c r="B110" s="278"/>
      <c r="C110" s="279"/>
      <c r="G110" s="346"/>
      <c r="H110" s="272"/>
      <c r="I110" s="281"/>
      <c r="J110" s="281"/>
      <c r="K110" s="281"/>
      <c r="L110" s="281"/>
      <c r="M110" s="281"/>
    </row>
    <row r="111" spans="1:13" s="276" customFormat="1" ht="24.75" hidden="1" thickTop="1" x14ac:dyDescent="0.55000000000000004">
      <c r="B111" s="278"/>
      <c r="C111" s="279"/>
      <c r="G111" s="346"/>
      <c r="H111" s="272"/>
      <c r="I111" s="281"/>
      <c r="J111" s="281"/>
      <c r="K111" s="281"/>
      <c r="L111" s="281"/>
      <c r="M111" s="281"/>
    </row>
    <row r="112" spans="1:13" s="276" customFormat="1" ht="24.75" hidden="1" thickTop="1" x14ac:dyDescent="0.55000000000000004">
      <c r="B112" s="278"/>
      <c r="C112" s="279"/>
      <c r="G112" s="346"/>
      <c r="H112" s="272"/>
      <c r="I112" s="281"/>
      <c r="J112" s="281"/>
      <c r="K112" s="281"/>
      <c r="L112" s="281"/>
      <c r="M112" s="281"/>
    </row>
    <row r="113" spans="2:13" s="276" customFormat="1" ht="24.75" hidden="1" thickTop="1" x14ac:dyDescent="0.55000000000000004">
      <c r="B113" s="278"/>
      <c r="C113" s="279"/>
      <c r="G113" s="346"/>
      <c r="H113" s="272"/>
      <c r="I113" s="281"/>
      <c r="J113" s="281"/>
      <c r="K113" s="281"/>
      <c r="L113" s="281"/>
      <c r="M113" s="281"/>
    </row>
    <row r="114" spans="2:13" s="276" customFormat="1" ht="24.75" hidden="1" thickTop="1" x14ac:dyDescent="0.55000000000000004">
      <c r="B114" s="278"/>
      <c r="C114" s="279"/>
      <c r="G114" s="346"/>
      <c r="H114" s="272"/>
      <c r="I114" s="281"/>
      <c r="J114" s="281"/>
      <c r="K114" s="281"/>
      <c r="L114" s="281"/>
      <c r="M114" s="281"/>
    </row>
    <row r="115" spans="2:13" s="276" customFormat="1" ht="24.75" hidden="1" thickTop="1" x14ac:dyDescent="0.55000000000000004">
      <c r="B115" s="278"/>
      <c r="C115" s="279"/>
      <c r="G115" s="346"/>
      <c r="H115" s="272"/>
      <c r="I115" s="281"/>
      <c r="J115" s="281"/>
      <c r="K115" s="281"/>
      <c r="L115" s="281"/>
      <c r="M115" s="281"/>
    </row>
    <row r="116" spans="2:13" s="276" customFormat="1" ht="24.75" hidden="1" thickTop="1" x14ac:dyDescent="0.55000000000000004">
      <c r="B116" s="278"/>
      <c r="C116" s="279"/>
      <c r="G116" s="346"/>
      <c r="H116" s="272"/>
      <c r="I116" s="281"/>
      <c r="J116" s="281"/>
      <c r="K116" s="281"/>
      <c r="L116" s="281"/>
      <c r="M116" s="281"/>
    </row>
    <row r="117" spans="2:13" s="276" customFormat="1" ht="24.75" hidden="1" thickTop="1" x14ac:dyDescent="0.55000000000000004">
      <c r="B117" s="278"/>
      <c r="C117" s="279"/>
      <c r="G117" s="346"/>
      <c r="H117" s="272"/>
      <c r="I117" s="281"/>
      <c r="J117" s="281"/>
      <c r="K117" s="281"/>
      <c r="L117" s="281"/>
      <c r="M117" s="281"/>
    </row>
    <row r="118" spans="2:13" s="276" customFormat="1" ht="24.75" hidden="1" thickTop="1" x14ac:dyDescent="0.55000000000000004">
      <c r="B118" s="278"/>
      <c r="C118" s="279"/>
      <c r="G118" s="346"/>
      <c r="H118" s="272"/>
      <c r="I118" s="281"/>
      <c r="J118" s="281"/>
      <c r="K118" s="281"/>
      <c r="L118" s="281"/>
      <c r="M118" s="281"/>
    </row>
    <row r="119" spans="2:13" s="276" customFormat="1" ht="24.75" hidden="1" thickTop="1" x14ac:dyDescent="0.55000000000000004">
      <c r="B119" s="278"/>
      <c r="C119" s="279"/>
      <c r="G119" s="346"/>
      <c r="H119" s="272"/>
      <c r="I119" s="281"/>
      <c r="J119" s="281"/>
      <c r="K119" s="281"/>
      <c r="L119" s="281"/>
      <c r="M119" s="281"/>
    </row>
    <row r="120" spans="2:13" s="276" customFormat="1" ht="24.75" hidden="1" thickTop="1" x14ac:dyDescent="0.55000000000000004">
      <c r="B120" s="278"/>
      <c r="C120" s="279"/>
      <c r="G120" s="346"/>
      <c r="H120" s="272"/>
      <c r="I120" s="281"/>
      <c r="J120" s="281"/>
      <c r="K120" s="281"/>
      <c r="L120" s="281"/>
      <c r="M120" s="281"/>
    </row>
    <row r="121" spans="2:13" s="276" customFormat="1" ht="24.75" hidden="1" thickTop="1" x14ac:dyDescent="0.55000000000000004">
      <c r="B121" s="278"/>
      <c r="C121" s="279"/>
      <c r="G121" s="346"/>
      <c r="H121" s="272"/>
      <c r="I121" s="281"/>
      <c r="J121" s="281"/>
      <c r="K121" s="281"/>
      <c r="L121" s="281"/>
      <c r="M121" s="281"/>
    </row>
    <row r="122" spans="2:13" s="276" customFormat="1" ht="24.75" hidden="1" thickTop="1" x14ac:dyDescent="0.55000000000000004">
      <c r="B122" s="278"/>
      <c r="C122" s="279"/>
      <c r="G122" s="346"/>
      <c r="H122" s="272"/>
      <c r="I122" s="281"/>
      <c r="J122" s="281"/>
      <c r="K122" s="281"/>
      <c r="L122" s="281"/>
      <c r="M122" s="281"/>
    </row>
    <row r="123" spans="2:13" s="276" customFormat="1" ht="24.75" hidden="1" thickTop="1" x14ac:dyDescent="0.55000000000000004">
      <c r="B123" s="278"/>
      <c r="C123" s="279"/>
      <c r="G123" s="346"/>
      <c r="H123" s="272"/>
      <c r="I123" s="281"/>
      <c r="J123" s="281"/>
      <c r="K123" s="281"/>
      <c r="L123" s="281"/>
      <c r="M123" s="281"/>
    </row>
    <row r="124" spans="2:13" s="276" customFormat="1" ht="24.75" hidden="1" thickTop="1" x14ac:dyDescent="0.55000000000000004">
      <c r="B124" s="278"/>
      <c r="C124" s="279"/>
      <c r="G124" s="346"/>
      <c r="H124" s="272"/>
      <c r="I124" s="281"/>
      <c r="J124" s="281"/>
      <c r="K124" s="281"/>
      <c r="L124" s="281"/>
      <c r="M124" s="281"/>
    </row>
    <row r="125" spans="2:13" s="276" customFormat="1" ht="24.75" hidden="1" thickTop="1" x14ac:dyDescent="0.55000000000000004">
      <c r="B125" s="278"/>
      <c r="C125" s="279"/>
      <c r="G125" s="346"/>
      <c r="H125" s="272"/>
      <c r="I125" s="281"/>
      <c r="J125" s="281"/>
      <c r="K125" s="281"/>
      <c r="L125" s="281"/>
      <c r="M125" s="281"/>
    </row>
    <row r="126" spans="2:13" s="276" customFormat="1" ht="24.75" hidden="1" thickTop="1" x14ac:dyDescent="0.55000000000000004">
      <c r="B126" s="278"/>
      <c r="C126" s="279"/>
      <c r="G126" s="346"/>
      <c r="H126" s="272"/>
      <c r="I126" s="281"/>
      <c r="J126" s="281"/>
      <c r="K126" s="281"/>
      <c r="L126" s="281"/>
      <c r="M126" s="281"/>
    </row>
    <row r="127" spans="2:13" s="276" customFormat="1" ht="24.75" hidden="1" thickTop="1" x14ac:dyDescent="0.55000000000000004">
      <c r="B127" s="278"/>
      <c r="C127" s="279"/>
      <c r="G127" s="346"/>
      <c r="H127" s="272"/>
      <c r="I127" s="281"/>
      <c r="J127" s="281"/>
      <c r="K127" s="281"/>
      <c r="L127" s="281"/>
      <c r="M127" s="281"/>
    </row>
    <row r="128" spans="2:13" s="276" customFormat="1" ht="24.75" hidden="1" thickTop="1" x14ac:dyDescent="0.55000000000000004">
      <c r="B128" s="278"/>
      <c r="C128" s="279"/>
      <c r="G128" s="346"/>
      <c r="H128" s="272"/>
      <c r="I128" s="281"/>
      <c r="J128" s="281"/>
      <c r="K128" s="281"/>
      <c r="L128" s="281"/>
      <c r="M128" s="281"/>
    </row>
    <row r="129" spans="2:13" s="276" customFormat="1" ht="24.75" hidden="1" thickTop="1" x14ac:dyDescent="0.55000000000000004">
      <c r="B129" s="278"/>
      <c r="C129" s="279"/>
      <c r="G129" s="346"/>
      <c r="H129" s="272"/>
      <c r="I129" s="281"/>
      <c r="J129" s="281"/>
      <c r="K129" s="281"/>
      <c r="L129" s="281"/>
      <c r="M129" s="281"/>
    </row>
    <row r="130" spans="2:13" s="276" customFormat="1" ht="24.75" hidden="1" thickTop="1" x14ac:dyDescent="0.55000000000000004">
      <c r="B130" s="278"/>
      <c r="C130" s="279"/>
      <c r="G130" s="346"/>
      <c r="H130" s="272"/>
      <c r="I130" s="281"/>
      <c r="J130" s="281"/>
      <c r="K130" s="281"/>
      <c r="L130" s="281"/>
      <c r="M130" s="281"/>
    </row>
    <row r="131" spans="2:13" s="276" customFormat="1" ht="24.75" hidden="1" thickTop="1" x14ac:dyDescent="0.55000000000000004">
      <c r="B131" s="278"/>
      <c r="C131" s="279"/>
      <c r="G131" s="346"/>
      <c r="H131" s="272"/>
      <c r="I131" s="281"/>
      <c r="J131" s="281"/>
      <c r="K131" s="281"/>
      <c r="L131" s="281"/>
      <c r="M131" s="281"/>
    </row>
    <row r="132" spans="2:13" s="276" customFormat="1" ht="24.75" hidden="1" thickTop="1" x14ac:dyDescent="0.55000000000000004">
      <c r="B132" s="278"/>
      <c r="C132" s="279"/>
      <c r="G132" s="346"/>
      <c r="H132" s="272"/>
      <c r="I132" s="281"/>
      <c r="J132" s="281"/>
      <c r="K132" s="281"/>
      <c r="L132" s="281"/>
      <c r="M132" s="281"/>
    </row>
    <row r="133" spans="2:13" s="276" customFormat="1" ht="24.75" hidden="1" thickTop="1" x14ac:dyDescent="0.55000000000000004">
      <c r="B133" s="278"/>
      <c r="C133" s="279"/>
      <c r="G133" s="346"/>
      <c r="H133" s="272"/>
      <c r="I133" s="281"/>
      <c r="J133" s="281"/>
      <c r="K133" s="281"/>
      <c r="L133" s="281"/>
      <c r="M133" s="281"/>
    </row>
    <row r="134" spans="2:13" s="276" customFormat="1" ht="24.75" hidden="1" thickTop="1" x14ac:dyDescent="0.55000000000000004">
      <c r="B134" s="278"/>
      <c r="C134" s="279"/>
      <c r="G134" s="346"/>
      <c r="H134" s="272"/>
      <c r="I134" s="281"/>
      <c r="J134" s="281"/>
      <c r="K134" s="281"/>
      <c r="L134" s="281"/>
      <c r="M134" s="281"/>
    </row>
    <row r="135" spans="2:13" s="276" customFormat="1" ht="24.75" hidden="1" thickTop="1" x14ac:dyDescent="0.55000000000000004">
      <c r="B135" s="278"/>
      <c r="C135" s="279"/>
      <c r="G135" s="346"/>
      <c r="H135" s="272"/>
      <c r="I135" s="281"/>
      <c r="J135" s="281"/>
      <c r="K135" s="281"/>
      <c r="L135" s="281"/>
      <c r="M135" s="281"/>
    </row>
    <row r="136" spans="2:13" s="276" customFormat="1" ht="24.75" hidden="1" thickTop="1" x14ac:dyDescent="0.55000000000000004">
      <c r="B136" s="278"/>
      <c r="C136" s="279"/>
      <c r="G136" s="346"/>
      <c r="H136" s="272"/>
      <c r="I136" s="281"/>
      <c r="J136" s="281"/>
      <c r="K136" s="281"/>
      <c r="L136" s="281"/>
      <c r="M136" s="281"/>
    </row>
    <row r="137" spans="2:13" s="276" customFormat="1" ht="24.75" hidden="1" thickTop="1" x14ac:dyDescent="0.55000000000000004">
      <c r="B137" s="278"/>
      <c r="C137" s="279"/>
      <c r="G137" s="346"/>
      <c r="H137" s="272"/>
      <c r="I137" s="281"/>
      <c r="J137" s="281"/>
      <c r="K137" s="281"/>
      <c r="L137" s="281"/>
      <c r="M137" s="281"/>
    </row>
    <row r="138" spans="2:13" s="276" customFormat="1" ht="24.75" hidden="1" thickTop="1" x14ac:dyDescent="0.55000000000000004">
      <c r="B138" s="278"/>
      <c r="C138" s="279"/>
      <c r="G138" s="346"/>
      <c r="H138" s="272"/>
      <c r="I138" s="281"/>
      <c r="J138" s="281"/>
      <c r="K138" s="281"/>
      <c r="L138" s="281"/>
      <c r="M138" s="281"/>
    </row>
    <row r="139" spans="2:13" s="276" customFormat="1" ht="24.75" hidden="1" thickTop="1" x14ac:dyDescent="0.55000000000000004">
      <c r="B139" s="278"/>
      <c r="C139" s="279"/>
      <c r="G139" s="346"/>
      <c r="H139" s="272"/>
      <c r="I139" s="281"/>
      <c r="J139" s="281"/>
      <c r="K139" s="281"/>
      <c r="L139" s="281"/>
      <c r="M139" s="281"/>
    </row>
    <row r="140" spans="2:13" s="276" customFormat="1" ht="24.75" hidden="1" thickTop="1" x14ac:dyDescent="0.55000000000000004">
      <c r="B140" s="278"/>
      <c r="C140" s="279"/>
      <c r="G140" s="346"/>
      <c r="H140" s="272"/>
      <c r="I140" s="281"/>
      <c r="J140" s="281"/>
      <c r="K140" s="281"/>
      <c r="L140" s="281"/>
      <c r="M140" s="281"/>
    </row>
    <row r="141" spans="2:13" s="276" customFormat="1" ht="24.75" hidden="1" thickTop="1" x14ac:dyDescent="0.55000000000000004">
      <c r="B141" s="278"/>
      <c r="C141" s="279"/>
      <c r="G141" s="346"/>
      <c r="H141" s="272"/>
      <c r="I141" s="281"/>
      <c r="J141" s="281"/>
      <c r="K141" s="281"/>
      <c r="L141" s="281"/>
      <c r="M141" s="281"/>
    </row>
    <row r="142" spans="2:13" s="276" customFormat="1" ht="24.75" hidden="1" thickTop="1" x14ac:dyDescent="0.55000000000000004">
      <c r="B142" s="278"/>
      <c r="C142" s="279"/>
      <c r="G142" s="346"/>
      <c r="H142" s="272"/>
      <c r="I142" s="281"/>
      <c r="J142" s="281"/>
      <c r="K142" s="281"/>
      <c r="L142" s="281"/>
      <c r="M142" s="281"/>
    </row>
    <row r="143" spans="2:13" s="276" customFormat="1" ht="24.75" hidden="1" thickTop="1" x14ac:dyDescent="0.55000000000000004">
      <c r="B143" s="278"/>
      <c r="C143" s="279"/>
      <c r="G143" s="346"/>
      <c r="H143" s="272"/>
      <c r="I143" s="281"/>
      <c r="J143" s="281"/>
      <c r="K143" s="281"/>
      <c r="L143" s="281"/>
      <c r="M143" s="281"/>
    </row>
    <row r="144" spans="2:13" s="276" customFormat="1" ht="24.75" hidden="1" thickTop="1" x14ac:dyDescent="0.55000000000000004">
      <c r="B144" s="278"/>
      <c r="C144" s="279"/>
      <c r="G144" s="346"/>
      <c r="H144" s="272"/>
      <c r="I144" s="281"/>
      <c r="J144" s="281"/>
      <c r="K144" s="281"/>
      <c r="L144" s="281"/>
      <c r="M144" s="281"/>
    </row>
    <row r="145" spans="2:13" s="276" customFormat="1" ht="24.75" hidden="1" thickTop="1" x14ac:dyDescent="0.55000000000000004">
      <c r="B145" s="278"/>
      <c r="C145" s="279"/>
      <c r="G145" s="346"/>
      <c r="H145" s="272"/>
      <c r="I145" s="281"/>
      <c r="J145" s="281"/>
      <c r="K145" s="281"/>
      <c r="L145" s="281"/>
      <c r="M145" s="281"/>
    </row>
    <row r="146" spans="2:13" s="276" customFormat="1" ht="24.75" hidden="1" thickTop="1" x14ac:dyDescent="0.55000000000000004">
      <c r="B146" s="278"/>
      <c r="C146" s="279"/>
      <c r="G146" s="346"/>
      <c r="H146" s="272"/>
      <c r="I146" s="281"/>
      <c r="J146" s="281"/>
      <c r="K146" s="281"/>
      <c r="L146" s="281"/>
      <c r="M146" s="281"/>
    </row>
    <row r="147" spans="2:13" s="276" customFormat="1" ht="24.75" hidden="1" thickTop="1" x14ac:dyDescent="0.55000000000000004">
      <c r="B147" s="278"/>
      <c r="C147" s="279"/>
      <c r="G147" s="346"/>
      <c r="H147" s="272"/>
      <c r="I147" s="281"/>
      <c r="J147" s="281"/>
      <c r="K147" s="281"/>
      <c r="L147" s="281"/>
      <c r="M147" s="281"/>
    </row>
    <row r="148" spans="2:13" s="276" customFormat="1" ht="24.75" hidden="1" thickTop="1" x14ac:dyDescent="0.55000000000000004">
      <c r="B148" s="278"/>
      <c r="C148" s="279"/>
      <c r="G148" s="346"/>
      <c r="H148" s="272"/>
      <c r="I148" s="281"/>
      <c r="J148" s="281"/>
      <c r="K148" s="281"/>
      <c r="L148" s="281"/>
      <c r="M148" s="281"/>
    </row>
    <row r="149" spans="2:13" s="276" customFormat="1" ht="24.75" hidden="1" thickTop="1" x14ac:dyDescent="0.55000000000000004">
      <c r="B149" s="278"/>
      <c r="C149" s="279"/>
      <c r="G149" s="346"/>
      <c r="H149" s="272"/>
      <c r="I149" s="281"/>
      <c r="J149" s="281"/>
      <c r="K149" s="281"/>
      <c r="L149" s="281"/>
      <c r="M149" s="281"/>
    </row>
    <row r="150" spans="2:13" s="276" customFormat="1" ht="24.75" hidden="1" thickTop="1" x14ac:dyDescent="0.55000000000000004">
      <c r="B150" s="278"/>
      <c r="C150" s="279"/>
      <c r="G150" s="346"/>
      <c r="H150" s="272"/>
      <c r="I150" s="281"/>
      <c r="J150" s="281"/>
      <c r="K150" s="281"/>
      <c r="L150" s="281"/>
      <c r="M150" s="281"/>
    </row>
    <row r="151" spans="2:13" s="276" customFormat="1" ht="24.75" hidden="1" thickTop="1" x14ac:dyDescent="0.55000000000000004">
      <c r="B151" s="278"/>
      <c r="C151" s="279"/>
      <c r="G151" s="346"/>
      <c r="H151" s="272"/>
      <c r="I151" s="281"/>
      <c r="J151" s="281"/>
      <c r="K151" s="281"/>
      <c r="L151" s="281"/>
      <c r="M151" s="281"/>
    </row>
    <row r="152" spans="2:13" s="276" customFormat="1" ht="24.75" hidden="1" thickTop="1" x14ac:dyDescent="0.55000000000000004">
      <c r="B152" s="278"/>
      <c r="C152" s="279"/>
      <c r="G152" s="346"/>
      <c r="H152" s="272"/>
      <c r="I152" s="281"/>
      <c r="J152" s="281"/>
      <c r="K152" s="281"/>
      <c r="L152" s="281"/>
      <c r="M152" s="281"/>
    </row>
    <row r="153" spans="2:13" s="276" customFormat="1" ht="24.75" hidden="1" thickTop="1" x14ac:dyDescent="0.55000000000000004">
      <c r="B153" s="278"/>
      <c r="C153" s="279"/>
      <c r="G153" s="346"/>
      <c r="H153" s="272"/>
      <c r="I153" s="281"/>
      <c r="J153" s="281"/>
      <c r="K153" s="281"/>
      <c r="L153" s="281"/>
      <c r="M153" s="281"/>
    </row>
    <row r="154" spans="2:13" s="276" customFormat="1" ht="24.75" hidden="1" thickTop="1" x14ac:dyDescent="0.55000000000000004">
      <c r="B154" s="278"/>
      <c r="C154" s="279"/>
      <c r="G154" s="346"/>
      <c r="H154" s="272"/>
      <c r="I154" s="281"/>
      <c r="J154" s="281"/>
      <c r="K154" s="281"/>
      <c r="L154" s="281"/>
      <c r="M154" s="281"/>
    </row>
    <row r="155" spans="2:13" s="276" customFormat="1" ht="24.75" hidden="1" thickTop="1" x14ac:dyDescent="0.55000000000000004">
      <c r="B155" s="278"/>
      <c r="C155" s="279"/>
      <c r="G155" s="346"/>
      <c r="H155" s="272"/>
      <c r="I155" s="281"/>
      <c r="J155" s="281"/>
      <c r="K155" s="281"/>
      <c r="L155" s="281"/>
      <c r="M155" s="281"/>
    </row>
    <row r="156" spans="2:13" s="276" customFormat="1" ht="24.75" hidden="1" thickTop="1" x14ac:dyDescent="0.55000000000000004">
      <c r="B156" s="278"/>
      <c r="C156" s="279"/>
      <c r="G156" s="346"/>
      <c r="H156" s="272"/>
      <c r="I156" s="281"/>
      <c r="J156" s="281"/>
      <c r="K156" s="281"/>
      <c r="L156" s="281"/>
      <c r="M156" s="281"/>
    </row>
    <row r="157" spans="2:13" s="276" customFormat="1" ht="24.75" hidden="1" thickTop="1" x14ac:dyDescent="0.55000000000000004">
      <c r="B157" s="278"/>
      <c r="C157" s="279"/>
      <c r="G157" s="346"/>
      <c r="H157" s="272"/>
      <c r="I157" s="281"/>
      <c r="J157" s="281"/>
      <c r="K157" s="281"/>
      <c r="L157" s="281"/>
      <c r="M157" s="281"/>
    </row>
    <row r="158" spans="2:13" s="276" customFormat="1" ht="24.75" hidden="1" thickTop="1" x14ac:dyDescent="0.55000000000000004">
      <c r="B158" s="278"/>
      <c r="C158" s="279"/>
      <c r="G158" s="346"/>
      <c r="H158" s="272"/>
      <c r="I158" s="281"/>
      <c r="J158" s="281"/>
      <c r="K158" s="281"/>
      <c r="L158" s="281"/>
      <c r="M158" s="281"/>
    </row>
    <row r="159" spans="2:13" s="276" customFormat="1" ht="24.75" hidden="1" thickTop="1" x14ac:dyDescent="0.55000000000000004">
      <c r="B159" s="278"/>
      <c r="C159" s="279"/>
      <c r="G159" s="346"/>
      <c r="H159" s="272"/>
      <c r="I159" s="281"/>
      <c r="J159" s="281"/>
      <c r="K159" s="281"/>
      <c r="L159" s="281"/>
      <c r="M159" s="281"/>
    </row>
    <row r="160" spans="2:13" s="276" customFormat="1" ht="24.75" hidden="1" thickTop="1" x14ac:dyDescent="0.55000000000000004">
      <c r="B160" s="278"/>
      <c r="C160" s="279"/>
      <c r="G160" s="346"/>
      <c r="H160" s="272"/>
      <c r="I160" s="281"/>
      <c r="J160" s="281"/>
      <c r="K160" s="281"/>
      <c r="L160" s="281"/>
      <c r="M160" s="281"/>
    </row>
    <row r="161" spans="2:13" s="276" customFormat="1" ht="24.75" hidden="1" thickTop="1" x14ac:dyDescent="0.55000000000000004">
      <c r="B161" s="278"/>
      <c r="C161" s="279"/>
      <c r="G161" s="346"/>
      <c r="H161" s="272"/>
      <c r="I161" s="281"/>
      <c r="J161" s="281"/>
      <c r="K161" s="281"/>
      <c r="L161" s="281"/>
      <c r="M161" s="281"/>
    </row>
    <row r="162" spans="2:13" s="276" customFormat="1" ht="24.75" hidden="1" thickTop="1" x14ac:dyDescent="0.55000000000000004">
      <c r="B162" s="278"/>
      <c r="C162" s="279"/>
      <c r="G162" s="346"/>
      <c r="H162" s="272"/>
      <c r="I162" s="281"/>
      <c r="J162" s="281"/>
      <c r="K162" s="281"/>
      <c r="L162" s="281"/>
      <c r="M162" s="281"/>
    </row>
    <row r="163" spans="2:13" s="276" customFormat="1" ht="24.75" hidden="1" thickTop="1" x14ac:dyDescent="0.55000000000000004">
      <c r="B163" s="278"/>
      <c r="C163" s="279"/>
      <c r="G163" s="346"/>
      <c r="H163" s="272"/>
      <c r="I163" s="281"/>
      <c r="J163" s="281"/>
      <c r="K163" s="281"/>
      <c r="L163" s="281"/>
      <c r="M163" s="281"/>
    </row>
    <row r="164" spans="2:13" s="276" customFormat="1" ht="24.75" hidden="1" thickTop="1" x14ac:dyDescent="0.55000000000000004">
      <c r="B164" s="278"/>
      <c r="C164" s="279"/>
      <c r="G164" s="346"/>
      <c r="H164" s="272"/>
      <c r="I164" s="281"/>
      <c r="J164" s="281"/>
      <c r="K164" s="281"/>
      <c r="L164" s="281"/>
      <c r="M164" s="281"/>
    </row>
    <row r="165" spans="2:13" s="276" customFormat="1" ht="24.75" hidden="1" thickTop="1" x14ac:dyDescent="0.55000000000000004">
      <c r="B165" s="278"/>
      <c r="C165" s="279"/>
      <c r="G165" s="346"/>
      <c r="H165" s="272"/>
      <c r="I165" s="281"/>
      <c r="J165" s="281"/>
      <c r="K165" s="281"/>
      <c r="L165" s="281"/>
      <c r="M165" s="281"/>
    </row>
    <row r="166" spans="2:13" s="276" customFormat="1" ht="24.75" hidden="1" thickTop="1" x14ac:dyDescent="0.55000000000000004">
      <c r="B166" s="278"/>
      <c r="C166" s="279"/>
      <c r="G166" s="346"/>
      <c r="H166" s="272"/>
      <c r="I166" s="281"/>
      <c r="J166" s="281"/>
      <c r="K166" s="281"/>
      <c r="L166" s="281"/>
      <c r="M166" s="281"/>
    </row>
    <row r="167" spans="2:13" s="276" customFormat="1" ht="24.75" hidden="1" thickTop="1" x14ac:dyDescent="0.55000000000000004">
      <c r="B167" s="278"/>
      <c r="C167" s="279"/>
      <c r="G167" s="346"/>
      <c r="H167" s="272"/>
      <c r="I167" s="281"/>
      <c r="J167" s="281"/>
      <c r="K167" s="281"/>
      <c r="L167" s="281"/>
      <c r="M167" s="281"/>
    </row>
    <row r="168" spans="2:13" s="276" customFormat="1" ht="24.75" hidden="1" thickTop="1" x14ac:dyDescent="0.55000000000000004">
      <c r="B168" s="278"/>
      <c r="C168" s="279"/>
      <c r="G168" s="346"/>
      <c r="H168" s="272"/>
      <c r="I168" s="281"/>
      <c r="J168" s="281"/>
      <c r="K168" s="281"/>
      <c r="L168" s="281"/>
      <c r="M168" s="281"/>
    </row>
    <row r="169" spans="2:13" s="276" customFormat="1" ht="24.75" hidden="1" thickTop="1" x14ac:dyDescent="0.55000000000000004">
      <c r="B169" s="278"/>
      <c r="C169" s="279"/>
      <c r="G169" s="346"/>
      <c r="H169" s="272"/>
      <c r="I169" s="281"/>
      <c r="J169" s="281"/>
      <c r="K169" s="281"/>
      <c r="L169" s="281"/>
      <c r="M169" s="281"/>
    </row>
    <row r="170" spans="2:13" s="276" customFormat="1" ht="24.75" hidden="1" thickTop="1" x14ac:dyDescent="0.55000000000000004">
      <c r="B170" s="278"/>
      <c r="C170" s="279"/>
      <c r="G170" s="346"/>
      <c r="H170" s="272"/>
      <c r="I170" s="281"/>
      <c r="J170" s="281"/>
      <c r="K170" s="281"/>
      <c r="L170" s="281"/>
      <c r="M170" s="281"/>
    </row>
    <row r="171" spans="2:13" s="276" customFormat="1" ht="24.75" hidden="1" thickTop="1" x14ac:dyDescent="0.55000000000000004">
      <c r="B171" s="278"/>
      <c r="C171" s="279"/>
      <c r="G171" s="346"/>
      <c r="H171" s="272"/>
      <c r="I171" s="281"/>
      <c r="J171" s="281"/>
      <c r="K171" s="281"/>
      <c r="L171" s="281"/>
      <c r="M171" s="281"/>
    </row>
    <row r="172" spans="2:13" s="276" customFormat="1" ht="24.75" hidden="1" thickTop="1" x14ac:dyDescent="0.55000000000000004">
      <c r="B172" s="278"/>
      <c r="C172" s="279"/>
      <c r="G172" s="346"/>
      <c r="H172" s="272"/>
      <c r="I172" s="281"/>
      <c r="J172" s="281"/>
      <c r="K172" s="281"/>
      <c r="L172" s="281"/>
      <c r="M172" s="281"/>
    </row>
    <row r="173" spans="2:13" s="276" customFormat="1" ht="24.75" hidden="1" thickTop="1" x14ac:dyDescent="0.55000000000000004">
      <c r="B173" s="278"/>
      <c r="C173" s="279"/>
      <c r="G173" s="346"/>
      <c r="H173" s="272"/>
      <c r="I173" s="281"/>
      <c r="J173" s="281"/>
      <c r="K173" s="281"/>
      <c r="L173" s="281"/>
      <c r="M173" s="281"/>
    </row>
    <row r="174" spans="2:13" s="276" customFormat="1" ht="24.75" hidden="1" thickTop="1" x14ac:dyDescent="0.55000000000000004">
      <c r="B174" s="278"/>
      <c r="C174" s="279"/>
      <c r="G174" s="346"/>
      <c r="H174" s="272"/>
      <c r="I174" s="281"/>
      <c r="J174" s="281"/>
      <c r="K174" s="281"/>
      <c r="L174" s="281"/>
      <c r="M174" s="281"/>
    </row>
    <row r="175" spans="2:13" s="276" customFormat="1" ht="24.75" hidden="1" thickTop="1" x14ac:dyDescent="0.55000000000000004">
      <c r="B175" s="278"/>
      <c r="C175" s="279"/>
      <c r="G175" s="346"/>
      <c r="H175" s="272"/>
      <c r="I175" s="281"/>
      <c r="J175" s="281"/>
      <c r="K175" s="281"/>
      <c r="L175" s="281"/>
      <c r="M175" s="281"/>
    </row>
    <row r="176" spans="2:13" s="276" customFormat="1" ht="24.75" hidden="1" thickTop="1" x14ac:dyDescent="0.55000000000000004">
      <c r="B176" s="278"/>
      <c r="C176" s="279"/>
      <c r="G176" s="346"/>
      <c r="H176" s="272"/>
      <c r="I176" s="281"/>
      <c r="J176" s="281"/>
      <c r="K176" s="281"/>
      <c r="L176" s="281"/>
      <c r="M176" s="281"/>
    </row>
    <row r="177" spans="2:13" s="276" customFormat="1" ht="24.75" hidden="1" thickTop="1" x14ac:dyDescent="0.55000000000000004">
      <c r="B177" s="278"/>
      <c r="C177" s="279"/>
      <c r="G177" s="346"/>
      <c r="H177" s="272"/>
      <c r="I177" s="281"/>
      <c r="J177" s="281"/>
      <c r="K177" s="281"/>
      <c r="L177" s="281"/>
      <c r="M177" s="281"/>
    </row>
    <row r="178" spans="2:13" s="276" customFormat="1" ht="24.75" hidden="1" thickTop="1" x14ac:dyDescent="0.55000000000000004">
      <c r="B178" s="278"/>
      <c r="C178" s="279"/>
      <c r="G178" s="346"/>
      <c r="H178" s="272"/>
      <c r="I178" s="281"/>
      <c r="J178" s="281"/>
      <c r="K178" s="281"/>
      <c r="L178" s="281"/>
      <c r="M178" s="281"/>
    </row>
    <row r="179" spans="2:13" s="276" customFormat="1" ht="24.75" hidden="1" thickTop="1" x14ac:dyDescent="0.55000000000000004">
      <c r="B179" s="278"/>
      <c r="C179" s="279"/>
      <c r="G179" s="346"/>
      <c r="H179" s="272"/>
      <c r="I179" s="281"/>
      <c r="J179" s="281"/>
      <c r="K179" s="281"/>
      <c r="L179" s="281"/>
      <c r="M179" s="281"/>
    </row>
    <row r="180" spans="2:13" s="276" customFormat="1" ht="24.75" hidden="1" thickTop="1" x14ac:dyDescent="0.55000000000000004">
      <c r="B180" s="278"/>
      <c r="C180" s="279"/>
      <c r="G180" s="346"/>
      <c r="H180" s="272"/>
      <c r="I180" s="281"/>
      <c r="J180" s="281"/>
      <c r="K180" s="281"/>
      <c r="L180" s="281"/>
      <c r="M180" s="281"/>
    </row>
    <row r="181" spans="2:13" s="276" customFormat="1" ht="24.75" hidden="1" thickTop="1" x14ac:dyDescent="0.55000000000000004">
      <c r="B181" s="278"/>
      <c r="C181" s="279"/>
      <c r="G181" s="346"/>
      <c r="H181" s="272"/>
      <c r="I181" s="281"/>
      <c r="J181" s="281"/>
      <c r="K181" s="281"/>
      <c r="L181" s="281"/>
      <c r="M181" s="281"/>
    </row>
    <row r="182" spans="2:13" s="276" customFormat="1" ht="24.75" hidden="1" thickTop="1" x14ac:dyDescent="0.55000000000000004">
      <c r="B182" s="278"/>
      <c r="C182" s="279"/>
      <c r="G182" s="346"/>
      <c r="H182" s="272"/>
      <c r="I182" s="281"/>
      <c r="J182" s="281"/>
      <c r="K182" s="281"/>
      <c r="L182" s="281"/>
      <c r="M182" s="281"/>
    </row>
    <row r="183" spans="2:13" s="276" customFormat="1" ht="24.75" hidden="1" thickTop="1" x14ac:dyDescent="0.55000000000000004">
      <c r="B183" s="278"/>
      <c r="C183" s="279"/>
      <c r="G183" s="346"/>
      <c r="H183" s="272"/>
      <c r="I183" s="281"/>
      <c r="J183" s="281"/>
      <c r="K183" s="281"/>
      <c r="L183" s="281"/>
      <c r="M183" s="281"/>
    </row>
    <row r="184" spans="2:13" s="276" customFormat="1" ht="24.75" hidden="1" thickTop="1" x14ac:dyDescent="0.55000000000000004">
      <c r="B184" s="278"/>
      <c r="C184" s="279"/>
      <c r="G184" s="346"/>
      <c r="H184" s="272"/>
      <c r="I184" s="281"/>
      <c r="J184" s="281"/>
      <c r="K184" s="281"/>
      <c r="L184" s="281"/>
      <c r="M184" s="281"/>
    </row>
    <row r="185" spans="2:13" s="276" customFormat="1" ht="24.75" hidden="1" thickTop="1" x14ac:dyDescent="0.55000000000000004">
      <c r="B185" s="278"/>
      <c r="C185" s="279"/>
      <c r="G185" s="346"/>
      <c r="H185" s="272"/>
      <c r="I185" s="281"/>
      <c r="J185" s="281"/>
      <c r="K185" s="281"/>
      <c r="L185" s="281"/>
      <c r="M185" s="281"/>
    </row>
    <row r="186" spans="2:13" s="276" customFormat="1" ht="24.75" hidden="1" thickTop="1" x14ac:dyDescent="0.55000000000000004">
      <c r="B186" s="278"/>
      <c r="C186" s="279"/>
      <c r="G186" s="346"/>
      <c r="H186" s="272"/>
      <c r="I186" s="281"/>
      <c r="J186" s="281"/>
      <c r="K186" s="281"/>
      <c r="L186" s="281"/>
      <c r="M186" s="281"/>
    </row>
    <row r="187" spans="2:13" s="276" customFormat="1" ht="24.75" hidden="1" thickTop="1" x14ac:dyDescent="0.55000000000000004">
      <c r="B187" s="278"/>
      <c r="C187" s="279"/>
      <c r="G187" s="346"/>
      <c r="H187" s="272"/>
      <c r="I187" s="281"/>
      <c r="J187" s="281"/>
      <c r="K187" s="281"/>
      <c r="L187" s="281"/>
      <c r="M187" s="281"/>
    </row>
    <row r="188" spans="2:13" s="276" customFormat="1" ht="24.75" hidden="1" thickTop="1" x14ac:dyDescent="0.55000000000000004">
      <c r="B188" s="278"/>
      <c r="C188" s="279"/>
      <c r="G188" s="346"/>
      <c r="H188" s="272"/>
      <c r="I188" s="281"/>
      <c r="J188" s="281"/>
      <c r="K188" s="281"/>
      <c r="L188" s="281"/>
      <c r="M188" s="281"/>
    </row>
    <row r="189" spans="2:13" s="276" customFormat="1" ht="24.75" hidden="1" thickTop="1" x14ac:dyDescent="0.55000000000000004">
      <c r="B189" s="278"/>
      <c r="C189" s="279"/>
      <c r="G189" s="346"/>
      <c r="H189" s="272"/>
      <c r="I189" s="281"/>
      <c r="J189" s="281"/>
      <c r="K189" s="281"/>
      <c r="L189" s="281"/>
      <c r="M189" s="281"/>
    </row>
    <row r="190" spans="2:13" s="276" customFormat="1" ht="24.75" hidden="1" thickTop="1" x14ac:dyDescent="0.55000000000000004">
      <c r="B190" s="278"/>
      <c r="C190" s="279"/>
      <c r="G190" s="346"/>
      <c r="H190" s="272"/>
      <c r="I190" s="281"/>
      <c r="J190" s="281"/>
      <c r="K190" s="281"/>
      <c r="L190" s="281"/>
      <c r="M190" s="281"/>
    </row>
    <row r="191" spans="2:13" s="276" customFormat="1" ht="24.75" hidden="1" thickTop="1" x14ac:dyDescent="0.55000000000000004">
      <c r="B191" s="278"/>
      <c r="C191" s="279"/>
      <c r="G191" s="346"/>
      <c r="H191" s="272"/>
      <c r="I191" s="281"/>
      <c r="J191" s="281"/>
      <c r="K191" s="281"/>
      <c r="L191" s="281"/>
      <c r="M191" s="281"/>
    </row>
    <row r="192" spans="2:13" s="276" customFormat="1" ht="24.75" hidden="1" thickTop="1" x14ac:dyDescent="0.55000000000000004">
      <c r="B192" s="278"/>
      <c r="C192" s="279"/>
      <c r="G192" s="346"/>
      <c r="H192" s="272"/>
      <c r="I192" s="281"/>
      <c r="J192" s="281"/>
      <c r="K192" s="281"/>
      <c r="L192" s="281"/>
      <c r="M192" s="281"/>
    </row>
    <row r="193" spans="2:13" s="276" customFormat="1" ht="24.75" hidden="1" thickTop="1" x14ac:dyDescent="0.55000000000000004">
      <c r="B193" s="278"/>
      <c r="C193" s="279"/>
      <c r="G193" s="346"/>
      <c r="H193" s="272"/>
      <c r="I193" s="281"/>
      <c r="J193" s="281"/>
      <c r="K193" s="281"/>
      <c r="L193" s="281"/>
      <c r="M193" s="281"/>
    </row>
    <row r="194" spans="2:13" s="276" customFormat="1" ht="24.75" hidden="1" thickTop="1" x14ac:dyDescent="0.55000000000000004">
      <c r="B194" s="278"/>
      <c r="C194" s="279"/>
      <c r="G194" s="346"/>
      <c r="H194" s="272"/>
      <c r="I194" s="281"/>
      <c r="J194" s="281"/>
      <c r="K194" s="281"/>
      <c r="L194" s="281"/>
      <c r="M194" s="281"/>
    </row>
    <row r="195" spans="2:13" s="276" customFormat="1" ht="24.75" hidden="1" thickTop="1" x14ac:dyDescent="0.55000000000000004">
      <c r="B195" s="278"/>
      <c r="C195" s="279"/>
      <c r="G195" s="346"/>
      <c r="H195" s="272"/>
      <c r="I195" s="281"/>
      <c r="J195" s="281"/>
      <c r="K195" s="281"/>
      <c r="L195" s="281"/>
      <c r="M195" s="281"/>
    </row>
    <row r="196" spans="2:13" s="276" customFormat="1" ht="24.75" hidden="1" thickTop="1" x14ac:dyDescent="0.55000000000000004">
      <c r="B196" s="278"/>
      <c r="C196" s="279"/>
      <c r="G196" s="346"/>
      <c r="H196" s="272"/>
      <c r="I196" s="281"/>
      <c r="J196" s="281"/>
      <c r="K196" s="281"/>
      <c r="L196" s="281"/>
      <c r="M196" s="281"/>
    </row>
    <row r="197" spans="2:13" s="276" customFormat="1" ht="24.75" hidden="1" thickTop="1" x14ac:dyDescent="0.55000000000000004">
      <c r="B197" s="278"/>
      <c r="C197" s="279"/>
      <c r="G197" s="346"/>
      <c r="H197" s="272"/>
      <c r="I197" s="281"/>
      <c r="J197" s="281"/>
      <c r="K197" s="281"/>
      <c r="L197" s="281"/>
      <c r="M197" s="281"/>
    </row>
    <row r="198" spans="2:13" s="276" customFormat="1" ht="24.75" hidden="1" thickTop="1" x14ac:dyDescent="0.55000000000000004">
      <c r="B198" s="278"/>
      <c r="C198" s="279"/>
      <c r="G198" s="346"/>
      <c r="H198" s="272"/>
      <c r="I198" s="281"/>
      <c r="J198" s="281"/>
      <c r="K198" s="281"/>
      <c r="L198" s="281"/>
      <c r="M198" s="281"/>
    </row>
    <row r="199" spans="2:13" s="276" customFormat="1" ht="24.75" hidden="1" thickTop="1" x14ac:dyDescent="0.55000000000000004">
      <c r="B199" s="278"/>
      <c r="C199" s="279"/>
      <c r="G199" s="346"/>
      <c r="H199" s="272"/>
      <c r="I199" s="281"/>
      <c r="J199" s="281"/>
      <c r="K199" s="281"/>
      <c r="L199" s="281"/>
      <c r="M199" s="281"/>
    </row>
    <row r="200" spans="2:13" s="276" customFormat="1" ht="24.75" hidden="1" thickTop="1" x14ac:dyDescent="0.55000000000000004">
      <c r="B200" s="278"/>
      <c r="C200" s="279"/>
      <c r="G200" s="346"/>
      <c r="H200" s="272"/>
      <c r="I200" s="281"/>
      <c r="J200" s="281"/>
      <c r="K200" s="281"/>
      <c r="L200" s="281"/>
      <c r="M200" s="281"/>
    </row>
    <row r="201" spans="2:13" s="276" customFormat="1" ht="24.75" hidden="1" thickTop="1" x14ac:dyDescent="0.55000000000000004">
      <c r="B201" s="278"/>
      <c r="C201" s="279"/>
      <c r="G201" s="346"/>
      <c r="H201" s="272"/>
      <c r="I201" s="281"/>
      <c r="J201" s="281"/>
      <c r="K201" s="281"/>
      <c r="L201" s="281"/>
      <c r="M201" s="281"/>
    </row>
    <row r="202" spans="2:13" s="276" customFormat="1" ht="24.75" hidden="1" thickTop="1" x14ac:dyDescent="0.55000000000000004">
      <c r="B202" s="278"/>
      <c r="C202" s="279"/>
      <c r="G202" s="346"/>
      <c r="H202" s="272"/>
      <c r="I202" s="281"/>
      <c r="J202" s="281"/>
      <c r="K202" s="281"/>
      <c r="L202" s="281"/>
      <c r="M202" s="281"/>
    </row>
    <row r="203" spans="2:13" s="276" customFormat="1" ht="24.75" hidden="1" thickTop="1" x14ac:dyDescent="0.55000000000000004">
      <c r="B203" s="278"/>
      <c r="C203" s="279"/>
      <c r="G203" s="346"/>
      <c r="H203" s="272"/>
      <c r="I203" s="281"/>
      <c r="J203" s="281"/>
      <c r="K203" s="281"/>
      <c r="L203" s="281"/>
      <c r="M203" s="281"/>
    </row>
    <row r="204" spans="2:13" s="276" customFormat="1" ht="24.75" hidden="1" thickTop="1" x14ac:dyDescent="0.55000000000000004">
      <c r="B204" s="278"/>
      <c r="C204" s="279"/>
      <c r="G204" s="346"/>
      <c r="H204" s="272"/>
      <c r="I204" s="281"/>
      <c r="J204" s="281"/>
      <c r="K204" s="281"/>
      <c r="L204" s="281"/>
      <c r="M204" s="281"/>
    </row>
    <row r="205" spans="2:13" s="276" customFormat="1" ht="24.75" hidden="1" thickTop="1" x14ac:dyDescent="0.55000000000000004">
      <c r="B205" s="278"/>
      <c r="C205" s="279"/>
      <c r="G205" s="346"/>
      <c r="H205" s="272"/>
      <c r="I205" s="281"/>
      <c r="J205" s="281"/>
      <c r="K205" s="281"/>
      <c r="L205" s="281"/>
      <c r="M205" s="281"/>
    </row>
    <row r="206" spans="2:13" s="276" customFormat="1" ht="24.75" hidden="1" thickTop="1" x14ac:dyDescent="0.55000000000000004">
      <c r="B206" s="278"/>
      <c r="C206" s="279"/>
      <c r="G206" s="346"/>
      <c r="H206" s="272"/>
      <c r="I206" s="281"/>
      <c r="J206" s="281"/>
      <c r="K206" s="281"/>
      <c r="L206" s="281"/>
      <c r="M206" s="281"/>
    </row>
    <row r="207" spans="2:13" s="276" customFormat="1" ht="24.75" hidden="1" thickTop="1" x14ac:dyDescent="0.55000000000000004">
      <c r="B207" s="278"/>
      <c r="C207" s="279"/>
      <c r="G207" s="346"/>
      <c r="H207" s="272"/>
      <c r="I207" s="281"/>
      <c r="J207" s="281"/>
      <c r="K207" s="281"/>
      <c r="L207" s="281"/>
      <c r="M207" s="281"/>
    </row>
    <row r="208" spans="2:13" s="276" customFormat="1" ht="24.75" hidden="1" thickTop="1" x14ac:dyDescent="0.55000000000000004">
      <c r="B208" s="278"/>
      <c r="C208" s="279"/>
      <c r="G208" s="346"/>
      <c r="H208" s="272"/>
      <c r="I208" s="281"/>
      <c r="J208" s="281"/>
      <c r="K208" s="281"/>
      <c r="L208" s="281"/>
      <c r="M208" s="281"/>
    </row>
    <row r="209" spans="1:13" s="276" customFormat="1" ht="24.75" hidden="1" thickTop="1" x14ac:dyDescent="0.55000000000000004">
      <c r="B209" s="278"/>
      <c r="C209" s="279"/>
      <c r="G209" s="346"/>
      <c r="H209" s="272"/>
      <c r="I209" s="281"/>
      <c r="J209" s="281"/>
      <c r="K209" s="281"/>
      <c r="L209" s="281"/>
      <c r="M209" s="281"/>
    </row>
    <row r="210" spans="1:13" s="276" customFormat="1" ht="24.75" hidden="1" thickTop="1" x14ac:dyDescent="0.55000000000000004">
      <c r="B210" s="278"/>
      <c r="C210" s="279"/>
      <c r="G210" s="346"/>
      <c r="H210" s="272"/>
      <c r="I210" s="281"/>
      <c r="J210" s="281"/>
      <c r="K210" s="281"/>
      <c r="L210" s="281"/>
      <c r="M210" s="281"/>
    </row>
    <row r="211" spans="1:13" s="276" customFormat="1" ht="24.75" hidden="1" thickTop="1" x14ac:dyDescent="0.55000000000000004">
      <c r="B211" s="278"/>
      <c r="C211" s="279"/>
      <c r="G211" s="346"/>
      <c r="H211" s="272"/>
      <c r="I211" s="281"/>
      <c r="J211" s="281"/>
      <c r="K211" s="281"/>
      <c r="L211" s="281"/>
      <c r="M211" s="281"/>
    </row>
    <row r="212" spans="1:13" s="276" customFormat="1" ht="24.75" hidden="1" thickTop="1" x14ac:dyDescent="0.55000000000000004">
      <c r="B212" s="278"/>
      <c r="C212" s="279"/>
      <c r="G212" s="346"/>
      <c r="H212" s="272"/>
      <c r="I212" s="281"/>
      <c r="J212" s="281"/>
      <c r="K212" s="281"/>
      <c r="L212" s="281"/>
      <c r="M212" s="281"/>
    </row>
    <row r="213" spans="1:13" s="276" customFormat="1" ht="24.75" hidden="1" thickTop="1" x14ac:dyDescent="0.55000000000000004">
      <c r="B213" s="278"/>
      <c r="C213" s="279"/>
      <c r="G213" s="346"/>
      <c r="H213" s="272"/>
      <c r="I213" s="281"/>
      <c r="J213" s="281"/>
      <c r="K213" s="281"/>
      <c r="L213" s="281"/>
      <c r="M213" s="281"/>
    </row>
    <row r="214" spans="1:13" s="276" customFormat="1" ht="24.75" hidden="1" thickTop="1" x14ac:dyDescent="0.55000000000000004">
      <c r="B214" s="278"/>
      <c r="C214" s="279"/>
      <c r="G214" s="346"/>
      <c r="H214" s="272"/>
      <c r="I214" s="281"/>
      <c r="J214" s="281"/>
      <c r="K214" s="281"/>
      <c r="L214" s="281"/>
      <c r="M214" s="281"/>
    </row>
    <row r="215" spans="1:13" s="276" customFormat="1" ht="24.75" hidden="1" thickTop="1" x14ac:dyDescent="0.55000000000000004">
      <c r="B215" s="278"/>
      <c r="C215" s="279"/>
      <c r="G215" s="346"/>
      <c r="H215" s="272"/>
      <c r="I215" s="281"/>
      <c r="J215" s="281"/>
      <c r="K215" s="281"/>
      <c r="L215" s="281"/>
      <c r="M215" s="281"/>
    </row>
    <row r="216" spans="1:13" s="276" customFormat="1" ht="24.75" hidden="1" thickTop="1" x14ac:dyDescent="0.55000000000000004">
      <c r="B216" s="278"/>
      <c r="C216" s="279"/>
      <c r="G216" s="346"/>
      <c r="H216" s="272"/>
      <c r="I216" s="281"/>
      <c r="J216" s="281"/>
      <c r="K216" s="281"/>
      <c r="L216" s="281"/>
      <c r="M216" s="281"/>
    </row>
    <row r="217" spans="1:13" s="276" customFormat="1" ht="24.75" hidden="1" thickTop="1" x14ac:dyDescent="0.55000000000000004">
      <c r="B217" s="278"/>
      <c r="C217" s="279"/>
      <c r="G217" s="346"/>
      <c r="H217" s="272"/>
      <c r="I217" s="281"/>
      <c r="J217" s="281"/>
      <c r="K217" s="281"/>
      <c r="L217" s="281"/>
      <c r="M217" s="281"/>
    </row>
    <row r="218" spans="1:13" s="276" customFormat="1" ht="24.75" hidden="1" thickTop="1" x14ac:dyDescent="0.55000000000000004">
      <c r="B218" s="278"/>
      <c r="C218" s="279"/>
      <c r="G218" s="346"/>
      <c r="H218" s="272"/>
      <c r="I218" s="281"/>
      <c r="J218" s="281"/>
      <c r="K218" s="281"/>
      <c r="L218" s="281"/>
      <c r="M218" s="281"/>
    </row>
    <row r="219" spans="1:13" s="276" customFormat="1" ht="24.75" hidden="1" thickTop="1" x14ac:dyDescent="0.55000000000000004">
      <c r="B219" s="278"/>
      <c r="C219" s="279"/>
      <c r="G219" s="346"/>
      <c r="H219" s="272"/>
      <c r="I219" s="281"/>
      <c r="J219" s="281"/>
      <c r="K219" s="281"/>
      <c r="L219" s="281"/>
      <c r="M219" s="281"/>
    </row>
    <row r="220" spans="1:13" s="276" customFormat="1" ht="24.75" hidden="1" thickTop="1" x14ac:dyDescent="0.55000000000000004">
      <c r="B220" s="278"/>
      <c r="C220" s="279"/>
      <c r="G220" s="346"/>
      <c r="H220" s="272"/>
      <c r="I220" s="281"/>
      <c r="J220" s="281"/>
      <c r="K220" s="281"/>
      <c r="L220" s="281"/>
      <c r="M220" s="281"/>
    </row>
    <row r="221" spans="1:13" s="276" customFormat="1" ht="24.75" hidden="1" thickTop="1" x14ac:dyDescent="0.55000000000000004">
      <c r="B221" s="278"/>
      <c r="C221" s="279"/>
      <c r="G221" s="346"/>
      <c r="H221" s="272"/>
      <c r="I221" s="281"/>
      <c r="J221" s="281"/>
      <c r="K221" s="281"/>
      <c r="L221" s="281"/>
      <c r="M221" s="281"/>
    </row>
    <row r="222" spans="1:13" s="276" customFormat="1" ht="24.75" hidden="1" thickTop="1" x14ac:dyDescent="0.55000000000000004">
      <c r="B222" s="278"/>
      <c r="C222" s="279"/>
      <c r="G222" s="346"/>
      <c r="H222" s="272"/>
      <c r="I222" s="281"/>
      <c r="J222" s="281"/>
      <c r="K222" s="281"/>
      <c r="L222" s="281"/>
      <c r="M222" s="281"/>
    </row>
    <row r="223" spans="1:13" s="276" customFormat="1" ht="24" x14ac:dyDescent="0.55000000000000004">
      <c r="A223" s="282" t="s">
        <v>165</v>
      </c>
      <c r="B223" s="850"/>
      <c r="C223" s="282" t="s">
        <v>848</v>
      </c>
      <c r="G223" s="346"/>
      <c r="H223" s="272"/>
      <c r="I223" s="281"/>
      <c r="J223" s="281"/>
      <c r="K223" s="281"/>
      <c r="L223" s="281"/>
      <c r="M223" s="281"/>
    </row>
    <row r="224" spans="1:13" hidden="1" x14ac:dyDescent="0.65">
      <c r="D224" s="646">
        <v>1397262100</v>
      </c>
    </row>
    <row r="225" spans="4:6" hidden="1" x14ac:dyDescent="0.65">
      <c r="D225" s="646">
        <v>1397262100</v>
      </c>
    </row>
    <row r="226" spans="4:6" hidden="1" x14ac:dyDescent="0.65">
      <c r="D226" s="649">
        <f>+D225-D104</f>
        <v>702236100</v>
      </c>
    </row>
    <row r="227" spans="4:6" hidden="1" x14ac:dyDescent="0.65">
      <c r="D227" s="646">
        <v>349315600</v>
      </c>
    </row>
    <row r="228" spans="4:6" hidden="1" x14ac:dyDescent="0.65">
      <c r="F228" s="646">
        <v>806824300.38999999</v>
      </c>
    </row>
    <row r="229" spans="4:6" hidden="1" x14ac:dyDescent="0.65">
      <c r="F229" s="649">
        <f>+F228-F104</f>
        <v>697717670.92000008</v>
      </c>
    </row>
    <row r="230" spans="4:6" hidden="1" x14ac:dyDescent="0.65">
      <c r="D230" s="836">
        <f>+D103+D14</f>
        <v>6867808</v>
      </c>
    </row>
  </sheetData>
  <mergeCells count="8">
    <mergeCell ref="A104:C104"/>
    <mergeCell ref="A1:H1"/>
    <mergeCell ref="A2:H2"/>
    <mergeCell ref="A3:H3"/>
    <mergeCell ref="A4:H4"/>
    <mergeCell ref="A5:H5"/>
    <mergeCell ref="A6:A7"/>
    <mergeCell ref="B6:C7"/>
  </mergeCells>
  <pageMargins left="0.31496062992125984" right="0" top="0.74803149606299213" bottom="0.74803149606299213" header="0.31496062992125984" footer="0.31496062992125984"/>
  <pageSetup paperSize="9" scale="98" orientation="portrait" r:id="rId1"/>
  <headerFooter>
    <oddFooter>&amp;Lกลุ่มงานบัญชีและงบประมาณ&amp;Rหน้าที่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29</vt:i4>
      </vt:variant>
      <vt:variant>
        <vt:lpstr>ช่วงที่มีชื่อ</vt:lpstr>
      </vt:variant>
      <vt:variant>
        <vt:i4>19</vt:i4>
      </vt:variant>
    </vt:vector>
  </HeadingPairs>
  <TitlesOfParts>
    <vt:vector size="48" baseType="lpstr">
      <vt:lpstr>รายจ่ายจริง</vt:lpstr>
      <vt:lpstr>รายงานผู้บริหาร</vt:lpstr>
      <vt:lpstr>งบลงทุน</vt:lpstr>
      <vt:lpstr>งบรายจ่ายอื่น</vt:lpstr>
      <vt:lpstr>เงินกันปี64</vt:lpstr>
      <vt:lpstr>เงินกันปี63</vt:lpstr>
      <vt:lpstr>1. สรุปเบิกจ่าย65รวมงบ(GF)</vt:lpstr>
      <vt:lpstr>2. สุรปเบิกจ่าย แยกงบ (GF)</vt:lpstr>
      <vt:lpstr>3.งบบุคลากร (GF)</vt:lpstr>
      <vt:lpstr>4. งบดำเนินงาน (GF)</vt:lpstr>
      <vt:lpstr>5.งบลงทุน</vt:lpstr>
      <vt:lpstr>6.งบรายจ่ายอื่น (GF)</vt:lpstr>
      <vt:lpstr>Sheet3</vt:lpstr>
      <vt:lpstr>เบิกแทน กรมคุม</vt:lpstr>
      <vt:lpstr>แผนภูมิแท่ง</vt:lpstr>
      <vt:lpstr>Sheet1</vt:lpstr>
      <vt:lpstr>12. เงินกันปี 62</vt:lpstr>
      <vt:lpstr>ไม่ใช้แล้วไม่ต้องเปิด</vt:lpstr>
      <vt:lpstr>เบิกแทน กรมคุม (2)</vt:lpstr>
      <vt:lpstr>12. รายงานผู้บริหาร (2)</vt:lpstr>
      <vt:lpstr>เงินกันปี63 (2)</vt:lpstr>
      <vt:lpstr>Sheet2</vt:lpstr>
      <vt:lpstr>1.รายจ่ายจริง (2)</vt:lpstr>
      <vt:lpstr>เทียบงบ</vt:lpstr>
      <vt:lpstr>Sheet4</vt:lpstr>
      <vt:lpstr>แผนภูมิแท่ง (2)</vt:lpstr>
      <vt:lpstr>งบลงทุน (ชมพู่)</vt:lpstr>
      <vt:lpstr>เงินกันปี63 (3)</vt:lpstr>
      <vt:lpstr>เงินกันปี63 (4)</vt:lpstr>
      <vt:lpstr>'1. สรุปเบิกจ่าย65รวมงบ(GF)'!Print_Titles</vt:lpstr>
      <vt:lpstr>'1.รายจ่ายจริง (2)'!Print_Titles</vt:lpstr>
      <vt:lpstr>'12. เงินกันปี 62'!Print_Titles</vt:lpstr>
      <vt:lpstr>'2. สุรปเบิกจ่าย แยกงบ (GF)'!Print_Titles</vt:lpstr>
      <vt:lpstr>'3.งบบุคลากร (GF)'!Print_Titles</vt:lpstr>
      <vt:lpstr>'4. งบดำเนินงาน (GF)'!Print_Titles</vt:lpstr>
      <vt:lpstr>'5.งบลงทุน'!Print_Titles</vt:lpstr>
      <vt:lpstr>'6.งบรายจ่ายอื่น (GF)'!Print_Titles</vt:lpstr>
      <vt:lpstr>งบรายจ่ายอื่น!Print_Titles</vt:lpstr>
      <vt:lpstr>งบลงทุน!Print_Titles</vt:lpstr>
      <vt:lpstr>'งบลงทุน (ชมพู่)'!Print_Titles</vt:lpstr>
      <vt:lpstr>เงินกันปี63!Print_Titles</vt:lpstr>
      <vt:lpstr>'เงินกันปี63 (2)'!Print_Titles</vt:lpstr>
      <vt:lpstr>'เงินกันปี63 (3)'!Print_Titles</vt:lpstr>
      <vt:lpstr>'เงินกันปี63 (4)'!Print_Titles</vt:lpstr>
      <vt:lpstr>เงินกันปี64!Print_Titles</vt:lpstr>
      <vt:lpstr>'เบิกแทน กรมคุม'!Print_Titles</vt:lpstr>
      <vt:lpstr>'เบิกแทน กรมคุม (2)'!Print_Titles</vt:lpstr>
      <vt:lpstr>รายจ่ายจริง!Print_Titles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</dc:creator>
  <cp:lastModifiedBy>ชุณห์พิมาณ คงวิเชียร</cp:lastModifiedBy>
  <cp:lastPrinted>2021-11-01T03:01:53Z</cp:lastPrinted>
  <dcterms:created xsi:type="dcterms:W3CDTF">2006-07-19T22:18:22Z</dcterms:created>
  <dcterms:modified xsi:type="dcterms:W3CDTF">2021-11-01T04:02:49Z</dcterms:modified>
</cp:coreProperties>
</file>