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งานตั๊กปี 2565\รายงานเบิกจ่าย ปี2565\"/>
    </mc:Choice>
  </mc:AlternateContent>
  <xr:revisionPtr revIDLastSave="0" documentId="13_ncr:1_{D75E55B5-7D4E-4751-9287-AE0E59DD12AE}" xr6:coauthVersionLast="45" xr6:coauthVersionMax="47" xr10:uidLastSave="{00000000-0000-0000-0000-000000000000}"/>
  <bookViews>
    <workbookView xWindow="-120" yWindow="-120" windowWidth="20730" windowHeight="11160" tabRatio="626" firstSheet="9" activeTab="9" xr2:uid="{00000000-000D-0000-FFFF-FFFF00000000}"/>
  </bookViews>
  <sheets>
    <sheet name="รายจ่ายจริง" sheetId="131" r:id="rId1"/>
    <sheet name="รายงานเสนอ อธ (2)" sheetId="193" r:id="rId2"/>
    <sheet name="เงินกันปี64 (2)" sheetId="192" r:id="rId3"/>
    <sheet name="งบลงทุน (2)" sheetId="191" r:id="rId4"/>
    <sheet name="รายงานเสนอ อธ" sheetId="190" r:id="rId5"/>
    <sheet name="งบลงทุน" sheetId="77" r:id="rId6"/>
    <sheet name="งบรายจ่ายอื่น" sheetId="171" r:id="rId7"/>
    <sheet name="เงินกันปี64" sheetId="186" r:id="rId8"/>
    <sheet name="เบิกแทน กรมคุม" sheetId="135" r:id="rId9"/>
    <sheet name="1. สรุปเบิกจ่าย65รวมงบ(GF)" sheetId="136" r:id="rId10"/>
    <sheet name="2. สุรปเบิกจ่าย แยกงบ (GF)" sheetId="141" r:id="rId11"/>
    <sheet name="3.งบบุคลากร (GF)" sheetId="137" r:id="rId12"/>
    <sheet name="4. งบดำเนินงาน (GF)" sheetId="163" r:id="rId13"/>
    <sheet name="5.งบลงทุน" sheetId="139" r:id="rId14"/>
    <sheet name="6.งบรายจ่ายอื่น (GF)" sheetId="164" r:id="rId15"/>
    <sheet name="เงินกันปี63" sheetId="174" r:id="rId16"/>
    <sheet name="แผนภูมิแท่ง" sheetId="177" r:id="rId17"/>
    <sheet name="เงินกันปี63 (2)" sheetId="176" r:id="rId18"/>
    <sheet name="รายงานผู้บริหาร" sheetId="170" r:id="rId19"/>
    <sheet name="เทียบงบ" sheetId="147" r:id="rId20"/>
    <sheet name="งบลงทุน (ชมพู่)" sheetId="183" r:id="rId21"/>
    <sheet name="เงินกันปี63 (3)" sheetId="184" r:id="rId22"/>
    <sheet name="เงินกันปี63 (4)" sheetId="185" r:id="rId23"/>
    <sheet name="Sheet6" sheetId="188" r:id="rId24"/>
    <sheet name="ไม่ใช้แล้วไม่ต้องเปิด" sheetId="160" r:id="rId25"/>
    <sheet name="รายงานเสนอ" sheetId="189" r:id="rId26"/>
  </sheets>
  <definedNames>
    <definedName name="_xlnm.Print_Titles" localSheetId="9">'1. สรุปเบิกจ่าย65รวมงบ(GF)'!$1:$7</definedName>
    <definedName name="_xlnm.Print_Titles" localSheetId="10">'2. สุรปเบิกจ่าย แยกงบ (GF)'!$1:$6</definedName>
    <definedName name="_xlnm.Print_Titles" localSheetId="11">'3.งบบุคลากร (GF)'!$1:$7</definedName>
    <definedName name="_xlnm.Print_Titles" localSheetId="12">'4. งบดำเนินงาน (GF)'!$1:$7</definedName>
    <definedName name="_xlnm.Print_Titles" localSheetId="13">'5.งบลงทุน'!$1:$7</definedName>
    <definedName name="_xlnm.Print_Titles" localSheetId="14">'6.งบรายจ่ายอื่น (GF)'!$1:$6</definedName>
    <definedName name="_xlnm.Print_Titles" localSheetId="6">งบรายจ่ายอื่น!$1:$7</definedName>
    <definedName name="_xlnm.Print_Titles" localSheetId="5">งบลงทุน!$1:$7</definedName>
    <definedName name="_xlnm.Print_Titles" localSheetId="3">'งบลงทุน (2)'!$1:$7</definedName>
    <definedName name="_xlnm.Print_Titles" localSheetId="20">'งบลงทุน (ชมพู่)'!$1:$7</definedName>
    <definedName name="_xlnm.Print_Titles" localSheetId="15">เงินกันปี63!$1:$5</definedName>
    <definedName name="_xlnm.Print_Titles" localSheetId="17">'เงินกันปี63 (2)'!$1:$5</definedName>
    <definedName name="_xlnm.Print_Titles" localSheetId="21">'เงินกันปี63 (3)'!$1:$5</definedName>
    <definedName name="_xlnm.Print_Titles" localSheetId="22">'เงินกันปี63 (4)'!$1:$5</definedName>
    <definedName name="_xlnm.Print_Titles" localSheetId="7">เงินกันปี64!$1:$5</definedName>
    <definedName name="_xlnm.Print_Titles" localSheetId="2">'เงินกันปี64 (2)'!$1:$6</definedName>
    <definedName name="_xlnm.Print_Titles" localSheetId="8">'เบิกแทน กรมคุม'!$1:$6</definedName>
    <definedName name="_xlnm.Print_Titles" localSheetId="0">รายจ่ายจริง!$1:$6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64" l="1"/>
  <c r="D13" i="164"/>
  <c r="D102" i="164"/>
  <c r="H8" i="139"/>
  <c r="G8" i="139"/>
  <c r="H61" i="139"/>
  <c r="H59" i="139"/>
  <c r="H30" i="139"/>
  <c r="H14" i="139"/>
  <c r="D14" i="139"/>
  <c r="E14" i="139"/>
  <c r="P14" i="139"/>
  <c r="P16" i="139" s="1"/>
  <c r="D103" i="139"/>
  <c r="D103" i="163"/>
  <c r="D14" i="163"/>
  <c r="H66" i="131" l="1"/>
  <c r="H65" i="131"/>
  <c r="H58" i="131"/>
  <c r="H57" i="131"/>
  <c r="H34" i="131"/>
  <c r="H26" i="131"/>
  <c r="O18" i="131"/>
  <c r="O17" i="131"/>
  <c r="D9" i="193" l="1"/>
  <c r="D10" i="193"/>
  <c r="D11" i="193"/>
  <c r="G11" i="193" s="1"/>
  <c r="G9" i="193"/>
  <c r="G10" i="193"/>
  <c r="K9" i="193"/>
  <c r="O50" i="131" l="1"/>
  <c r="E19" i="193" l="1"/>
  <c r="F37" i="191" l="1"/>
  <c r="G37" i="191"/>
  <c r="E37" i="191"/>
  <c r="F29" i="191"/>
  <c r="G29" i="191"/>
  <c r="E14" i="193" s="1"/>
  <c r="E13" i="193" s="1"/>
  <c r="H29" i="191"/>
  <c r="I29" i="191"/>
  <c r="J29" i="191"/>
  <c r="K29" i="191"/>
  <c r="E29" i="191"/>
  <c r="F8" i="191"/>
  <c r="G8" i="191"/>
  <c r="E8" i="191"/>
  <c r="H14" i="193"/>
  <c r="F14" i="193"/>
  <c r="F13" i="193" s="1"/>
  <c r="D14" i="193"/>
  <c r="D13" i="193" s="1"/>
  <c r="E17" i="193"/>
  <c r="H17" i="193"/>
  <c r="F17" i="193"/>
  <c r="I17" i="193" s="1"/>
  <c r="D17" i="193"/>
  <c r="I15" i="193"/>
  <c r="J15" i="193" s="1"/>
  <c r="H15" i="193"/>
  <c r="F15" i="193"/>
  <c r="E15" i="193"/>
  <c r="E18" i="193" s="1"/>
  <c r="E16" i="193" s="1"/>
  <c r="D15" i="193"/>
  <c r="I24" i="192"/>
  <c r="J24" i="192"/>
  <c r="H24" i="192"/>
  <c r="K23" i="192"/>
  <c r="I23" i="192"/>
  <c r="J23" i="192"/>
  <c r="H23" i="192"/>
  <c r="H12" i="192"/>
  <c r="F23" i="193"/>
  <c r="H23" i="193" s="1"/>
  <c r="J23" i="193" s="1"/>
  <c r="E23" i="193"/>
  <c r="G23" i="193" s="1"/>
  <c r="I23" i="193" s="1"/>
  <c r="A1" i="193"/>
  <c r="I16" i="192"/>
  <c r="K16" i="192" s="1"/>
  <c r="I17" i="192"/>
  <c r="J17" i="192" s="1"/>
  <c r="I18" i="192"/>
  <c r="J18" i="192" s="1"/>
  <c r="I19" i="192"/>
  <c r="J19" i="192" s="1"/>
  <c r="I20" i="192"/>
  <c r="J20" i="192" s="1"/>
  <c r="I21" i="192"/>
  <c r="K21" i="192" s="1"/>
  <c r="I22" i="192"/>
  <c r="J22" i="192" s="1"/>
  <c r="I15" i="192"/>
  <c r="I8" i="192"/>
  <c r="I9" i="192"/>
  <c r="I10" i="192"/>
  <c r="K10" i="192" s="1"/>
  <c r="I11" i="192"/>
  <c r="K11" i="192" s="1"/>
  <c r="I13" i="192"/>
  <c r="K13" i="192" s="1"/>
  <c r="I7" i="192"/>
  <c r="I14" i="192"/>
  <c r="H14" i="192"/>
  <c r="H26" i="192"/>
  <c r="H25" i="192"/>
  <c r="H27" i="192" s="1"/>
  <c r="K22" i="192"/>
  <c r="K18" i="192"/>
  <c r="K17" i="192"/>
  <c r="J16" i="192"/>
  <c r="K15" i="192"/>
  <c r="J9" i="192"/>
  <c r="K8" i="192"/>
  <c r="J8" i="192"/>
  <c r="K7" i="192"/>
  <c r="J7" i="192"/>
  <c r="H31" i="191"/>
  <c r="I31" i="191"/>
  <c r="H32" i="191"/>
  <c r="N32" i="191" s="1"/>
  <c r="M32" i="191" s="1"/>
  <c r="I32" i="191"/>
  <c r="H33" i="191"/>
  <c r="I33" i="191"/>
  <c r="J33" i="191" s="1"/>
  <c r="H34" i="191"/>
  <c r="K34" i="191" s="1"/>
  <c r="I34" i="191"/>
  <c r="J34" i="191" s="1"/>
  <c r="H35" i="191"/>
  <c r="K35" i="191" s="1"/>
  <c r="I35" i="191"/>
  <c r="H36" i="191"/>
  <c r="I36" i="191"/>
  <c r="N36" i="191" s="1"/>
  <c r="M36" i="191" s="1"/>
  <c r="I30" i="191"/>
  <c r="J30" i="191" s="1"/>
  <c r="H30" i="191"/>
  <c r="K30" i="191" s="1"/>
  <c r="H10" i="191"/>
  <c r="K10" i="191" s="1"/>
  <c r="I10" i="191"/>
  <c r="H11" i="191"/>
  <c r="N11" i="191" s="1"/>
  <c r="M11" i="191" s="1"/>
  <c r="I11" i="191"/>
  <c r="H12" i="191"/>
  <c r="I12" i="191"/>
  <c r="H13" i="191"/>
  <c r="K13" i="191" s="1"/>
  <c r="I13" i="191"/>
  <c r="H14" i="191"/>
  <c r="I14" i="191"/>
  <c r="J14" i="191" s="1"/>
  <c r="H15" i="191"/>
  <c r="I15" i="191"/>
  <c r="H16" i="191"/>
  <c r="H49" i="191" s="1"/>
  <c r="I16" i="191"/>
  <c r="J16" i="191" s="1"/>
  <c r="H17" i="191"/>
  <c r="I17" i="191"/>
  <c r="L17" i="191" s="1"/>
  <c r="H18" i="191"/>
  <c r="I18" i="191"/>
  <c r="H19" i="191"/>
  <c r="N19" i="191" s="1"/>
  <c r="M19" i="191" s="1"/>
  <c r="I19" i="191"/>
  <c r="J19" i="191" s="1"/>
  <c r="H20" i="191"/>
  <c r="I20" i="191"/>
  <c r="H21" i="191"/>
  <c r="I21" i="191"/>
  <c r="H22" i="191"/>
  <c r="N22" i="191" s="1"/>
  <c r="M22" i="191" s="1"/>
  <c r="I22" i="191"/>
  <c r="J22" i="191" s="1"/>
  <c r="H23" i="191"/>
  <c r="I23" i="191"/>
  <c r="L23" i="191" s="1"/>
  <c r="H24" i="191"/>
  <c r="I24" i="191"/>
  <c r="N24" i="191" s="1"/>
  <c r="M24" i="191" s="1"/>
  <c r="H25" i="191"/>
  <c r="I25" i="191"/>
  <c r="H26" i="191"/>
  <c r="N26" i="191" s="1"/>
  <c r="M26" i="191" s="1"/>
  <c r="I26" i="191"/>
  <c r="J26" i="191" s="1"/>
  <c r="H27" i="191"/>
  <c r="I27" i="191"/>
  <c r="H28" i="191"/>
  <c r="I28" i="191"/>
  <c r="J28" i="191" s="1"/>
  <c r="I9" i="191"/>
  <c r="H9" i="191"/>
  <c r="K9" i="191" s="1"/>
  <c r="E65" i="191"/>
  <c r="G64" i="191"/>
  <c r="G63" i="191"/>
  <c r="G51" i="191"/>
  <c r="E49" i="191"/>
  <c r="M49" i="191" s="1"/>
  <c r="K47" i="191"/>
  <c r="J47" i="191"/>
  <c r="G47" i="191"/>
  <c r="G53" i="191" s="1"/>
  <c r="F46" i="191"/>
  <c r="E46" i="191"/>
  <c r="L46" i="191" s="1"/>
  <c r="G40" i="191"/>
  <c r="E40" i="191"/>
  <c r="K36" i="191"/>
  <c r="J36" i="191"/>
  <c r="F36" i="191"/>
  <c r="N35" i="191"/>
  <c r="M35" i="191" s="1"/>
  <c r="L35" i="191"/>
  <c r="J35" i="191"/>
  <c r="F35" i="191"/>
  <c r="L34" i="191"/>
  <c r="F34" i="191"/>
  <c r="N33" i="191"/>
  <c r="M33" i="191" s="1"/>
  <c r="L33" i="191"/>
  <c r="K33" i="191"/>
  <c r="F33" i="191"/>
  <c r="L32" i="191"/>
  <c r="J32" i="191"/>
  <c r="F32" i="191"/>
  <c r="J31" i="191"/>
  <c r="F31" i="191"/>
  <c r="L30" i="191"/>
  <c r="F30" i="191"/>
  <c r="F38" i="191" s="1"/>
  <c r="K28" i="191"/>
  <c r="K27" i="191"/>
  <c r="J27" i="191"/>
  <c r="L26" i="191"/>
  <c r="K26" i="191"/>
  <c r="G26" i="191"/>
  <c r="E50" i="191" s="1"/>
  <c r="N25" i="191"/>
  <c r="M25" i="191" s="1"/>
  <c r="L25" i="191"/>
  <c r="K25" i="191"/>
  <c r="J25" i="191"/>
  <c r="L24" i="191"/>
  <c r="K24" i="191"/>
  <c r="J24" i="191"/>
  <c r="N23" i="191"/>
  <c r="M23" i="191" s="1"/>
  <c r="J23" i="191"/>
  <c r="L22" i="191"/>
  <c r="K22" i="191"/>
  <c r="N21" i="191"/>
  <c r="M21" i="191" s="1"/>
  <c r="L21" i="191"/>
  <c r="K21" i="191"/>
  <c r="J21" i="191"/>
  <c r="N20" i="191"/>
  <c r="M20" i="191" s="1"/>
  <c r="J20" i="191"/>
  <c r="L19" i="191"/>
  <c r="K19" i="191"/>
  <c r="N18" i="191"/>
  <c r="M18" i="191" s="1"/>
  <c r="L18" i="191"/>
  <c r="K18" i="191"/>
  <c r="J18" i="191"/>
  <c r="N17" i="191"/>
  <c r="M17" i="191" s="1"/>
  <c r="K17" i="191"/>
  <c r="J17" i="191"/>
  <c r="N16" i="191"/>
  <c r="M16" i="191" s="1"/>
  <c r="L16" i="191"/>
  <c r="K16" i="191"/>
  <c r="N15" i="191"/>
  <c r="M15" i="191"/>
  <c r="L15" i="191"/>
  <c r="K15" i="191"/>
  <c r="J15" i="191"/>
  <c r="L14" i="191"/>
  <c r="K14" i="191"/>
  <c r="N13" i="191"/>
  <c r="M13" i="191" s="1"/>
  <c r="L13" i="191"/>
  <c r="J13" i="191"/>
  <c r="N12" i="191"/>
  <c r="M12" i="191" s="1"/>
  <c r="L12" i="191"/>
  <c r="K12" i="191"/>
  <c r="J12" i="191"/>
  <c r="L11" i="191"/>
  <c r="K11" i="191"/>
  <c r="N10" i="191"/>
  <c r="M10" i="191" s="1"/>
  <c r="L10" i="191"/>
  <c r="J10" i="191"/>
  <c r="H45" i="191"/>
  <c r="H47" i="191" s="1"/>
  <c r="G38" i="191"/>
  <c r="G44" i="191" s="1"/>
  <c r="E38" i="191"/>
  <c r="A4" i="191"/>
  <c r="I8" i="191" l="1"/>
  <c r="F18" i="193" s="1"/>
  <c r="F16" i="193" s="1"/>
  <c r="F19" i="193" s="1"/>
  <c r="N14" i="191"/>
  <c r="M14" i="191" s="1"/>
  <c r="H50" i="191"/>
  <c r="K8" i="191"/>
  <c r="K37" i="191" s="1"/>
  <c r="J9" i="191"/>
  <c r="J8" i="191" s="1"/>
  <c r="J37" i="191" s="1"/>
  <c r="I49" i="191"/>
  <c r="F49" i="191"/>
  <c r="N9" i="191"/>
  <c r="M9" i="191" s="1"/>
  <c r="H8" i="191"/>
  <c r="I14" i="193"/>
  <c r="D18" i="193"/>
  <c r="D16" i="193" s="1"/>
  <c r="D19" i="193" s="1"/>
  <c r="H13" i="193"/>
  <c r="I13" i="193" s="1"/>
  <c r="J13" i="193" s="1"/>
  <c r="J14" i="193"/>
  <c r="J17" i="193"/>
  <c r="G17" i="193"/>
  <c r="G15" i="193"/>
  <c r="K15" i="193"/>
  <c r="L15" i="193" s="1"/>
  <c r="G14" i="193"/>
  <c r="K14" i="193"/>
  <c r="L14" i="193" s="1"/>
  <c r="K17" i="193"/>
  <c r="J12" i="192"/>
  <c r="I12" i="192"/>
  <c r="K12" i="192" s="1"/>
  <c r="K19" i="192"/>
  <c r="F9" i="193"/>
  <c r="K20" i="192"/>
  <c r="J14" i="192"/>
  <c r="K14" i="192"/>
  <c r="K13" i="193"/>
  <c r="L13" i="193" s="1"/>
  <c r="G13" i="193"/>
  <c r="J21" i="192"/>
  <c r="J10" i="192"/>
  <c r="K9" i="192"/>
  <c r="J15" i="192"/>
  <c r="I26" i="192"/>
  <c r="L26" i="192" s="1"/>
  <c r="J11" i="192"/>
  <c r="I25" i="192"/>
  <c r="J13" i="192"/>
  <c r="K32" i="191"/>
  <c r="K40" i="191" s="1"/>
  <c r="N34" i="191"/>
  <c r="M34" i="191" s="1"/>
  <c r="H40" i="191"/>
  <c r="L31" i="191"/>
  <c r="I40" i="191"/>
  <c r="L40" i="191" s="1"/>
  <c r="N31" i="191"/>
  <c r="M31" i="191" s="1"/>
  <c r="L36" i="191"/>
  <c r="K31" i="191"/>
  <c r="I50" i="191"/>
  <c r="L50" i="191" s="1"/>
  <c r="N30" i="191"/>
  <c r="M30" i="191" s="1"/>
  <c r="K20" i="191"/>
  <c r="K23" i="191"/>
  <c r="H38" i="191"/>
  <c r="H44" i="191" s="1"/>
  <c r="L20" i="191"/>
  <c r="J11" i="191"/>
  <c r="L9" i="191"/>
  <c r="J49" i="191" s="1"/>
  <c r="E44" i="191"/>
  <c r="M46" i="191"/>
  <c r="H51" i="191"/>
  <c r="L29" i="191"/>
  <c r="F40" i="191"/>
  <c r="F44" i="191" s="1"/>
  <c r="G62" i="191"/>
  <c r="E51" i="191"/>
  <c r="N29" i="191"/>
  <c r="M29" i="191" s="1"/>
  <c r="I45" i="191"/>
  <c r="I38" i="191"/>
  <c r="F50" i="191"/>
  <c r="M50" i="191"/>
  <c r="E45" i="191"/>
  <c r="K49" i="191"/>
  <c r="F45" i="191"/>
  <c r="F47" i="191" s="1"/>
  <c r="L49" i="191"/>
  <c r="K50" i="191"/>
  <c r="I51" i="191" l="1"/>
  <c r="I52" i="191" s="1"/>
  <c r="J52" i="191" s="1"/>
  <c r="I37" i="191"/>
  <c r="N8" i="191"/>
  <c r="M8" i="191" s="1"/>
  <c r="J38" i="191"/>
  <c r="M38" i="191" s="1"/>
  <c r="F51" i="191"/>
  <c r="H18" i="193"/>
  <c r="H37" i="191"/>
  <c r="N37" i="191" s="1"/>
  <c r="M37" i="191" s="1"/>
  <c r="K18" i="193"/>
  <c r="L18" i="193" s="1"/>
  <c r="G18" i="193"/>
  <c r="G16" i="193"/>
  <c r="L17" i="193"/>
  <c r="L9" i="193"/>
  <c r="F10" i="193"/>
  <c r="K10" i="193" s="1"/>
  <c r="L10" i="193" s="1"/>
  <c r="G19" i="193"/>
  <c r="K24" i="193" s="1"/>
  <c r="J26" i="192"/>
  <c r="J25" i="192"/>
  <c r="J27" i="192" s="1"/>
  <c r="K24" i="192"/>
  <c r="I27" i="192"/>
  <c r="L27" i="192" s="1"/>
  <c r="L25" i="192"/>
  <c r="H41" i="191"/>
  <c r="N40" i="191"/>
  <c r="J50" i="191"/>
  <c r="J51" i="191" s="1"/>
  <c r="J53" i="191" s="1"/>
  <c r="K38" i="191"/>
  <c r="K44" i="191" s="1"/>
  <c r="L37" i="191"/>
  <c r="L8" i="191"/>
  <c r="J40" i="191"/>
  <c r="M40" i="191" s="1"/>
  <c r="H53" i="191"/>
  <c r="N41" i="191"/>
  <c r="J41" i="191"/>
  <c r="K51" i="191"/>
  <c r="K53" i="191" s="1"/>
  <c r="L38" i="191"/>
  <c r="I44" i="191"/>
  <c r="L44" i="191" s="1"/>
  <c r="H43" i="191"/>
  <c r="E47" i="191"/>
  <c r="E53" i="191" s="1"/>
  <c r="M53" i="191" s="1"/>
  <c r="M45" i="191"/>
  <c r="I47" i="191"/>
  <c r="L45" i="191"/>
  <c r="H39" i="191"/>
  <c r="F53" i="191"/>
  <c r="N38" i="191"/>
  <c r="E22" i="190"/>
  <c r="G22" i="190" s="1"/>
  <c r="I22" i="190" s="1"/>
  <c r="F18" i="190"/>
  <c r="H18" i="190" s="1"/>
  <c r="J18" i="190" s="1"/>
  <c r="E18" i="190"/>
  <c r="G18" i="190" s="1"/>
  <c r="I18" i="190" s="1"/>
  <c r="G20" i="190"/>
  <c r="I20" i="190" s="1"/>
  <c r="F22" i="190"/>
  <c r="H22" i="190" s="1"/>
  <c r="J22" i="190" s="1"/>
  <c r="F20" i="190"/>
  <c r="H20" i="190" s="1"/>
  <c r="J20" i="190" s="1"/>
  <c r="E20" i="190"/>
  <c r="K41" i="190"/>
  <c r="K39" i="190"/>
  <c r="F29" i="190"/>
  <c r="D29" i="190"/>
  <c r="D28" i="190"/>
  <c r="E11" i="190"/>
  <c r="D11" i="190"/>
  <c r="E10" i="190"/>
  <c r="E14" i="190" s="1"/>
  <c r="D10" i="190"/>
  <c r="E9" i="190"/>
  <c r="D9" i="190"/>
  <c r="H8" i="190"/>
  <c r="E8" i="190"/>
  <c r="D8" i="190"/>
  <c r="A2" i="190"/>
  <c r="A1" i="190"/>
  <c r="F42" i="77"/>
  <c r="G42" i="77"/>
  <c r="H42" i="77"/>
  <c r="I42" i="77"/>
  <c r="J42" i="77"/>
  <c r="E42" i="77"/>
  <c r="F40" i="77"/>
  <c r="G40" i="77"/>
  <c r="E40" i="77"/>
  <c r="H16" i="193" l="1"/>
  <c r="H19" i="193" s="1"/>
  <c r="I18" i="193"/>
  <c r="K16" i="193"/>
  <c r="K19" i="193" s="1"/>
  <c r="K11" i="193"/>
  <c r="L11" i="193" s="1"/>
  <c r="F11" i="193"/>
  <c r="J44" i="191"/>
  <c r="M44" i="191" s="1"/>
  <c r="N44" i="191"/>
  <c r="N43" i="191"/>
  <c r="J43" i="191"/>
  <c r="I53" i="191"/>
  <c r="I48" i="191"/>
  <c r="J48" i="191" s="1"/>
  <c r="H42" i="191"/>
  <c r="N39" i="191"/>
  <c r="J39" i="191"/>
  <c r="J46" i="190"/>
  <c r="E12" i="190"/>
  <c r="E13" i="190"/>
  <c r="K29" i="190"/>
  <c r="L29" i="190" s="1"/>
  <c r="D30" i="190"/>
  <c r="D13" i="190"/>
  <c r="G29" i="190"/>
  <c r="D12" i="190"/>
  <c r="D14" i="190"/>
  <c r="H96" i="139"/>
  <c r="H27" i="139"/>
  <c r="H9" i="139"/>
  <c r="I41" i="186"/>
  <c r="I30" i="186"/>
  <c r="H67" i="131"/>
  <c r="I38" i="186"/>
  <c r="I66" i="186"/>
  <c r="L66" i="186" s="1"/>
  <c r="I67" i="186"/>
  <c r="L67" i="186" s="1"/>
  <c r="H68" i="186"/>
  <c r="H67" i="186"/>
  <c r="H66" i="186"/>
  <c r="G53" i="77"/>
  <c r="G49" i="77"/>
  <c r="G55" i="77" s="1"/>
  <c r="J49" i="77"/>
  <c r="K49" i="77"/>
  <c r="I52" i="77"/>
  <c r="I51" i="77"/>
  <c r="H52" i="77"/>
  <c r="H51" i="77"/>
  <c r="H53" i="77" s="1"/>
  <c r="F51" i="77"/>
  <c r="F48" i="77"/>
  <c r="E51" i="77"/>
  <c r="I16" i="193" l="1"/>
  <c r="J18" i="193"/>
  <c r="L16" i="193"/>
  <c r="L19" i="193"/>
  <c r="J42" i="191"/>
  <c r="N42" i="191"/>
  <c r="L53" i="191"/>
  <c r="I54" i="191"/>
  <c r="J54" i="191" s="1"/>
  <c r="I53" i="77"/>
  <c r="I54" i="77" s="1"/>
  <c r="J54" i="77" s="1"/>
  <c r="I68" i="186"/>
  <c r="L68" i="186" s="1"/>
  <c r="I19" i="193" l="1"/>
  <c r="J19" i="193" s="1"/>
  <c r="L24" i="193" s="1"/>
  <c r="J16" i="193"/>
  <c r="M51" i="77"/>
  <c r="L51" i="77"/>
  <c r="K51" i="77"/>
  <c r="E48" i="77"/>
  <c r="M48" i="77" s="1"/>
  <c r="I27" i="186"/>
  <c r="B60" i="131"/>
  <c r="H8" i="189"/>
  <c r="E11" i="189"/>
  <c r="E10" i="189"/>
  <c r="E14" i="189" s="1"/>
  <c r="E9" i="189"/>
  <c r="E8" i="189"/>
  <c r="D11" i="189"/>
  <c r="D10" i="189"/>
  <c r="D9" i="189"/>
  <c r="D8" i="189"/>
  <c r="K33" i="189"/>
  <c r="K31" i="189"/>
  <c r="F21" i="189"/>
  <c r="D21" i="189"/>
  <c r="K21" i="189" s="1"/>
  <c r="L21" i="189" s="1"/>
  <c r="D20" i="189"/>
  <c r="A2" i="189"/>
  <c r="A1" i="189"/>
  <c r="J28" i="188"/>
  <c r="J26" i="188"/>
  <c r="F21" i="188"/>
  <c r="A2" i="188"/>
  <c r="A1" i="188"/>
  <c r="F17" i="188"/>
  <c r="D17" i="188"/>
  <c r="D16" i="188"/>
  <c r="E11" i="188"/>
  <c r="E9" i="188"/>
  <c r="E10" i="188"/>
  <c r="E14" i="188" s="1"/>
  <c r="E8" i="188"/>
  <c r="D11" i="188"/>
  <c r="D9" i="188"/>
  <c r="D10" i="188"/>
  <c r="D14" i="188" s="1"/>
  <c r="D8" i="188"/>
  <c r="J32" i="77"/>
  <c r="K32" i="77"/>
  <c r="L32" i="77"/>
  <c r="J33" i="77"/>
  <c r="K33" i="77"/>
  <c r="L33" i="77"/>
  <c r="J34" i="77"/>
  <c r="K34" i="77"/>
  <c r="L34" i="77"/>
  <c r="J35" i="77"/>
  <c r="K35" i="77"/>
  <c r="L35" i="77"/>
  <c r="J36" i="77"/>
  <c r="K36" i="77"/>
  <c r="L36" i="77"/>
  <c r="J37" i="77"/>
  <c r="K37" i="77"/>
  <c r="L37" i="77"/>
  <c r="E67" i="77"/>
  <c r="C13" i="170"/>
  <c r="D13" i="170"/>
  <c r="I28" i="186"/>
  <c r="K31" i="77"/>
  <c r="J31" i="77"/>
  <c r="K29" i="77"/>
  <c r="K28" i="77"/>
  <c r="J29" i="77"/>
  <c r="J28" i="77"/>
  <c r="J11" i="77"/>
  <c r="K11" i="77"/>
  <c r="J12" i="77"/>
  <c r="K12" i="77"/>
  <c r="J13" i="77"/>
  <c r="K13" i="77"/>
  <c r="J14" i="77"/>
  <c r="K14" i="77"/>
  <c r="J15" i="77"/>
  <c r="K15" i="77"/>
  <c r="J16" i="77"/>
  <c r="K16" i="77"/>
  <c r="J17" i="77"/>
  <c r="K17" i="77"/>
  <c r="J18" i="77"/>
  <c r="K18" i="77"/>
  <c r="J19" i="77"/>
  <c r="K19" i="77"/>
  <c r="J20" i="77"/>
  <c r="K20" i="77"/>
  <c r="J21" i="77"/>
  <c r="K21" i="77"/>
  <c r="J22" i="77"/>
  <c r="K22" i="77"/>
  <c r="J23" i="77"/>
  <c r="K23" i="77"/>
  <c r="J24" i="77"/>
  <c r="K24" i="77"/>
  <c r="J25" i="77"/>
  <c r="K25" i="77"/>
  <c r="J26" i="77"/>
  <c r="K26" i="77"/>
  <c r="J27" i="77"/>
  <c r="K27" i="77"/>
  <c r="K10" i="77"/>
  <c r="J10" i="77"/>
  <c r="J9" i="171"/>
  <c r="J10" i="171"/>
  <c r="J11" i="171"/>
  <c r="J12" i="171"/>
  <c r="J13" i="171"/>
  <c r="J14" i="171"/>
  <c r="J15" i="171"/>
  <c r="J16" i="171"/>
  <c r="J17" i="171"/>
  <c r="J18" i="171"/>
  <c r="J19" i="171"/>
  <c r="J20" i="171"/>
  <c r="J8" i="171"/>
  <c r="G65" i="77"/>
  <c r="G66" i="77"/>
  <c r="K42" i="77" l="1"/>
  <c r="J38" i="189"/>
  <c r="L48" i="77"/>
  <c r="D13" i="189"/>
  <c r="G21" i="189"/>
  <c r="E12" i="189"/>
  <c r="E13" i="189"/>
  <c r="D22" i="189"/>
  <c r="D12" i="189"/>
  <c r="D14" i="189"/>
  <c r="I33" i="188"/>
  <c r="D18" i="188"/>
  <c r="G17" i="188"/>
  <c r="D13" i="188"/>
  <c r="E12" i="188"/>
  <c r="E13" i="188"/>
  <c r="J17" i="188"/>
  <c r="K17" i="188" s="1"/>
  <c r="D12" i="188"/>
  <c r="D8" i="137"/>
  <c r="F9" i="77"/>
  <c r="H9" i="77"/>
  <c r="I9" i="77"/>
  <c r="J9" i="77"/>
  <c r="E9" i="77"/>
  <c r="G8" i="77" l="1"/>
  <c r="E47" i="77" s="1"/>
  <c r="E49" i="77" s="1"/>
  <c r="G27" i="77"/>
  <c r="F12" i="135"/>
  <c r="I44" i="186"/>
  <c r="F35" i="131"/>
  <c r="I39" i="186"/>
  <c r="I29" i="186"/>
  <c r="J49" i="139"/>
  <c r="G9" i="77" l="1"/>
  <c r="E52" i="77"/>
  <c r="M47" i="77"/>
  <c r="F27" i="139"/>
  <c r="F28" i="139"/>
  <c r="F29" i="139"/>
  <c r="I29" i="139" s="1"/>
  <c r="F30" i="139"/>
  <c r="I30" i="139" s="1"/>
  <c r="F31" i="139"/>
  <c r="F9" i="139"/>
  <c r="I9" i="139" s="1"/>
  <c r="F10" i="139"/>
  <c r="F11" i="139"/>
  <c r="F12" i="139"/>
  <c r="I12" i="139" s="1"/>
  <c r="F13" i="139"/>
  <c r="F14" i="139"/>
  <c r="J14" i="139" s="1"/>
  <c r="F15" i="139"/>
  <c r="F16" i="139"/>
  <c r="I16" i="139" s="1"/>
  <c r="F17" i="139"/>
  <c r="I17" i="139" s="1"/>
  <c r="F18" i="139"/>
  <c r="I18" i="139" s="1"/>
  <c r="F19" i="139"/>
  <c r="F20" i="139"/>
  <c r="F21" i="139"/>
  <c r="F22" i="139"/>
  <c r="F23" i="139"/>
  <c r="G43" i="170"/>
  <c r="I36" i="186"/>
  <c r="I22" i="186"/>
  <c r="J24" i="131"/>
  <c r="G42" i="170"/>
  <c r="G46" i="170"/>
  <c r="F46" i="170"/>
  <c r="F45" i="170"/>
  <c r="H102" i="164"/>
  <c r="G102" i="164"/>
  <c r="H101" i="164"/>
  <c r="G101" i="164"/>
  <c r="H100" i="164"/>
  <c r="G100" i="164"/>
  <c r="H99" i="164"/>
  <c r="G99" i="164"/>
  <c r="H98" i="164"/>
  <c r="G98" i="164"/>
  <c r="H97" i="164"/>
  <c r="G97" i="164"/>
  <c r="H96" i="164"/>
  <c r="G96" i="164"/>
  <c r="H95" i="164"/>
  <c r="G95" i="164"/>
  <c r="H94" i="164"/>
  <c r="G94" i="164"/>
  <c r="H93" i="164"/>
  <c r="G93" i="164"/>
  <c r="H92" i="164"/>
  <c r="G92" i="164"/>
  <c r="H91" i="164"/>
  <c r="G91" i="164"/>
  <c r="H90" i="164"/>
  <c r="G90" i="164"/>
  <c r="H89" i="164"/>
  <c r="G89" i="164"/>
  <c r="H88" i="164"/>
  <c r="G88" i="164"/>
  <c r="H87" i="164"/>
  <c r="G87" i="164"/>
  <c r="H86" i="164"/>
  <c r="G86" i="164"/>
  <c r="H85" i="164"/>
  <c r="G85" i="164"/>
  <c r="H84" i="164"/>
  <c r="G84" i="164"/>
  <c r="H83" i="164"/>
  <c r="G83" i="164"/>
  <c r="H82" i="164"/>
  <c r="G82" i="164"/>
  <c r="H81" i="164"/>
  <c r="G81" i="164"/>
  <c r="H80" i="164"/>
  <c r="G80" i="164"/>
  <c r="H79" i="164"/>
  <c r="G79" i="164"/>
  <c r="H78" i="164"/>
  <c r="G78" i="164"/>
  <c r="H77" i="164"/>
  <c r="G77" i="164"/>
  <c r="H76" i="164"/>
  <c r="G76" i="164"/>
  <c r="H75" i="164"/>
  <c r="G75" i="164"/>
  <c r="H74" i="164"/>
  <c r="G74" i="164"/>
  <c r="H73" i="164"/>
  <c r="G73" i="164"/>
  <c r="H72" i="164"/>
  <c r="G72" i="164"/>
  <c r="H71" i="164"/>
  <c r="G71" i="164"/>
  <c r="H70" i="164"/>
  <c r="G70" i="164"/>
  <c r="H69" i="164"/>
  <c r="G69" i="164"/>
  <c r="H68" i="164"/>
  <c r="G68" i="164"/>
  <c r="H67" i="164"/>
  <c r="G67" i="164"/>
  <c r="H66" i="164"/>
  <c r="G66" i="164"/>
  <c r="H65" i="164"/>
  <c r="G65" i="164"/>
  <c r="H64" i="164"/>
  <c r="G64" i="164"/>
  <c r="H63" i="164"/>
  <c r="G63" i="164"/>
  <c r="H62" i="164"/>
  <c r="G62" i="164"/>
  <c r="H61" i="164"/>
  <c r="G61" i="164"/>
  <c r="H60" i="164"/>
  <c r="G60" i="164"/>
  <c r="H59" i="164"/>
  <c r="G59" i="164"/>
  <c r="H58" i="164"/>
  <c r="G58" i="164"/>
  <c r="H57" i="164"/>
  <c r="G57" i="164"/>
  <c r="H56" i="164"/>
  <c r="G56" i="164"/>
  <c r="H55" i="164"/>
  <c r="G55" i="164"/>
  <c r="H54" i="164"/>
  <c r="G54" i="164"/>
  <c r="H53" i="164"/>
  <c r="G53" i="164"/>
  <c r="H52" i="164"/>
  <c r="G52" i="164"/>
  <c r="H51" i="164"/>
  <c r="G51" i="164"/>
  <c r="H50" i="164"/>
  <c r="G50" i="164"/>
  <c r="H49" i="164"/>
  <c r="G49" i="164"/>
  <c r="H48" i="164"/>
  <c r="G48" i="164"/>
  <c r="H47" i="164"/>
  <c r="G47" i="164"/>
  <c r="H46" i="164"/>
  <c r="G46" i="164"/>
  <c r="H45" i="164"/>
  <c r="G45" i="164"/>
  <c r="H44" i="164"/>
  <c r="G44" i="164"/>
  <c r="H43" i="164"/>
  <c r="G43" i="164"/>
  <c r="H42" i="164"/>
  <c r="G42" i="164"/>
  <c r="H41" i="164"/>
  <c r="G41" i="164"/>
  <c r="H40" i="164"/>
  <c r="G40" i="164"/>
  <c r="H39" i="164"/>
  <c r="G39" i="164"/>
  <c r="H38" i="164"/>
  <c r="G38" i="164"/>
  <c r="H37" i="164"/>
  <c r="G37" i="164"/>
  <c r="H36" i="164"/>
  <c r="G36" i="164"/>
  <c r="H35" i="164"/>
  <c r="G35" i="164"/>
  <c r="H34" i="164"/>
  <c r="G34" i="164"/>
  <c r="H33" i="164"/>
  <c r="G33" i="164"/>
  <c r="H32" i="164"/>
  <c r="G32" i="164"/>
  <c r="H31" i="164"/>
  <c r="G31" i="164"/>
  <c r="H30" i="164"/>
  <c r="G30" i="164"/>
  <c r="H29" i="164"/>
  <c r="G29" i="164"/>
  <c r="H28" i="164"/>
  <c r="G28" i="164"/>
  <c r="H27" i="164"/>
  <c r="G27" i="164"/>
  <c r="H26" i="164"/>
  <c r="G26" i="164"/>
  <c r="H25" i="164"/>
  <c r="G25" i="164"/>
  <c r="H24" i="164"/>
  <c r="G24" i="164"/>
  <c r="H23" i="164"/>
  <c r="G23" i="164"/>
  <c r="H22" i="164"/>
  <c r="G22" i="164"/>
  <c r="H21" i="164"/>
  <c r="G21" i="164"/>
  <c r="H20" i="164"/>
  <c r="G20" i="164"/>
  <c r="H19" i="164"/>
  <c r="G19" i="164"/>
  <c r="H18" i="164"/>
  <c r="G18" i="164"/>
  <c r="H17" i="164"/>
  <c r="G17" i="164"/>
  <c r="H16" i="164"/>
  <c r="G16" i="164"/>
  <c r="H15" i="164"/>
  <c r="G15" i="164"/>
  <c r="H14" i="164"/>
  <c r="G14" i="164"/>
  <c r="H13" i="164"/>
  <c r="G13" i="164"/>
  <c r="H12" i="164"/>
  <c r="G12" i="164"/>
  <c r="H11" i="164"/>
  <c r="G11" i="164"/>
  <c r="H10" i="164"/>
  <c r="G10" i="164"/>
  <c r="H9" i="164"/>
  <c r="G9" i="164"/>
  <c r="H8" i="164"/>
  <c r="G8" i="164"/>
  <c r="I103" i="139"/>
  <c r="F103" i="139"/>
  <c r="J103" i="139" s="1"/>
  <c r="F102" i="139"/>
  <c r="I102" i="139" s="1"/>
  <c r="F101" i="139"/>
  <c r="I101" i="139" s="1"/>
  <c r="F100" i="139"/>
  <c r="J100" i="139" s="1"/>
  <c r="F99" i="139"/>
  <c r="I99" i="139" s="1"/>
  <c r="F98" i="139"/>
  <c r="I98" i="139" s="1"/>
  <c r="F97" i="139"/>
  <c r="J97" i="139" s="1"/>
  <c r="F96" i="139"/>
  <c r="I96" i="139" s="1"/>
  <c r="F95" i="139"/>
  <c r="I95" i="139" s="1"/>
  <c r="F94" i="139"/>
  <c r="J94" i="139" s="1"/>
  <c r="F93" i="139"/>
  <c r="I93" i="139" s="1"/>
  <c r="F92" i="139"/>
  <c r="I92" i="139" s="1"/>
  <c r="F91" i="139"/>
  <c r="I91" i="139" s="1"/>
  <c r="F90" i="139"/>
  <c r="I90" i="139" s="1"/>
  <c r="F89" i="139"/>
  <c r="I89" i="139" s="1"/>
  <c r="F88" i="139"/>
  <c r="J88" i="139" s="1"/>
  <c r="F87" i="139"/>
  <c r="I87" i="139" s="1"/>
  <c r="F86" i="139"/>
  <c r="I86" i="139" s="1"/>
  <c r="F85" i="139"/>
  <c r="F84" i="139"/>
  <c r="I84" i="139" s="1"/>
  <c r="F83" i="139"/>
  <c r="I83" i="139" s="1"/>
  <c r="F82" i="139"/>
  <c r="J82" i="139" s="1"/>
  <c r="J81" i="139"/>
  <c r="F81" i="139"/>
  <c r="I81" i="139" s="1"/>
  <c r="F80" i="139"/>
  <c r="F79" i="139"/>
  <c r="J79" i="139" s="1"/>
  <c r="F78" i="139"/>
  <c r="I78" i="139" s="1"/>
  <c r="F77" i="139"/>
  <c r="I77" i="139" s="1"/>
  <c r="F76" i="139"/>
  <c r="J76" i="139" s="1"/>
  <c r="F75" i="139"/>
  <c r="I75" i="139" s="1"/>
  <c r="F74" i="139"/>
  <c r="J74" i="139" s="1"/>
  <c r="F73" i="139"/>
  <c r="J73" i="139" s="1"/>
  <c r="F72" i="139"/>
  <c r="I72" i="139" s="1"/>
  <c r="F71" i="139"/>
  <c r="I71" i="139" s="1"/>
  <c r="F70" i="139"/>
  <c r="I70" i="139" s="1"/>
  <c r="F69" i="139"/>
  <c r="I69" i="139" s="1"/>
  <c r="F68" i="139"/>
  <c r="F67" i="139"/>
  <c r="I67" i="139" s="1"/>
  <c r="F66" i="139"/>
  <c r="I66" i="139" s="1"/>
  <c r="F65" i="139"/>
  <c r="I65" i="139" s="1"/>
  <c r="F64" i="139"/>
  <c r="J64" i="139" s="1"/>
  <c r="J63" i="139"/>
  <c r="F63" i="139"/>
  <c r="I63" i="139" s="1"/>
  <c r="F62" i="139"/>
  <c r="I62" i="139" s="1"/>
  <c r="F61" i="139"/>
  <c r="J61" i="139" s="1"/>
  <c r="F60" i="139"/>
  <c r="I60" i="139" s="1"/>
  <c r="F59" i="139"/>
  <c r="I59" i="139" s="1"/>
  <c r="F58" i="139"/>
  <c r="J58" i="139" s="1"/>
  <c r="F57" i="139"/>
  <c r="I57" i="139" s="1"/>
  <c r="F56" i="139"/>
  <c r="F55" i="139"/>
  <c r="J55" i="139" s="1"/>
  <c r="J54" i="139"/>
  <c r="F54" i="139"/>
  <c r="I54" i="139" s="1"/>
  <c r="F53" i="139"/>
  <c r="I53" i="139" s="1"/>
  <c r="F52" i="139"/>
  <c r="J52" i="139" s="1"/>
  <c r="J51" i="139"/>
  <c r="F51" i="139"/>
  <c r="I51" i="139" s="1"/>
  <c r="F50" i="139"/>
  <c r="J50" i="139" s="1"/>
  <c r="F49" i="139"/>
  <c r="F48" i="139"/>
  <c r="I48" i="139" s="1"/>
  <c r="F47" i="139"/>
  <c r="I47" i="139" s="1"/>
  <c r="F46" i="139"/>
  <c r="J46" i="139" s="1"/>
  <c r="F45" i="139"/>
  <c r="I45" i="139" s="1"/>
  <c r="F44" i="139"/>
  <c r="I44" i="139" s="1"/>
  <c r="F43" i="139"/>
  <c r="J43" i="139" s="1"/>
  <c r="F42" i="139"/>
  <c r="I42" i="139" s="1"/>
  <c r="F41" i="139"/>
  <c r="J41" i="139" s="1"/>
  <c r="F40" i="139"/>
  <c r="F39" i="139"/>
  <c r="I39" i="139" s="1"/>
  <c r="F38" i="139"/>
  <c r="I38" i="139" s="1"/>
  <c r="F37" i="139"/>
  <c r="F36" i="139"/>
  <c r="I36" i="139" s="1"/>
  <c r="F35" i="139"/>
  <c r="I35" i="139" s="1"/>
  <c r="F34" i="139"/>
  <c r="J33" i="139"/>
  <c r="F33" i="139"/>
  <c r="I33" i="139" s="1"/>
  <c r="F32" i="139"/>
  <c r="J32" i="139" s="1"/>
  <c r="J31" i="139"/>
  <c r="J28" i="139"/>
  <c r="I27" i="139"/>
  <c r="F26" i="139"/>
  <c r="I26" i="139" s="1"/>
  <c r="F25" i="139"/>
  <c r="J25" i="139" s="1"/>
  <c r="F24" i="139"/>
  <c r="I24" i="139" s="1"/>
  <c r="I23" i="139"/>
  <c r="I22" i="139"/>
  <c r="J22" i="139"/>
  <c r="I21" i="139"/>
  <c r="I20" i="139"/>
  <c r="I19" i="139"/>
  <c r="J19" i="139"/>
  <c r="J16" i="139"/>
  <c r="I15" i="139"/>
  <c r="I13" i="139"/>
  <c r="J13" i="139"/>
  <c r="I11" i="139"/>
  <c r="I10" i="139"/>
  <c r="J10" i="139"/>
  <c r="H103" i="163"/>
  <c r="G103" i="163"/>
  <c r="H102" i="163"/>
  <c r="G102" i="163"/>
  <c r="H101" i="163"/>
  <c r="G101" i="163"/>
  <c r="H100" i="163"/>
  <c r="G100" i="163"/>
  <c r="H99" i="163"/>
  <c r="G99" i="163"/>
  <c r="H98" i="163"/>
  <c r="G98" i="163"/>
  <c r="H97" i="163"/>
  <c r="G97" i="163"/>
  <c r="H96" i="163"/>
  <c r="G96" i="163"/>
  <c r="H95" i="163"/>
  <c r="G95" i="163"/>
  <c r="H94" i="163"/>
  <c r="G94" i="163"/>
  <c r="H93" i="163"/>
  <c r="G93" i="163"/>
  <c r="H92" i="163"/>
  <c r="G92" i="163"/>
  <c r="H91" i="163"/>
  <c r="G91" i="163"/>
  <c r="H90" i="163"/>
  <c r="G90" i="163"/>
  <c r="H89" i="163"/>
  <c r="G89" i="163"/>
  <c r="H88" i="163"/>
  <c r="G88" i="163"/>
  <c r="H87" i="163"/>
  <c r="G87" i="163"/>
  <c r="H86" i="163"/>
  <c r="G86" i="163"/>
  <c r="H85" i="163"/>
  <c r="G85" i="163"/>
  <c r="H84" i="163"/>
  <c r="G84" i="163"/>
  <c r="H83" i="163"/>
  <c r="G83" i="163"/>
  <c r="H82" i="163"/>
  <c r="G82" i="163"/>
  <c r="H81" i="163"/>
  <c r="G81" i="163"/>
  <c r="H80" i="163"/>
  <c r="G80" i="163"/>
  <c r="H79" i="163"/>
  <c r="G79" i="163"/>
  <c r="H78" i="163"/>
  <c r="G78" i="163"/>
  <c r="H77" i="163"/>
  <c r="G77" i="163"/>
  <c r="H76" i="163"/>
  <c r="G76" i="163"/>
  <c r="H75" i="163"/>
  <c r="G75" i="163"/>
  <c r="H74" i="163"/>
  <c r="G74" i="163"/>
  <c r="H73" i="163"/>
  <c r="G73" i="163"/>
  <c r="H72" i="163"/>
  <c r="G72" i="163"/>
  <c r="H71" i="163"/>
  <c r="G71" i="163"/>
  <c r="H70" i="163"/>
  <c r="G70" i="163"/>
  <c r="H69" i="163"/>
  <c r="G69" i="163"/>
  <c r="H68" i="163"/>
  <c r="G68" i="163"/>
  <c r="H67" i="163"/>
  <c r="G67" i="163"/>
  <c r="H66" i="163"/>
  <c r="G66" i="163"/>
  <c r="H65" i="163"/>
  <c r="G65" i="163"/>
  <c r="H64" i="163"/>
  <c r="G64" i="163"/>
  <c r="H63" i="163"/>
  <c r="G63" i="163"/>
  <c r="H62" i="163"/>
  <c r="G62" i="163"/>
  <c r="H61" i="163"/>
  <c r="G61" i="163"/>
  <c r="H60" i="163"/>
  <c r="G60" i="163"/>
  <c r="H59" i="163"/>
  <c r="G59" i="163"/>
  <c r="H58" i="163"/>
  <c r="G58" i="163"/>
  <c r="H57" i="163"/>
  <c r="G57" i="163"/>
  <c r="H56" i="163"/>
  <c r="G56" i="163"/>
  <c r="H55" i="163"/>
  <c r="G55" i="163"/>
  <c r="H54" i="163"/>
  <c r="G54" i="163"/>
  <c r="H53" i="163"/>
  <c r="G53" i="163"/>
  <c r="H52" i="163"/>
  <c r="G52" i="163"/>
  <c r="H51" i="163"/>
  <c r="G51" i="163"/>
  <c r="H50" i="163"/>
  <c r="G50" i="163"/>
  <c r="H49" i="163"/>
  <c r="G49" i="163"/>
  <c r="H48" i="163"/>
  <c r="G48" i="163"/>
  <c r="H47" i="163"/>
  <c r="G47" i="163"/>
  <c r="H46" i="163"/>
  <c r="G46" i="163"/>
  <c r="H45" i="163"/>
  <c r="G45" i="163"/>
  <c r="H44" i="163"/>
  <c r="G44" i="163"/>
  <c r="H43" i="163"/>
  <c r="G43" i="163"/>
  <c r="H42" i="163"/>
  <c r="G42" i="163"/>
  <c r="H41" i="163"/>
  <c r="G41" i="163"/>
  <c r="H40" i="163"/>
  <c r="G40" i="163"/>
  <c r="H39" i="163"/>
  <c r="G39" i="163"/>
  <c r="H38" i="163"/>
  <c r="G38" i="163"/>
  <c r="H37" i="163"/>
  <c r="G37" i="163"/>
  <c r="H36" i="163"/>
  <c r="G36" i="163"/>
  <c r="H35" i="163"/>
  <c r="G35" i="163"/>
  <c r="H34" i="163"/>
  <c r="G34" i="163"/>
  <c r="H33" i="163"/>
  <c r="G33" i="163"/>
  <c r="H32" i="163"/>
  <c r="G32" i="163"/>
  <c r="H31" i="163"/>
  <c r="G31" i="163"/>
  <c r="H30" i="163"/>
  <c r="G30" i="163"/>
  <c r="H29" i="163"/>
  <c r="G29" i="163"/>
  <c r="H28" i="163"/>
  <c r="G28" i="163"/>
  <c r="H27" i="163"/>
  <c r="G27" i="163"/>
  <c r="H26" i="163"/>
  <c r="G26" i="163"/>
  <c r="H25" i="163"/>
  <c r="G25" i="163"/>
  <c r="H24" i="163"/>
  <c r="G24" i="163"/>
  <c r="H23" i="163"/>
  <c r="G23" i="163"/>
  <c r="H22" i="163"/>
  <c r="G22" i="163"/>
  <c r="H21" i="163"/>
  <c r="G21" i="163"/>
  <c r="H20" i="163"/>
  <c r="G20" i="163"/>
  <c r="H19" i="163"/>
  <c r="G19" i="163"/>
  <c r="H18" i="163"/>
  <c r="G18" i="163"/>
  <c r="H17" i="163"/>
  <c r="G17" i="163"/>
  <c r="H16" i="163"/>
  <c r="G16" i="163"/>
  <c r="H15" i="163"/>
  <c r="G15" i="163"/>
  <c r="H14" i="163"/>
  <c r="G14" i="163"/>
  <c r="H13" i="163"/>
  <c r="G13" i="163"/>
  <c r="H12" i="163"/>
  <c r="G12" i="163"/>
  <c r="H11" i="163"/>
  <c r="G11" i="163"/>
  <c r="H10" i="163"/>
  <c r="G10" i="163"/>
  <c r="H9" i="163"/>
  <c r="G9" i="163"/>
  <c r="H103" i="137"/>
  <c r="G103" i="137"/>
  <c r="H102" i="137"/>
  <c r="G102" i="137"/>
  <c r="H101" i="137"/>
  <c r="G101" i="137"/>
  <c r="H100" i="137"/>
  <c r="G100" i="137"/>
  <c r="H99" i="137"/>
  <c r="G99" i="137"/>
  <c r="H98" i="137"/>
  <c r="G98" i="137"/>
  <c r="H97" i="137"/>
  <c r="G97" i="137"/>
  <c r="H96" i="137"/>
  <c r="G96" i="137"/>
  <c r="H95" i="137"/>
  <c r="G95" i="137"/>
  <c r="H94" i="137"/>
  <c r="G94" i="137"/>
  <c r="H93" i="137"/>
  <c r="G93" i="137"/>
  <c r="H92" i="137"/>
  <c r="G92" i="137"/>
  <c r="H91" i="137"/>
  <c r="G91" i="137"/>
  <c r="H90" i="137"/>
  <c r="G90" i="137"/>
  <c r="H89" i="137"/>
  <c r="G89" i="137"/>
  <c r="H88" i="137"/>
  <c r="G88" i="137"/>
  <c r="H87" i="137"/>
  <c r="G87" i="137"/>
  <c r="H86" i="137"/>
  <c r="G86" i="137"/>
  <c r="H85" i="137"/>
  <c r="G85" i="137"/>
  <c r="H84" i="137"/>
  <c r="G84" i="137"/>
  <c r="H83" i="137"/>
  <c r="G83" i="137"/>
  <c r="H82" i="137"/>
  <c r="G82" i="137"/>
  <c r="H81" i="137"/>
  <c r="G81" i="137"/>
  <c r="H80" i="137"/>
  <c r="G80" i="137"/>
  <c r="H79" i="137"/>
  <c r="G79" i="137"/>
  <c r="H78" i="137"/>
  <c r="G78" i="137"/>
  <c r="H77" i="137"/>
  <c r="G77" i="137"/>
  <c r="H76" i="137"/>
  <c r="G76" i="137"/>
  <c r="H75" i="137"/>
  <c r="G75" i="137"/>
  <c r="H74" i="137"/>
  <c r="G74" i="137"/>
  <c r="H73" i="137"/>
  <c r="G73" i="137"/>
  <c r="H72" i="137"/>
  <c r="G72" i="137"/>
  <c r="H71" i="137"/>
  <c r="G71" i="137"/>
  <c r="H70" i="137"/>
  <c r="G70" i="137"/>
  <c r="H69" i="137"/>
  <c r="G69" i="137"/>
  <c r="H68" i="137"/>
  <c r="G68" i="137"/>
  <c r="H67" i="137"/>
  <c r="G67" i="137"/>
  <c r="H66" i="137"/>
  <c r="G66" i="137"/>
  <c r="H65" i="137"/>
  <c r="G65" i="137"/>
  <c r="H64" i="137"/>
  <c r="G64" i="137"/>
  <c r="H63" i="137"/>
  <c r="G63" i="137"/>
  <c r="H62" i="137"/>
  <c r="G62" i="137"/>
  <c r="H61" i="137"/>
  <c r="G61" i="137"/>
  <c r="H60" i="137"/>
  <c r="G60" i="137"/>
  <c r="H59" i="137"/>
  <c r="G59" i="137"/>
  <c r="H58" i="137"/>
  <c r="G58" i="137"/>
  <c r="H57" i="137"/>
  <c r="G57" i="137"/>
  <c r="H56" i="137"/>
  <c r="G56" i="137"/>
  <c r="H55" i="137"/>
  <c r="G55" i="137"/>
  <c r="H54" i="137"/>
  <c r="G54" i="137"/>
  <c r="H53" i="137"/>
  <c r="G53" i="137"/>
  <c r="H52" i="137"/>
  <c r="G52" i="137"/>
  <c r="H51" i="137"/>
  <c r="G51" i="137"/>
  <c r="H50" i="137"/>
  <c r="G50" i="137"/>
  <c r="H49" i="137"/>
  <c r="G49" i="137"/>
  <c r="H48" i="137"/>
  <c r="G48" i="137"/>
  <c r="H47" i="137"/>
  <c r="G47" i="137"/>
  <c r="H46" i="137"/>
  <c r="G46" i="137"/>
  <c r="H45" i="137"/>
  <c r="G45" i="137"/>
  <c r="H44" i="137"/>
  <c r="G44" i="137"/>
  <c r="H43" i="137"/>
  <c r="G43" i="137"/>
  <c r="H42" i="137"/>
  <c r="G42" i="137"/>
  <c r="H41" i="137"/>
  <c r="G41" i="137"/>
  <c r="H40" i="137"/>
  <c r="G40" i="137"/>
  <c r="H39" i="137"/>
  <c r="G39" i="137"/>
  <c r="H38" i="137"/>
  <c r="G38" i="137"/>
  <c r="H37" i="137"/>
  <c r="G37" i="137"/>
  <c r="H36" i="137"/>
  <c r="G36" i="137"/>
  <c r="H35" i="137"/>
  <c r="G35" i="137"/>
  <c r="H34" i="137"/>
  <c r="G34" i="137"/>
  <c r="H33" i="137"/>
  <c r="G33" i="137"/>
  <c r="H32" i="137"/>
  <c r="G32" i="137"/>
  <c r="H31" i="137"/>
  <c r="G31" i="137"/>
  <c r="H30" i="137"/>
  <c r="G30" i="137"/>
  <c r="H29" i="137"/>
  <c r="G29" i="137"/>
  <c r="H28" i="137"/>
  <c r="G28" i="137"/>
  <c r="H27" i="137"/>
  <c r="G27" i="137"/>
  <c r="H26" i="137"/>
  <c r="G26" i="137"/>
  <c r="H25" i="137"/>
  <c r="G25" i="137"/>
  <c r="H24" i="137"/>
  <c r="G24" i="137"/>
  <c r="H23" i="137"/>
  <c r="G23" i="137"/>
  <c r="H22" i="137"/>
  <c r="G22" i="137"/>
  <c r="H21" i="137"/>
  <c r="G21" i="137"/>
  <c r="H20" i="137"/>
  <c r="G20" i="137"/>
  <c r="H19" i="137"/>
  <c r="G19" i="137"/>
  <c r="H18" i="137"/>
  <c r="G18" i="137"/>
  <c r="H17" i="137"/>
  <c r="G17" i="137"/>
  <c r="H16" i="137"/>
  <c r="G16" i="137"/>
  <c r="H15" i="137"/>
  <c r="G15" i="137"/>
  <c r="H14" i="137"/>
  <c r="G14" i="137"/>
  <c r="H13" i="137"/>
  <c r="G13" i="137"/>
  <c r="H12" i="137"/>
  <c r="G12" i="137"/>
  <c r="H11" i="137"/>
  <c r="G11" i="137"/>
  <c r="H10" i="137"/>
  <c r="G10" i="137"/>
  <c r="H9" i="137"/>
  <c r="G9" i="137"/>
  <c r="J102" i="135"/>
  <c r="I102" i="135"/>
  <c r="K102" i="135"/>
  <c r="J101" i="135"/>
  <c r="I101" i="135"/>
  <c r="F101" i="135"/>
  <c r="J100" i="135"/>
  <c r="I100" i="135"/>
  <c r="E100" i="135"/>
  <c r="F100" i="135" s="1"/>
  <c r="J99" i="135"/>
  <c r="I99" i="135"/>
  <c r="F99" i="135"/>
  <c r="J98" i="135"/>
  <c r="I98" i="135"/>
  <c r="E98" i="135"/>
  <c r="K98" i="135" s="1"/>
  <c r="M98" i="135" s="1"/>
  <c r="J97" i="135"/>
  <c r="I97" i="135"/>
  <c r="J96" i="135"/>
  <c r="I96" i="135"/>
  <c r="E96" i="135"/>
  <c r="K96" i="135" s="1"/>
  <c r="M96" i="135" s="1"/>
  <c r="J95" i="135"/>
  <c r="I95" i="135"/>
  <c r="K95" i="135"/>
  <c r="J94" i="135"/>
  <c r="I94" i="135"/>
  <c r="F94" i="135"/>
  <c r="J93" i="135"/>
  <c r="I93" i="135"/>
  <c r="E93" i="135"/>
  <c r="F93" i="135" s="1"/>
  <c r="J92" i="135"/>
  <c r="I92" i="135"/>
  <c r="E92" i="135"/>
  <c r="K92" i="135" s="1"/>
  <c r="M92" i="135" s="1"/>
  <c r="J91" i="135"/>
  <c r="I91" i="135"/>
  <c r="J90" i="135"/>
  <c r="I90" i="135"/>
  <c r="K90" i="135"/>
  <c r="J89" i="135"/>
  <c r="I89" i="135"/>
  <c r="F89" i="135"/>
  <c r="E89" i="135"/>
  <c r="K89" i="135" s="1"/>
  <c r="M89" i="135" s="1"/>
  <c r="K88" i="135"/>
  <c r="M88" i="135" s="1"/>
  <c r="J88" i="135"/>
  <c r="I88" i="135"/>
  <c r="E88" i="135"/>
  <c r="F88" i="135" s="1"/>
  <c r="J87" i="135"/>
  <c r="I87" i="135"/>
  <c r="E87" i="135"/>
  <c r="F87" i="135" s="1"/>
  <c r="J86" i="135"/>
  <c r="I86" i="135"/>
  <c r="E86" i="135"/>
  <c r="K86" i="135" s="1"/>
  <c r="M86" i="135" s="1"/>
  <c r="J85" i="135"/>
  <c r="I85" i="135"/>
  <c r="E85" i="135"/>
  <c r="J84" i="135"/>
  <c r="I84" i="135"/>
  <c r="E84" i="135"/>
  <c r="K84" i="135" s="1"/>
  <c r="M84" i="135" s="1"/>
  <c r="J83" i="135"/>
  <c r="I83" i="135"/>
  <c r="E83" i="135"/>
  <c r="K83" i="135" s="1"/>
  <c r="J82" i="135"/>
  <c r="I82" i="135"/>
  <c r="E82" i="135"/>
  <c r="F82" i="135" s="1"/>
  <c r="K81" i="135"/>
  <c r="J81" i="135"/>
  <c r="I81" i="135"/>
  <c r="E81" i="135"/>
  <c r="F81" i="135" s="1"/>
  <c r="J80" i="135"/>
  <c r="I80" i="135"/>
  <c r="K80" i="135"/>
  <c r="J79" i="135"/>
  <c r="I79" i="135"/>
  <c r="J78" i="135"/>
  <c r="I78" i="135"/>
  <c r="F78" i="135"/>
  <c r="J77" i="135"/>
  <c r="I77" i="135"/>
  <c r="E77" i="135"/>
  <c r="K77" i="135" s="1"/>
  <c r="J76" i="135"/>
  <c r="I76" i="135"/>
  <c r="F76" i="135"/>
  <c r="J75" i="135"/>
  <c r="I75" i="135"/>
  <c r="E75" i="135"/>
  <c r="F75" i="135" s="1"/>
  <c r="J74" i="135"/>
  <c r="I74" i="135"/>
  <c r="E74" i="135"/>
  <c r="K74" i="135" s="1"/>
  <c r="M74" i="135" s="1"/>
  <c r="J73" i="135"/>
  <c r="I73" i="135"/>
  <c r="E73" i="135"/>
  <c r="J72" i="135"/>
  <c r="I72" i="135"/>
  <c r="E72" i="135"/>
  <c r="F72" i="135" s="1"/>
  <c r="J71" i="135"/>
  <c r="I71" i="135"/>
  <c r="F71" i="135"/>
  <c r="E71" i="135"/>
  <c r="K71" i="135" s="1"/>
  <c r="J70" i="135"/>
  <c r="I70" i="135"/>
  <c r="F70" i="135"/>
  <c r="K69" i="135"/>
  <c r="J69" i="135"/>
  <c r="I69" i="135"/>
  <c r="E69" i="135"/>
  <c r="F69" i="135" s="1"/>
  <c r="J68" i="135"/>
  <c r="I68" i="135"/>
  <c r="K68" i="135"/>
  <c r="J67" i="135"/>
  <c r="I67" i="135"/>
  <c r="E67" i="135"/>
  <c r="J66" i="135"/>
  <c r="I66" i="135"/>
  <c r="E66" i="135"/>
  <c r="F66" i="135" s="1"/>
  <c r="J65" i="135"/>
  <c r="I65" i="135"/>
  <c r="E65" i="135"/>
  <c r="K65" i="135" s="1"/>
  <c r="J64" i="135"/>
  <c r="I64" i="135"/>
  <c r="E64" i="135"/>
  <c r="F64" i="135" s="1"/>
  <c r="J63" i="135"/>
  <c r="I63" i="135"/>
  <c r="F63" i="135"/>
  <c r="J62" i="135"/>
  <c r="I62" i="135"/>
  <c r="K62" i="135"/>
  <c r="J61" i="135"/>
  <c r="I61" i="135"/>
  <c r="J60" i="135"/>
  <c r="I60" i="135"/>
  <c r="K60" i="135"/>
  <c r="J59" i="135"/>
  <c r="I59" i="135"/>
  <c r="K59" i="135"/>
  <c r="J58" i="135"/>
  <c r="I58" i="135"/>
  <c r="E58" i="135"/>
  <c r="F58" i="135" s="1"/>
  <c r="K57" i="135"/>
  <c r="J57" i="135"/>
  <c r="I57" i="135"/>
  <c r="F57" i="135"/>
  <c r="J56" i="135"/>
  <c r="I56" i="135"/>
  <c r="E56" i="135"/>
  <c r="K56" i="135" s="1"/>
  <c r="J55" i="135"/>
  <c r="I55" i="135"/>
  <c r="K54" i="135"/>
  <c r="J54" i="135"/>
  <c r="I54" i="135"/>
  <c r="E54" i="135"/>
  <c r="F54" i="135" s="1"/>
  <c r="J53" i="135"/>
  <c r="I53" i="135"/>
  <c r="E53" i="135"/>
  <c r="K53" i="135" s="1"/>
  <c r="J52" i="135"/>
  <c r="I52" i="135"/>
  <c r="E52" i="135"/>
  <c r="F52" i="135" s="1"/>
  <c r="K51" i="135"/>
  <c r="J51" i="135"/>
  <c r="I51" i="135"/>
  <c r="E51" i="135"/>
  <c r="F51" i="135" s="1"/>
  <c r="J50" i="135"/>
  <c r="I50" i="135"/>
  <c r="K50" i="135"/>
  <c r="J49" i="135"/>
  <c r="I49" i="135"/>
  <c r="E49" i="135"/>
  <c r="K48" i="135"/>
  <c r="J48" i="135"/>
  <c r="I48" i="135"/>
  <c r="F48" i="135"/>
  <c r="E48" i="135"/>
  <c r="J47" i="135"/>
  <c r="I47" i="135"/>
  <c r="E47" i="135"/>
  <c r="K47" i="135" s="1"/>
  <c r="J46" i="135"/>
  <c r="I46" i="135"/>
  <c r="F46" i="135"/>
  <c r="K45" i="135"/>
  <c r="J45" i="135"/>
  <c r="I45" i="135"/>
  <c r="E45" i="135"/>
  <c r="F45" i="135" s="1"/>
  <c r="J44" i="135"/>
  <c r="I44" i="135"/>
  <c r="K44" i="135"/>
  <c r="J43" i="135"/>
  <c r="I43" i="135"/>
  <c r="J42" i="135"/>
  <c r="I42" i="135"/>
  <c r="E42" i="135"/>
  <c r="K42" i="135" s="1"/>
  <c r="J41" i="135"/>
  <c r="I41" i="135"/>
  <c r="E41" i="135"/>
  <c r="K41" i="135" s="1"/>
  <c r="J40" i="135"/>
  <c r="I40" i="135"/>
  <c r="E40" i="135"/>
  <c r="F40" i="135" s="1"/>
  <c r="J39" i="135"/>
  <c r="I39" i="135"/>
  <c r="F39" i="135"/>
  <c r="J38" i="135"/>
  <c r="I38" i="135"/>
  <c r="J37" i="135"/>
  <c r="I37" i="135"/>
  <c r="K37" i="135"/>
  <c r="K36" i="135"/>
  <c r="J36" i="135"/>
  <c r="I36" i="135"/>
  <c r="E36" i="135"/>
  <c r="F36" i="135" s="1"/>
  <c r="J35" i="135"/>
  <c r="I35" i="135"/>
  <c r="F35" i="135"/>
  <c r="K35" i="135"/>
  <c r="J34" i="135"/>
  <c r="I34" i="135"/>
  <c r="E34" i="135"/>
  <c r="F34" i="135" s="1"/>
  <c r="J33" i="135"/>
  <c r="I33" i="135"/>
  <c r="E33" i="135"/>
  <c r="F33" i="135" s="1"/>
  <c r="J32" i="135"/>
  <c r="I32" i="135"/>
  <c r="E32" i="135"/>
  <c r="J31" i="135"/>
  <c r="I31" i="135"/>
  <c r="E31" i="135"/>
  <c r="K31" i="135" s="1"/>
  <c r="J30" i="135"/>
  <c r="I30" i="135"/>
  <c r="E30" i="135"/>
  <c r="F30" i="135" s="1"/>
  <c r="J29" i="135"/>
  <c r="I29" i="135"/>
  <c r="K29" i="135"/>
  <c r="J28" i="135"/>
  <c r="I28" i="135"/>
  <c r="E28" i="135"/>
  <c r="F28" i="135" s="1"/>
  <c r="J27" i="135"/>
  <c r="I27" i="135"/>
  <c r="F27" i="135"/>
  <c r="J26" i="135"/>
  <c r="I26" i="135"/>
  <c r="E26" i="135"/>
  <c r="J25" i="135"/>
  <c r="I25" i="135"/>
  <c r="E25" i="135"/>
  <c r="K25" i="135" s="1"/>
  <c r="K24" i="135"/>
  <c r="J24" i="135"/>
  <c r="I24" i="135"/>
  <c r="E24" i="135"/>
  <c r="F24" i="135" s="1"/>
  <c r="J23" i="135"/>
  <c r="I23" i="135"/>
  <c r="E23" i="135"/>
  <c r="F23" i="135" s="1"/>
  <c r="J22" i="135"/>
  <c r="I22" i="135"/>
  <c r="E22" i="135"/>
  <c r="F22" i="135" s="1"/>
  <c r="J21" i="135"/>
  <c r="I21" i="135"/>
  <c r="F21" i="135"/>
  <c r="J20" i="135"/>
  <c r="I20" i="135"/>
  <c r="J19" i="135"/>
  <c r="I19" i="135"/>
  <c r="E19" i="135"/>
  <c r="K19" i="135" s="1"/>
  <c r="J18" i="135"/>
  <c r="I18" i="135"/>
  <c r="F18" i="135"/>
  <c r="J17" i="135"/>
  <c r="I17" i="135"/>
  <c r="F17" i="135"/>
  <c r="J16" i="135"/>
  <c r="I16" i="135"/>
  <c r="E16" i="135"/>
  <c r="F16" i="135" s="1"/>
  <c r="J15" i="135"/>
  <c r="I15" i="135"/>
  <c r="E15" i="135"/>
  <c r="F15" i="135" s="1"/>
  <c r="J14" i="135"/>
  <c r="I14" i="135"/>
  <c r="E14" i="135"/>
  <c r="J13" i="135"/>
  <c r="I13" i="135"/>
  <c r="E13" i="135"/>
  <c r="K13" i="135" s="1"/>
  <c r="K12" i="135"/>
  <c r="J12" i="135"/>
  <c r="I12" i="135"/>
  <c r="J11" i="135"/>
  <c r="I11" i="135"/>
  <c r="F11" i="135"/>
  <c r="E11" i="135"/>
  <c r="K11" i="135" s="1"/>
  <c r="J10" i="135"/>
  <c r="I10" i="135"/>
  <c r="E10" i="135"/>
  <c r="F10" i="135" s="1"/>
  <c r="J9" i="135"/>
  <c r="I9" i="135"/>
  <c r="E9" i="135"/>
  <c r="F9" i="135" s="1"/>
  <c r="J8" i="135"/>
  <c r="I8" i="135"/>
  <c r="E8" i="135"/>
  <c r="I9" i="171"/>
  <c r="K9" i="171"/>
  <c r="L9" i="171"/>
  <c r="I10" i="171"/>
  <c r="K10" i="171"/>
  <c r="I11" i="171"/>
  <c r="K11" i="171"/>
  <c r="I12" i="171"/>
  <c r="K12" i="171"/>
  <c r="I13" i="171"/>
  <c r="K13" i="171"/>
  <c r="I14" i="171"/>
  <c r="K14" i="171"/>
  <c r="I15" i="171"/>
  <c r="K15" i="171"/>
  <c r="L15" i="171"/>
  <c r="I16" i="171"/>
  <c r="K16" i="171"/>
  <c r="I17" i="171"/>
  <c r="K17" i="171"/>
  <c r="I18" i="171"/>
  <c r="K18" i="171"/>
  <c r="L18" i="171"/>
  <c r="I19" i="171"/>
  <c r="K19" i="171"/>
  <c r="I20" i="171"/>
  <c r="K20" i="171"/>
  <c r="I8" i="171"/>
  <c r="M20" i="171"/>
  <c r="L20" i="171" s="1"/>
  <c r="M22" i="171"/>
  <c r="M9" i="171"/>
  <c r="M10" i="171"/>
  <c r="L10" i="171" s="1"/>
  <c r="M11" i="171"/>
  <c r="L11" i="171" s="1"/>
  <c r="M12" i="171"/>
  <c r="L12" i="171" s="1"/>
  <c r="M13" i="171"/>
  <c r="L13" i="171" s="1"/>
  <c r="M14" i="171"/>
  <c r="L14" i="171" s="1"/>
  <c r="M15" i="171"/>
  <c r="M16" i="171"/>
  <c r="L16" i="171" s="1"/>
  <c r="M17" i="171"/>
  <c r="L17" i="171" s="1"/>
  <c r="M18" i="171"/>
  <c r="M19" i="171"/>
  <c r="L19" i="171" s="1"/>
  <c r="M8" i="171"/>
  <c r="L8" i="171" s="1"/>
  <c r="K8" i="171"/>
  <c r="I24" i="131"/>
  <c r="H24" i="131"/>
  <c r="I64" i="131"/>
  <c r="H64" i="131"/>
  <c r="I56" i="131"/>
  <c r="H56" i="131"/>
  <c r="E32" i="131"/>
  <c r="F32" i="131"/>
  <c r="D32" i="131"/>
  <c r="G30" i="77"/>
  <c r="H30" i="77"/>
  <c r="I30" i="77"/>
  <c r="E30" i="77"/>
  <c r="L31" i="77"/>
  <c r="L27" i="77"/>
  <c r="J52" i="77" s="1"/>
  <c r="L26" i="77"/>
  <c r="L25" i="77"/>
  <c r="L24" i="77"/>
  <c r="L23" i="77"/>
  <c r="L22" i="77"/>
  <c r="L21" i="77"/>
  <c r="L20" i="77"/>
  <c r="L19" i="77"/>
  <c r="K9" i="77"/>
  <c r="L18" i="77"/>
  <c r="L17" i="77"/>
  <c r="L16" i="77"/>
  <c r="L15" i="77"/>
  <c r="L14" i="77"/>
  <c r="L13" i="77"/>
  <c r="L12" i="77"/>
  <c r="L11" i="77"/>
  <c r="L10" i="77"/>
  <c r="N10" i="77"/>
  <c r="M10" i="77" s="1"/>
  <c r="N11" i="77"/>
  <c r="M11" i="77" s="1"/>
  <c r="N12" i="77"/>
  <c r="M12" i="77" s="1"/>
  <c r="N13" i="77"/>
  <c r="M13" i="77" s="1"/>
  <c r="N14" i="77"/>
  <c r="M14" i="77" s="1"/>
  <c r="N15" i="77"/>
  <c r="M15" i="77" s="1"/>
  <c r="N16" i="77"/>
  <c r="M16" i="77" s="1"/>
  <c r="N17" i="77"/>
  <c r="M17" i="77" s="1"/>
  <c r="N18" i="77"/>
  <c r="M18" i="77" s="1"/>
  <c r="N19" i="77"/>
  <c r="M19" i="77" s="1"/>
  <c r="N20" i="77"/>
  <c r="M20" i="77" s="1"/>
  <c r="N21" i="77"/>
  <c r="M21" i="77" s="1"/>
  <c r="N22" i="77"/>
  <c r="M22" i="77" s="1"/>
  <c r="N23" i="77"/>
  <c r="M23" i="77" s="1"/>
  <c r="N24" i="77"/>
  <c r="M24" i="77" s="1"/>
  <c r="N25" i="77"/>
  <c r="M25" i="77" s="1"/>
  <c r="N26" i="77"/>
  <c r="M26" i="77" s="1"/>
  <c r="N27" i="77"/>
  <c r="M27" i="77" s="1"/>
  <c r="N31" i="77"/>
  <c r="N32" i="77"/>
  <c r="M32" i="77" s="1"/>
  <c r="N33" i="77"/>
  <c r="M33" i="77" s="1"/>
  <c r="N34" i="77"/>
  <c r="M34" i="77" s="1"/>
  <c r="N35" i="77"/>
  <c r="M35" i="77" s="1"/>
  <c r="N36" i="77"/>
  <c r="M36" i="77" s="1"/>
  <c r="N37" i="77"/>
  <c r="M37" i="77" s="1"/>
  <c r="F32" i="77"/>
  <c r="F33" i="77"/>
  <c r="F34" i="77"/>
  <c r="F35" i="77"/>
  <c r="F36" i="77"/>
  <c r="F37" i="77"/>
  <c r="E8" i="77"/>
  <c r="J91" i="139" l="1"/>
  <c r="J78" i="139"/>
  <c r="J66" i="139"/>
  <c r="J60" i="139"/>
  <c r="I52" i="139"/>
  <c r="M77" i="135"/>
  <c r="I46" i="170"/>
  <c r="I61" i="139"/>
  <c r="E53" i="77"/>
  <c r="E55" i="77" s="1"/>
  <c r="M55" i="77" s="1"/>
  <c r="J51" i="77"/>
  <c r="J53" i="77" s="1"/>
  <c r="J55" i="77" s="1"/>
  <c r="E38" i="77"/>
  <c r="G64" i="77" s="1"/>
  <c r="M52" i="77"/>
  <c r="L52" i="77"/>
  <c r="K52" i="77"/>
  <c r="K53" i="77" s="1"/>
  <c r="K55" i="77" s="1"/>
  <c r="I38" i="77"/>
  <c r="J38" i="77" s="1"/>
  <c r="K16" i="135"/>
  <c r="L35" i="135"/>
  <c r="F42" i="135"/>
  <c r="F47" i="135"/>
  <c r="L48" i="135"/>
  <c r="F60" i="135"/>
  <c r="F65" i="135"/>
  <c r="K23" i="135"/>
  <c r="F29" i="135"/>
  <c r="K63" i="135"/>
  <c r="K66" i="135"/>
  <c r="L66" i="135" s="1"/>
  <c r="F77" i="135"/>
  <c r="K78" i="135"/>
  <c r="M78" i="135" s="1"/>
  <c r="L80" i="135"/>
  <c r="F84" i="135"/>
  <c r="K87" i="135"/>
  <c r="K18" i="135"/>
  <c r="L18" i="135" s="1"/>
  <c r="K30" i="135"/>
  <c r="L30" i="135" s="1"/>
  <c r="F41" i="135"/>
  <c r="L42" i="135"/>
  <c r="F59" i="135"/>
  <c r="L60" i="135"/>
  <c r="K75" i="135"/>
  <c r="K94" i="135"/>
  <c r="L94" i="135" s="1"/>
  <c r="K101" i="135"/>
  <c r="M101" i="135" s="1"/>
  <c r="L29" i="135"/>
  <c r="M31" i="135"/>
  <c r="K39" i="135"/>
  <c r="M39" i="135" s="1"/>
  <c r="M83" i="135"/>
  <c r="L86" i="135"/>
  <c r="L98" i="135"/>
  <c r="K17" i="135"/>
  <c r="M17" i="135" s="1"/>
  <c r="F19" i="135"/>
  <c r="L24" i="135"/>
  <c r="F53" i="135"/>
  <c r="L54" i="135"/>
  <c r="K72" i="135"/>
  <c r="K93" i="135"/>
  <c r="L93" i="135" s="1"/>
  <c r="F95" i="135"/>
  <c r="K100" i="135"/>
  <c r="L100" i="135" s="1"/>
  <c r="E39" i="77"/>
  <c r="H38" i="77"/>
  <c r="M95" i="135"/>
  <c r="M90" i="135"/>
  <c r="M80" i="135"/>
  <c r="L11" i="135"/>
  <c r="F13" i="135"/>
  <c r="M24" i="135"/>
  <c r="F83" i="135"/>
  <c r="F90" i="135"/>
  <c r="F96" i="135"/>
  <c r="L41" i="135"/>
  <c r="M42" i="135"/>
  <c r="L44" i="135"/>
  <c r="L47" i="135"/>
  <c r="L50" i="135"/>
  <c r="L53" i="135"/>
  <c r="L59" i="135"/>
  <c r="L62" i="135"/>
  <c r="L68" i="135"/>
  <c r="M72" i="135"/>
  <c r="F102" i="135"/>
  <c r="K10" i="135"/>
  <c r="M10" i="135" s="1"/>
  <c r="L13" i="135"/>
  <c r="K22" i="135"/>
  <c r="M22" i="135" s="1"/>
  <c r="K28" i="135"/>
  <c r="L28" i="135" s="1"/>
  <c r="K34" i="135"/>
  <c r="F37" i="135"/>
  <c r="L64" i="135"/>
  <c r="L83" i="135"/>
  <c r="L90" i="135"/>
  <c r="L96" i="135"/>
  <c r="K99" i="135"/>
  <c r="L99" i="135" s="1"/>
  <c r="K9" i="135"/>
  <c r="L9" i="135" s="1"/>
  <c r="K15" i="135"/>
  <c r="M15" i="135" s="1"/>
  <c r="L19" i="135"/>
  <c r="K40" i="135"/>
  <c r="L40" i="135" s="1"/>
  <c r="K46" i="135"/>
  <c r="L46" i="135" s="1"/>
  <c r="K52" i="135"/>
  <c r="L52" i="135" s="1"/>
  <c r="K58" i="135"/>
  <c r="K64" i="135"/>
  <c r="K70" i="135"/>
  <c r="M70" i="135" s="1"/>
  <c r="K76" i="135"/>
  <c r="L76" i="135" s="1"/>
  <c r="L82" i="135"/>
  <c r="L89" i="135"/>
  <c r="L95" i="135"/>
  <c r="L102" i="135"/>
  <c r="K21" i="135"/>
  <c r="L21" i="135" s="1"/>
  <c r="K27" i="135"/>
  <c r="M27" i="135" s="1"/>
  <c r="K33" i="135"/>
  <c r="M37" i="135"/>
  <c r="K82" i="135"/>
  <c r="M11" i="135"/>
  <c r="M33" i="135"/>
  <c r="M52" i="135"/>
  <c r="M71" i="135"/>
  <c r="M54" i="135"/>
  <c r="M60" i="135"/>
  <c r="M53" i="135"/>
  <c r="M16" i="135"/>
  <c r="M19" i="135"/>
  <c r="M41" i="135"/>
  <c r="M47" i="135"/>
  <c r="M65" i="135"/>
  <c r="M9" i="135"/>
  <c r="M13" i="135"/>
  <c r="M25" i="135"/>
  <c r="M36" i="135"/>
  <c r="M56" i="135"/>
  <c r="M68" i="135"/>
  <c r="M62" i="135"/>
  <c r="M59" i="135"/>
  <c r="M50" i="135"/>
  <c r="M48" i="135"/>
  <c r="M44" i="135"/>
  <c r="M34" i="135"/>
  <c r="M29" i="135"/>
  <c r="M18" i="135"/>
  <c r="M102" i="135"/>
  <c r="M12" i="135"/>
  <c r="I97" i="139"/>
  <c r="J102" i="139"/>
  <c r="J96" i="139"/>
  <c r="J99" i="139"/>
  <c r="I94" i="139"/>
  <c r="I100" i="139"/>
  <c r="J90" i="139"/>
  <c r="J87" i="139"/>
  <c r="J84" i="139"/>
  <c r="I88" i="139"/>
  <c r="I79" i="139"/>
  <c r="I82" i="139"/>
  <c r="I85" i="139"/>
  <c r="I76" i="139"/>
  <c r="J70" i="139"/>
  <c r="J69" i="139"/>
  <c r="J72" i="139"/>
  <c r="J75" i="139"/>
  <c r="I73" i="139"/>
  <c r="I64" i="139"/>
  <c r="I58" i="139"/>
  <c r="I55" i="139"/>
  <c r="I49" i="139"/>
  <c r="J39" i="139"/>
  <c r="J45" i="139"/>
  <c r="I46" i="139"/>
  <c r="J36" i="139"/>
  <c r="J42" i="139"/>
  <c r="I34" i="139"/>
  <c r="I37" i="139"/>
  <c r="I40" i="139"/>
  <c r="I43" i="139"/>
  <c r="I28" i="139"/>
  <c r="I31" i="139"/>
  <c r="J27" i="139"/>
  <c r="J30" i="139"/>
  <c r="I25" i="139"/>
  <c r="J24" i="139"/>
  <c r="J15" i="139"/>
  <c r="J18" i="139"/>
  <c r="J21" i="139"/>
  <c r="J9" i="139"/>
  <c r="J12" i="139"/>
  <c r="G38" i="77"/>
  <c r="G39" i="77" s="1"/>
  <c r="K30" i="77"/>
  <c r="F44" i="170"/>
  <c r="L88" i="135"/>
  <c r="L12" i="135"/>
  <c r="L23" i="135"/>
  <c r="L36" i="135"/>
  <c r="L58" i="135"/>
  <c r="L65" i="135"/>
  <c r="L72" i="135"/>
  <c r="L78" i="135"/>
  <c r="L71" i="135"/>
  <c r="L77" i="135"/>
  <c r="L84" i="135"/>
  <c r="J30" i="77"/>
  <c r="L30" i="77"/>
  <c r="N30" i="77"/>
  <c r="M30" i="77" s="1"/>
  <c r="I14" i="139"/>
  <c r="I32" i="139"/>
  <c r="I41" i="139"/>
  <c r="I50" i="139"/>
  <c r="I56" i="139"/>
  <c r="I68" i="139"/>
  <c r="I74" i="139"/>
  <c r="I80" i="139"/>
  <c r="J11" i="139"/>
  <c r="J17" i="139"/>
  <c r="J20" i="139"/>
  <c r="J23" i="139"/>
  <c r="J26" i="139"/>
  <c r="J29" i="139"/>
  <c r="J35" i="139"/>
  <c r="J44" i="139"/>
  <c r="J59" i="139"/>
  <c r="J62" i="139"/>
  <c r="J65" i="139"/>
  <c r="J71" i="139"/>
  <c r="J77" i="139"/>
  <c r="J86" i="139"/>
  <c r="J92" i="139"/>
  <c r="J95" i="139"/>
  <c r="J98" i="139"/>
  <c r="J101" i="139"/>
  <c r="M28" i="135"/>
  <c r="F31" i="135"/>
  <c r="L39" i="135"/>
  <c r="M57" i="135"/>
  <c r="L57" i="135"/>
  <c r="M64" i="135"/>
  <c r="L75" i="135"/>
  <c r="M75" i="135"/>
  <c r="M82" i="135"/>
  <c r="M93" i="135"/>
  <c r="K14" i="135"/>
  <c r="F14" i="135"/>
  <c r="L16" i="135"/>
  <c r="F25" i="135"/>
  <c r="L33" i="135"/>
  <c r="L37" i="135"/>
  <c r="L49" i="135"/>
  <c r="K55" i="135"/>
  <c r="M55" i="135" s="1"/>
  <c r="F55" i="135"/>
  <c r="F73" i="135"/>
  <c r="K73" i="135"/>
  <c r="M73" i="135" s="1"/>
  <c r="L85" i="135"/>
  <c r="K91" i="135"/>
  <c r="M91" i="135" s="1"/>
  <c r="F91" i="135"/>
  <c r="K67" i="135"/>
  <c r="M67" i="135" s="1"/>
  <c r="F67" i="135"/>
  <c r="K8" i="135"/>
  <c r="F8" i="135"/>
  <c r="L10" i="135"/>
  <c r="L31" i="135"/>
  <c r="M45" i="135"/>
  <c r="L45" i="135"/>
  <c r="L56" i="135"/>
  <c r="M63" i="135"/>
  <c r="L63" i="135"/>
  <c r="L74" i="135"/>
  <c r="M81" i="135"/>
  <c r="L81" i="135"/>
  <c r="L92" i="135"/>
  <c r="M99" i="135"/>
  <c r="K26" i="135"/>
  <c r="F26" i="135"/>
  <c r="K49" i="135"/>
  <c r="M49" i="135" s="1"/>
  <c r="F49" i="135"/>
  <c r="K20" i="135"/>
  <c r="F20" i="135"/>
  <c r="F43" i="135"/>
  <c r="K43" i="135"/>
  <c r="M43" i="135" s="1"/>
  <c r="K61" i="135"/>
  <c r="M61" i="135" s="1"/>
  <c r="F61" i="135"/>
  <c r="K79" i="135"/>
  <c r="M79" i="135" s="1"/>
  <c r="F79" i="135"/>
  <c r="K97" i="135"/>
  <c r="M97" i="135" s="1"/>
  <c r="F97" i="135"/>
  <c r="F85" i="135"/>
  <c r="K85" i="135"/>
  <c r="M85" i="135" s="1"/>
  <c r="M23" i="135"/>
  <c r="L25" i="135"/>
  <c r="K38" i="135"/>
  <c r="F38" i="135"/>
  <c r="L15" i="135"/>
  <c r="K32" i="135"/>
  <c r="F32" i="135"/>
  <c r="L34" i="135"/>
  <c r="M35" i="135"/>
  <c r="M51" i="135"/>
  <c r="L51" i="135"/>
  <c r="M58" i="135"/>
  <c r="M69" i="135"/>
  <c r="L69" i="135"/>
  <c r="M87" i="135"/>
  <c r="L87" i="135"/>
  <c r="M94" i="135"/>
  <c r="F68" i="135"/>
  <c r="F44" i="135"/>
  <c r="F50" i="135"/>
  <c r="F62" i="135"/>
  <c r="F74" i="135"/>
  <c r="F80" i="135"/>
  <c r="F56" i="135"/>
  <c r="F86" i="135"/>
  <c r="F92" i="135"/>
  <c r="F98" i="135"/>
  <c r="M31" i="77"/>
  <c r="L17" i="135" l="1"/>
  <c r="K38" i="77"/>
  <c r="M100" i="135"/>
  <c r="M66" i="135"/>
  <c r="L101" i="135"/>
  <c r="M76" i="135"/>
  <c r="M40" i="135"/>
  <c r="M30" i="135"/>
  <c r="L70" i="135"/>
  <c r="M46" i="135"/>
  <c r="L27" i="135"/>
  <c r="M21" i="135"/>
  <c r="L22" i="135"/>
  <c r="L61" i="135"/>
  <c r="L67" i="135"/>
  <c r="L43" i="135"/>
  <c r="L73" i="135"/>
  <c r="M20" i="135"/>
  <c r="L20" i="135"/>
  <c r="L8" i="135"/>
  <c r="M8" i="135"/>
  <c r="M32" i="135"/>
  <c r="L32" i="135"/>
  <c r="L97" i="135"/>
  <c r="L91" i="135"/>
  <c r="L55" i="135"/>
  <c r="L14" i="135"/>
  <c r="M14" i="135"/>
  <c r="M26" i="135"/>
  <c r="L26" i="135"/>
  <c r="M38" i="135"/>
  <c r="L38" i="135"/>
  <c r="L79" i="135"/>
  <c r="I29" i="170"/>
  <c r="O102" i="131"/>
  <c r="N102" i="131"/>
  <c r="I102" i="131"/>
  <c r="H102" i="131"/>
  <c r="F102" i="131"/>
  <c r="E102" i="131"/>
  <c r="D102" i="131"/>
  <c r="O101" i="131"/>
  <c r="N101" i="131"/>
  <c r="I101" i="131"/>
  <c r="H101" i="131"/>
  <c r="F101" i="131"/>
  <c r="E101" i="131"/>
  <c r="D101" i="131"/>
  <c r="M94" i="131"/>
  <c r="L94" i="131"/>
  <c r="K94" i="131"/>
  <c r="M93" i="131"/>
  <c r="L93" i="131"/>
  <c r="K93" i="131"/>
  <c r="N70" i="131"/>
  <c r="L70" i="131"/>
  <c r="K70" i="131"/>
  <c r="I70" i="131"/>
  <c r="H70" i="131"/>
  <c r="F70" i="131"/>
  <c r="E70" i="131"/>
  <c r="D70" i="131"/>
  <c r="N69" i="131"/>
  <c r="L69" i="131"/>
  <c r="K69" i="131"/>
  <c r="I69" i="131"/>
  <c r="H69" i="131"/>
  <c r="F69" i="131"/>
  <c r="E69" i="131"/>
  <c r="D69" i="131"/>
  <c r="O62" i="131"/>
  <c r="N62" i="131"/>
  <c r="L62" i="131"/>
  <c r="K62" i="131"/>
  <c r="I62" i="131"/>
  <c r="H62" i="131"/>
  <c r="F62" i="131"/>
  <c r="E62" i="131"/>
  <c r="D62" i="131"/>
  <c r="O61" i="131"/>
  <c r="N61" i="131"/>
  <c r="L61" i="131"/>
  <c r="K61" i="131"/>
  <c r="I61" i="131"/>
  <c r="H61" i="131"/>
  <c r="F61" i="131"/>
  <c r="E61" i="131"/>
  <c r="D61" i="131"/>
  <c r="O54" i="131"/>
  <c r="N54" i="131"/>
  <c r="M54" i="131"/>
  <c r="L54" i="131"/>
  <c r="K54" i="131"/>
  <c r="I54" i="131"/>
  <c r="H54" i="131"/>
  <c r="F54" i="131"/>
  <c r="E54" i="131"/>
  <c r="D54" i="131"/>
  <c r="O53" i="131"/>
  <c r="N53" i="131"/>
  <c r="L53" i="131"/>
  <c r="K53" i="131"/>
  <c r="I53" i="131"/>
  <c r="H53" i="131"/>
  <c r="F53" i="131"/>
  <c r="E53" i="131"/>
  <c r="D53" i="131"/>
  <c r="O46" i="131"/>
  <c r="N46" i="131"/>
  <c r="M46" i="131"/>
  <c r="L46" i="131"/>
  <c r="K46" i="131"/>
  <c r="I46" i="131"/>
  <c r="H46" i="131"/>
  <c r="F46" i="131"/>
  <c r="E46" i="131"/>
  <c r="D46" i="131"/>
  <c r="O45" i="131"/>
  <c r="N45" i="131"/>
  <c r="L45" i="131"/>
  <c r="K45" i="131"/>
  <c r="I45" i="131"/>
  <c r="H45" i="131"/>
  <c r="F45" i="131"/>
  <c r="E45" i="131"/>
  <c r="D45" i="131"/>
  <c r="O38" i="131"/>
  <c r="N38" i="131"/>
  <c r="L38" i="131"/>
  <c r="K38" i="131"/>
  <c r="I38" i="131"/>
  <c r="H38" i="131"/>
  <c r="F38" i="131"/>
  <c r="E38" i="131"/>
  <c r="D38" i="131"/>
  <c r="O37" i="131"/>
  <c r="N37" i="131"/>
  <c r="L37" i="131"/>
  <c r="K37" i="131"/>
  <c r="I37" i="131"/>
  <c r="H37" i="131"/>
  <c r="F37" i="131"/>
  <c r="E37" i="131"/>
  <c r="D37" i="131"/>
  <c r="O30" i="131"/>
  <c r="N30" i="131"/>
  <c r="L30" i="131"/>
  <c r="K30" i="131"/>
  <c r="I30" i="131"/>
  <c r="H30" i="131"/>
  <c r="G30" i="131"/>
  <c r="F30" i="131"/>
  <c r="E30" i="131"/>
  <c r="D30" i="131"/>
  <c r="O29" i="131"/>
  <c r="N29" i="131"/>
  <c r="L29" i="131"/>
  <c r="K29" i="131"/>
  <c r="I29" i="131"/>
  <c r="H29" i="131"/>
  <c r="G29" i="131"/>
  <c r="F29" i="131"/>
  <c r="E29" i="131"/>
  <c r="D29" i="131"/>
  <c r="N22" i="131"/>
  <c r="M22" i="131"/>
  <c r="L22" i="131"/>
  <c r="K22" i="131"/>
  <c r="I22" i="131"/>
  <c r="H22" i="131"/>
  <c r="G22" i="131"/>
  <c r="F22" i="131"/>
  <c r="E22" i="131"/>
  <c r="D22" i="131"/>
  <c r="O21" i="131"/>
  <c r="N21" i="131"/>
  <c r="L21" i="131"/>
  <c r="K21" i="131"/>
  <c r="I21" i="131"/>
  <c r="H21" i="131"/>
  <c r="F21" i="131"/>
  <c r="E21" i="131"/>
  <c r="D21" i="131"/>
  <c r="E13" i="131"/>
  <c r="F13" i="131"/>
  <c r="H13" i="131"/>
  <c r="I13" i="131"/>
  <c r="K13" i="131"/>
  <c r="L13" i="131"/>
  <c r="N13" i="131"/>
  <c r="E14" i="131"/>
  <c r="F14" i="131"/>
  <c r="H14" i="131"/>
  <c r="I14" i="131"/>
  <c r="K14" i="131"/>
  <c r="L14" i="131"/>
  <c r="N14" i="131"/>
  <c r="O14" i="131"/>
  <c r="D14" i="131"/>
  <c r="D13" i="131"/>
  <c r="O16" i="131"/>
  <c r="O19" i="131" s="1"/>
  <c r="E79" i="131"/>
  <c r="F79" i="131"/>
  <c r="H79" i="131"/>
  <c r="I79" i="131"/>
  <c r="K79" i="131"/>
  <c r="L79" i="131"/>
  <c r="N79" i="131"/>
  <c r="E80" i="131"/>
  <c r="F80" i="131"/>
  <c r="H80" i="131"/>
  <c r="I80" i="131"/>
  <c r="K80" i="131"/>
  <c r="L80" i="131"/>
  <c r="N80" i="131"/>
  <c r="E81" i="131"/>
  <c r="F81" i="131"/>
  <c r="H81" i="131"/>
  <c r="I81" i="131"/>
  <c r="K81" i="131"/>
  <c r="H8" i="77" s="1"/>
  <c r="H40" i="77" s="1"/>
  <c r="L81" i="131"/>
  <c r="N81" i="131"/>
  <c r="O81" i="131"/>
  <c r="E82" i="131"/>
  <c r="F82" i="131"/>
  <c r="H82" i="131"/>
  <c r="I82" i="131"/>
  <c r="K82" i="131"/>
  <c r="L82" i="131"/>
  <c r="N82" i="131"/>
  <c r="N85" i="131" s="1"/>
  <c r="O82" i="131"/>
  <c r="D80" i="131"/>
  <c r="D81" i="131"/>
  <c r="D82" i="131"/>
  <c r="D79" i="131"/>
  <c r="N71" i="131"/>
  <c r="N72" i="131"/>
  <c r="O72" i="131"/>
  <c r="N73" i="131"/>
  <c r="O73" i="131"/>
  <c r="N74" i="131"/>
  <c r="N78" i="131" s="1"/>
  <c r="O74" i="131"/>
  <c r="I71" i="131"/>
  <c r="K71" i="131"/>
  <c r="L71" i="131"/>
  <c r="I72" i="131"/>
  <c r="K72" i="131"/>
  <c r="L72" i="131"/>
  <c r="I73" i="131"/>
  <c r="K73" i="131"/>
  <c r="L73" i="131"/>
  <c r="I74" i="131"/>
  <c r="I77" i="131" s="1"/>
  <c r="K74" i="131"/>
  <c r="K77" i="131" s="1"/>
  <c r="L74" i="131"/>
  <c r="L77" i="131" s="1"/>
  <c r="H73" i="131"/>
  <c r="H74" i="131"/>
  <c r="H71" i="131"/>
  <c r="O64" i="131"/>
  <c r="O67" i="131" s="1"/>
  <c r="O63" i="131"/>
  <c r="O69" i="131" s="1"/>
  <c r="O15" i="131"/>
  <c r="O8" i="131"/>
  <c r="O7" i="131"/>
  <c r="O13" i="131" s="1"/>
  <c r="N68" i="131"/>
  <c r="L68" i="131"/>
  <c r="K68" i="131"/>
  <c r="I68" i="131"/>
  <c r="H68" i="131"/>
  <c r="F68" i="131"/>
  <c r="E68" i="131"/>
  <c r="D68" i="131"/>
  <c r="N67" i="131"/>
  <c r="L67" i="131"/>
  <c r="K67" i="131"/>
  <c r="I67" i="131"/>
  <c r="F67" i="131"/>
  <c r="E67" i="131"/>
  <c r="D67" i="131"/>
  <c r="M66" i="131"/>
  <c r="J66" i="131"/>
  <c r="G66" i="131"/>
  <c r="M65" i="131"/>
  <c r="J65" i="131"/>
  <c r="G65" i="131"/>
  <c r="M64" i="131"/>
  <c r="J64" i="131"/>
  <c r="G64" i="131"/>
  <c r="M63" i="131"/>
  <c r="J63" i="131"/>
  <c r="G63" i="131"/>
  <c r="O60" i="131"/>
  <c r="N60" i="131"/>
  <c r="L60" i="131"/>
  <c r="K60" i="131"/>
  <c r="I60" i="131"/>
  <c r="H60" i="131"/>
  <c r="F60" i="131"/>
  <c r="E60" i="131"/>
  <c r="D60" i="131"/>
  <c r="O59" i="131"/>
  <c r="N59" i="131"/>
  <c r="L59" i="131"/>
  <c r="K59" i="131"/>
  <c r="I59" i="131"/>
  <c r="H59" i="131"/>
  <c r="F59" i="131"/>
  <c r="E59" i="131"/>
  <c r="D59" i="131"/>
  <c r="M58" i="131"/>
  <c r="J58" i="131"/>
  <c r="G58" i="131"/>
  <c r="M57" i="131"/>
  <c r="J57" i="131"/>
  <c r="G57" i="131"/>
  <c r="M56" i="131"/>
  <c r="J56" i="131"/>
  <c r="G56" i="131"/>
  <c r="M55" i="131"/>
  <c r="M71" i="131" s="1"/>
  <c r="J55" i="131"/>
  <c r="G55" i="131"/>
  <c r="O52" i="131"/>
  <c r="N52" i="131"/>
  <c r="L52" i="131"/>
  <c r="K52" i="131"/>
  <c r="I52" i="131"/>
  <c r="H52" i="131"/>
  <c r="F52" i="131"/>
  <c r="E52" i="131"/>
  <c r="D52" i="131"/>
  <c r="O51" i="131"/>
  <c r="N51" i="131"/>
  <c r="L51" i="131"/>
  <c r="K51" i="131"/>
  <c r="I51" i="131"/>
  <c r="H51" i="131"/>
  <c r="F51" i="131"/>
  <c r="E51" i="131"/>
  <c r="D51" i="131"/>
  <c r="M50" i="131"/>
  <c r="M53" i="131" s="1"/>
  <c r="J50" i="131"/>
  <c r="J54" i="131" s="1"/>
  <c r="G50" i="131"/>
  <c r="M49" i="131"/>
  <c r="J49" i="131"/>
  <c r="G49" i="131"/>
  <c r="M48" i="131"/>
  <c r="J48" i="131"/>
  <c r="G48" i="131"/>
  <c r="M47" i="131"/>
  <c r="J47" i="131"/>
  <c r="G47" i="131"/>
  <c r="O44" i="131"/>
  <c r="N44" i="131"/>
  <c r="L44" i="131"/>
  <c r="K44" i="131"/>
  <c r="I44" i="131"/>
  <c r="H44" i="131"/>
  <c r="F44" i="131"/>
  <c r="E44" i="131"/>
  <c r="D44" i="131"/>
  <c r="O43" i="131"/>
  <c r="N43" i="131"/>
  <c r="L43" i="131"/>
  <c r="K43" i="131"/>
  <c r="I43" i="131"/>
  <c r="H43" i="131"/>
  <c r="F43" i="131"/>
  <c r="E43" i="131"/>
  <c r="D43" i="131"/>
  <c r="M42" i="131"/>
  <c r="M45" i="131" s="1"/>
  <c r="J42" i="131"/>
  <c r="J43" i="131" s="1"/>
  <c r="G42" i="131"/>
  <c r="P42" i="131" s="1"/>
  <c r="M41" i="131"/>
  <c r="J41" i="131"/>
  <c r="G41" i="131"/>
  <c r="M40" i="131"/>
  <c r="M44" i="131" s="1"/>
  <c r="J40" i="131"/>
  <c r="G40" i="131"/>
  <c r="M39" i="131"/>
  <c r="J39" i="131"/>
  <c r="G39" i="131"/>
  <c r="O36" i="131"/>
  <c r="N36" i="131"/>
  <c r="L36" i="131"/>
  <c r="K36" i="131"/>
  <c r="I36" i="131"/>
  <c r="H36" i="131"/>
  <c r="F36" i="131"/>
  <c r="E36" i="131"/>
  <c r="D36" i="131"/>
  <c r="O35" i="131"/>
  <c r="N35" i="131"/>
  <c r="L35" i="131"/>
  <c r="K35" i="131"/>
  <c r="I35" i="131"/>
  <c r="H35" i="131"/>
  <c r="E35" i="131"/>
  <c r="D35" i="131"/>
  <c r="M34" i="131"/>
  <c r="M37" i="131" s="1"/>
  <c r="J34" i="131"/>
  <c r="J37" i="131" s="1"/>
  <c r="G34" i="131"/>
  <c r="M33" i="131"/>
  <c r="J33" i="131"/>
  <c r="G33" i="131"/>
  <c r="M32" i="131"/>
  <c r="M36" i="131" s="1"/>
  <c r="J32" i="131"/>
  <c r="G32" i="131"/>
  <c r="M31" i="131"/>
  <c r="J31" i="131"/>
  <c r="G31" i="131"/>
  <c r="O28" i="131"/>
  <c r="N28" i="131"/>
  <c r="L28" i="131"/>
  <c r="K28" i="131"/>
  <c r="I28" i="131"/>
  <c r="H28" i="131"/>
  <c r="F28" i="131"/>
  <c r="E28" i="131"/>
  <c r="D28" i="131"/>
  <c r="O27" i="131"/>
  <c r="N27" i="131"/>
  <c r="L27" i="131"/>
  <c r="K27" i="131"/>
  <c r="I27" i="131"/>
  <c r="H27" i="131"/>
  <c r="F27" i="131"/>
  <c r="E27" i="131"/>
  <c r="D27" i="131"/>
  <c r="M26" i="131"/>
  <c r="M28" i="131" s="1"/>
  <c r="J26" i="131"/>
  <c r="G26" i="131"/>
  <c r="M25" i="131"/>
  <c r="J25" i="131"/>
  <c r="G25" i="131"/>
  <c r="M24" i="131"/>
  <c r="M27" i="131" s="1"/>
  <c r="G24" i="131"/>
  <c r="G27" i="131" s="1"/>
  <c r="M23" i="131"/>
  <c r="J23" i="131"/>
  <c r="P23" i="131" s="1"/>
  <c r="G23" i="131"/>
  <c r="O20" i="131"/>
  <c r="N20" i="131"/>
  <c r="L20" i="131"/>
  <c r="K20" i="131"/>
  <c r="I20" i="131"/>
  <c r="H20" i="131"/>
  <c r="F20" i="131"/>
  <c r="E20" i="131"/>
  <c r="D20" i="131"/>
  <c r="N19" i="131"/>
  <c r="L19" i="131"/>
  <c r="K19" i="131"/>
  <c r="I19" i="131"/>
  <c r="H19" i="131"/>
  <c r="F19" i="131"/>
  <c r="E19" i="131"/>
  <c r="D19" i="131"/>
  <c r="M18" i="131"/>
  <c r="M21" i="131" s="1"/>
  <c r="J18" i="131"/>
  <c r="J19" i="131" s="1"/>
  <c r="G18" i="131"/>
  <c r="M17" i="131"/>
  <c r="J17" i="131"/>
  <c r="G17" i="131"/>
  <c r="P17" i="131" s="1"/>
  <c r="M16" i="131"/>
  <c r="J16" i="131"/>
  <c r="J20" i="131" s="1"/>
  <c r="G16" i="131"/>
  <c r="M15" i="131"/>
  <c r="J15" i="131"/>
  <c r="G15" i="131"/>
  <c r="P15" i="131" s="1"/>
  <c r="J63" i="186"/>
  <c r="H46" i="170" s="1"/>
  <c r="F11" i="189" l="1"/>
  <c r="G11" i="189" s="1"/>
  <c r="F11" i="190"/>
  <c r="H11" i="189"/>
  <c r="H11" i="190"/>
  <c r="P50" i="131"/>
  <c r="P53" i="131" s="1"/>
  <c r="O78" i="131"/>
  <c r="H47" i="77"/>
  <c r="F47" i="77"/>
  <c r="F49" i="77" s="1"/>
  <c r="M72" i="131"/>
  <c r="K85" i="131"/>
  <c r="I8" i="77"/>
  <c r="H39" i="77"/>
  <c r="L86" i="131"/>
  <c r="M70" i="131"/>
  <c r="M62" i="131"/>
  <c r="J74" i="131"/>
  <c r="J73" i="131"/>
  <c r="P66" i="131"/>
  <c r="M69" i="131"/>
  <c r="M61" i="131"/>
  <c r="H77" i="131"/>
  <c r="I78" i="131"/>
  <c r="I86" i="131"/>
  <c r="P58" i="131"/>
  <c r="J35" i="131"/>
  <c r="J38" i="131"/>
  <c r="P34" i="131"/>
  <c r="E85" i="131"/>
  <c r="G36" i="131"/>
  <c r="M73" i="131"/>
  <c r="M68" i="131"/>
  <c r="J61" i="131"/>
  <c r="G37" i="131"/>
  <c r="J52" i="131"/>
  <c r="P33" i="131"/>
  <c r="M52" i="131"/>
  <c r="M60" i="131"/>
  <c r="D86" i="131"/>
  <c r="F86" i="131"/>
  <c r="J21" i="131"/>
  <c r="O22" i="131"/>
  <c r="J53" i="131"/>
  <c r="N77" i="131"/>
  <c r="K78" i="131"/>
  <c r="L85" i="131"/>
  <c r="P18" i="131"/>
  <c r="J28" i="131"/>
  <c r="P39" i="131"/>
  <c r="P45" i="131" s="1"/>
  <c r="P41" i="131"/>
  <c r="P49" i="131"/>
  <c r="P57" i="131"/>
  <c r="P65" i="131"/>
  <c r="M74" i="131"/>
  <c r="O71" i="131"/>
  <c r="O77" i="131" s="1"/>
  <c r="E86" i="131"/>
  <c r="I85" i="131"/>
  <c r="J22" i="131"/>
  <c r="M38" i="131"/>
  <c r="G45" i="131"/>
  <c r="L78" i="131"/>
  <c r="N86" i="131"/>
  <c r="J69" i="131"/>
  <c r="B68" i="131"/>
  <c r="O79" i="131"/>
  <c r="O85" i="131" s="1"/>
  <c r="G70" i="131"/>
  <c r="H85" i="131"/>
  <c r="G46" i="131"/>
  <c r="M20" i="131"/>
  <c r="P25" i="131"/>
  <c r="J36" i="131"/>
  <c r="D85" i="131"/>
  <c r="F85" i="131"/>
  <c r="G21" i="131"/>
  <c r="M30" i="131"/>
  <c r="G53" i="131"/>
  <c r="G69" i="131"/>
  <c r="O70" i="131"/>
  <c r="M29" i="131"/>
  <c r="J45" i="131"/>
  <c r="G54" i="131"/>
  <c r="G62" i="131"/>
  <c r="K86" i="131"/>
  <c r="J44" i="131"/>
  <c r="J60" i="131"/>
  <c r="J68" i="131"/>
  <c r="H86" i="131"/>
  <c r="J46" i="131"/>
  <c r="G61" i="131"/>
  <c r="J30" i="131"/>
  <c r="J29" i="131"/>
  <c r="J70" i="131"/>
  <c r="J72" i="131"/>
  <c r="J62" i="131"/>
  <c r="J71" i="131"/>
  <c r="G38" i="131"/>
  <c r="O80" i="131"/>
  <c r="O86" i="131" s="1"/>
  <c r="O68" i="131"/>
  <c r="P63" i="131"/>
  <c r="J67" i="131"/>
  <c r="J59" i="131"/>
  <c r="P55" i="131"/>
  <c r="J51" i="131"/>
  <c r="P47" i="131"/>
  <c r="P31" i="131"/>
  <c r="J27" i="131"/>
  <c r="P24" i="131"/>
  <c r="P64" i="131"/>
  <c r="G67" i="131"/>
  <c r="M67" i="131"/>
  <c r="G68" i="131"/>
  <c r="P56" i="131"/>
  <c r="G59" i="131"/>
  <c r="M59" i="131"/>
  <c r="G60" i="131"/>
  <c r="P48" i="131"/>
  <c r="G51" i="131"/>
  <c r="M51" i="131"/>
  <c r="G52" i="131"/>
  <c r="P40" i="131"/>
  <c r="P46" i="131" s="1"/>
  <c r="G43" i="131"/>
  <c r="M43" i="131"/>
  <c r="G44" i="131"/>
  <c r="P32" i="131"/>
  <c r="G35" i="131"/>
  <c r="M35" i="131"/>
  <c r="P26" i="131"/>
  <c r="P29" i="131" s="1"/>
  <c r="G28" i="131"/>
  <c r="P16" i="131"/>
  <c r="G19" i="131"/>
  <c r="M19" i="131"/>
  <c r="G20" i="131"/>
  <c r="G41" i="170"/>
  <c r="F43" i="170"/>
  <c r="I43" i="170" s="1"/>
  <c r="F42" i="170"/>
  <c r="I42" i="170" s="1"/>
  <c r="I11" i="174"/>
  <c r="G28" i="170"/>
  <c r="F28" i="170"/>
  <c r="G30" i="170"/>
  <c r="H29" i="170"/>
  <c r="H28" i="170" s="1"/>
  <c r="K53" i="186"/>
  <c r="K54" i="186"/>
  <c r="K55" i="186"/>
  <c r="K56" i="186"/>
  <c r="K57" i="186"/>
  <c r="K58" i="186"/>
  <c r="K59" i="186"/>
  <c r="K60" i="186"/>
  <c r="K61" i="186"/>
  <c r="K51" i="186"/>
  <c r="K50" i="186"/>
  <c r="K49" i="186"/>
  <c r="K48" i="186"/>
  <c r="K47" i="186"/>
  <c r="K46" i="186"/>
  <c r="K45" i="186"/>
  <c r="K44" i="186"/>
  <c r="K43" i="186"/>
  <c r="K42" i="186"/>
  <c r="K41" i="186"/>
  <c r="K40" i="186"/>
  <c r="K39" i="186"/>
  <c r="K38" i="186"/>
  <c r="K37" i="186"/>
  <c r="K36" i="186"/>
  <c r="K35" i="186"/>
  <c r="K34" i="186"/>
  <c r="K33" i="186"/>
  <c r="K32" i="186"/>
  <c r="K31" i="186"/>
  <c r="K30" i="186"/>
  <c r="K29" i="186"/>
  <c r="K28" i="186"/>
  <c r="K27" i="186"/>
  <c r="K26" i="186"/>
  <c r="K25" i="186"/>
  <c r="K24" i="186"/>
  <c r="K23" i="186"/>
  <c r="K7" i="186"/>
  <c r="K8" i="186"/>
  <c r="K9" i="186"/>
  <c r="K10" i="186"/>
  <c r="K11" i="186"/>
  <c r="K12" i="186"/>
  <c r="K13" i="186"/>
  <c r="K14" i="186"/>
  <c r="K15" i="186"/>
  <c r="K16" i="186"/>
  <c r="K17" i="186"/>
  <c r="K18" i="186"/>
  <c r="K19" i="186"/>
  <c r="K20" i="186"/>
  <c r="K21" i="186"/>
  <c r="P54" i="131" l="1"/>
  <c r="I47" i="77"/>
  <c r="I49" i="77" s="1"/>
  <c r="I55" i="77" s="1"/>
  <c r="I40" i="77"/>
  <c r="K11" i="189"/>
  <c r="L11" i="189" s="1"/>
  <c r="G11" i="190"/>
  <c r="K11" i="190"/>
  <c r="I11" i="189"/>
  <c r="J11" i="189" s="1"/>
  <c r="I11" i="190"/>
  <c r="J78" i="131"/>
  <c r="H49" i="77"/>
  <c r="H55" i="77" s="1"/>
  <c r="L8" i="77"/>
  <c r="J8" i="77"/>
  <c r="J40" i="77" s="1"/>
  <c r="K8" i="77"/>
  <c r="K40" i="77" s="1"/>
  <c r="J77" i="131"/>
  <c r="I39" i="77"/>
  <c r="J39" i="77" s="1"/>
  <c r="N8" i="77"/>
  <c r="M8" i="77" s="1"/>
  <c r="P38" i="131"/>
  <c r="P69" i="131"/>
  <c r="P70" i="131"/>
  <c r="P61" i="131"/>
  <c r="P62" i="131"/>
  <c r="M77" i="131"/>
  <c r="M78" i="131"/>
  <c r="P22" i="131"/>
  <c r="P21" i="131"/>
  <c r="P30" i="131"/>
  <c r="P37" i="131"/>
  <c r="N42" i="77"/>
  <c r="P27" i="131"/>
  <c r="P68" i="131"/>
  <c r="P67" i="131"/>
  <c r="P60" i="131"/>
  <c r="P59" i="131"/>
  <c r="P52" i="131"/>
  <c r="P51" i="131"/>
  <c r="P44" i="131"/>
  <c r="P43" i="131"/>
  <c r="P36" i="131"/>
  <c r="P35" i="131"/>
  <c r="P28" i="131"/>
  <c r="P20" i="131"/>
  <c r="P19" i="131"/>
  <c r="F41" i="170"/>
  <c r="I41" i="170" s="1"/>
  <c r="G35" i="170"/>
  <c r="I28" i="170"/>
  <c r="J39" i="186"/>
  <c r="H62" i="186"/>
  <c r="I62" i="186"/>
  <c r="I52" i="186"/>
  <c r="H52" i="186"/>
  <c r="H22" i="186"/>
  <c r="J61" i="186"/>
  <c r="J60" i="186"/>
  <c r="J59" i="186"/>
  <c r="J58" i="186"/>
  <c r="J57" i="186"/>
  <c r="J56" i="186"/>
  <c r="J55" i="186"/>
  <c r="J54" i="186"/>
  <c r="J53" i="186"/>
  <c r="J51" i="186"/>
  <c r="J50" i="186"/>
  <c r="J49" i="186"/>
  <c r="J48" i="186"/>
  <c r="J47" i="186"/>
  <c r="J46" i="186"/>
  <c r="J45" i="186"/>
  <c r="J44" i="186"/>
  <c r="J43" i="186"/>
  <c r="J42" i="186"/>
  <c r="J41" i="186"/>
  <c r="J40" i="186"/>
  <c r="J38" i="186"/>
  <c r="J37" i="186"/>
  <c r="J36" i="186"/>
  <c r="J35" i="186"/>
  <c r="J34" i="186"/>
  <c r="J33" i="186"/>
  <c r="J32" i="186"/>
  <c r="J31" i="186"/>
  <c r="J30" i="186"/>
  <c r="J66" i="186" s="1"/>
  <c r="J29" i="186"/>
  <c r="J28" i="186"/>
  <c r="J27" i="186"/>
  <c r="J26" i="186"/>
  <c r="J25" i="186"/>
  <c r="J24" i="186"/>
  <c r="J23" i="186"/>
  <c r="J7" i="186"/>
  <c r="J8" i="186"/>
  <c r="J9" i="186"/>
  <c r="J10" i="186"/>
  <c r="J11" i="186"/>
  <c r="J12" i="186"/>
  <c r="J13" i="186"/>
  <c r="J14" i="186"/>
  <c r="J15" i="186"/>
  <c r="J16" i="186"/>
  <c r="J17" i="186"/>
  <c r="J18" i="186"/>
  <c r="J19" i="186"/>
  <c r="J20" i="186"/>
  <c r="J21" i="186"/>
  <c r="L47" i="77" l="1"/>
  <c r="I56" i="77"/>
  <c r="J56" i="77" s="1"/>
  <c r="L11" i="190"/>
  <c r="J11" i="190"/>
  <c r="J67" i="186"/>
  <c r="J68" i="186" s="1"/>
  <c r="I50" i="77"/>
  <c r="K39" i="77"/>
  <c r="H42" i="170"/>
  <c r="H43" i="170"/>
  <c r="I64" i="186"/>
  <c r="I65" i="186" s="1"/>
  <c r="F28" i="190" s="1"/>
  <c r="G45" i="170"/>
  <c r="F40" i="170"/>
  <c r="F47" i="170" s="1"/>
  <c r="G40" i="170"/>
  <c r="H64" i="186"/>
  <c r="H65" i="186" s="1"/>
  <c r="K62" i="186"/>
  <c r="J62" i="186"/>
  <c r="H45" i="170" s="1"/>
  <c r="H44" i="170" s="1"/>
  <c r="J52" i="186"/>
  <c r="K52" i="186"/>
  <c r="G28" i="190" l="1"/>
  <c r="K28" i="190"/>
  <c r="F30" i="190"/>
  <c r="G30" i="190" s="1"/>
  <c r="J50" i="77"/>
  <c r="F20" i="189"/>
  <c r="F16" i="188"/>
  <c r="H41" i="170"/>
  <c r="K64" i="186"/>
  <c r="I45" i="170"/>
  <c r="G44" i="170"/>
  <c r="G47" i="170" s="1"/>
  <c r="I40" i="170"/>
  <c r="J64" i="186"/>
  <c r="K65" i="186"/>
  <c r="K6" i="186"/>
  <c r="J6" i="186"/>
  <c r="J22" i="186" s="1"/>
  <c r="F392" i="171"/>
  <c r="N9" i="77"/>
  <c r="M9" i="77" s="1"/>
  <c r="I29" i="174"/>
  <c r="J29" i="174" s="1"/>
  <c r="F32" i="170" s="1"/>
  <c r="K30" i="190" l="1"/>
  <c r="L30" i="190" s="1"/>
  <c r="L28" i="190"/>
  <c r="L55" i="77"/>
  <c r="F22" i="189"/>
  <c r="G22" i="189" s="1"/>
  <c r="G20" i="189"/>
  <c r="K20" i="189"/>
  <c r="J16" i="188"/>
  <c r="F18" i="188"/>
  <c r="G18" i="188" s="1"/>
  <c r="G16" i="188"/>
  <c r="J65" i="186"/>
  <c r="I32" i="170"/>
  <c r="H32" i="170"/>
  <c r="H40" i="170"/>
  <c r="H47" i="170" s="1"/>
  <c r="I31" i="174"/>
  <c r="J18" i="188" l="1"/>
  <c r="K18" i="188" s="1"/>
  <c r="K16" i="188"/>
  <c r="L20" i="189"/>
  <c r="K22" i="189"/>
  <c r="L22" i="189" s="1"/>
  <c r="O14" i="139"/>
  <c r="H12" i="185" l="1"/>
  <c r="J12" i="185" s="1"/>
  <c r="I43" i="185"/>
  <c r="H43" i="185"/>
  <c r="K42" i="185"/>
  <c r="J42" i="185"/>
  <c r="K41" i="185"/>
  <c r="J41" i="185"/>
  <c r="H40" i="185"/>
  <c r="K39" i="185"/>
  <c r="J39" i="185"/>
  <c r="K38" i="185"/>
  <c r="J38" i="185"/>
  <c r="K37" i="185"/>
  <c r="J37" i="185"/>
  <c r="K36" i="185"/>
  <c r="J36" i="185"/>
  <c r="K35" i="185"/>
  <c r="J35" i="185"/>
  <c r="K34" i="185"/>
  <c r="J34" i="185"/>
  <c r="K33" i="185"/>
  <c r="J33" i="185"/>
  <c r="K32" i="185"/>
  <c r="J32" i="185"/>
  <c r="I31" i="185"/>
  <c r="J31" i="185" s="1"/>
  <c r="I30" i="185"/>
  <c r="K30" i="185" s="1"/>
  <c r="K29" i="185"/>
  <c r="J29" i="185"/>
  <c r="K28" i="185"/>
  <c r="J28" i="185"/>
  <c r="K27" i="185"/>
  <c r="J27" i="185"/>
  <c r="K26" i="185"/>
  <c r="J26" i="185"/>
  <c r="K25" i="185"/>
  <c r="J25" i="185"/>
  <c r="K24" i="185"/>
  <c r="J24" i="185"/>
  <c r="K23" i="185"/>
  <c r="J23" i="185"/>
  <c r="K22" i="185"/>
  <c r="J22" i="185"/>
  <c r="K20" i="185"/>
  <c r="J20" i="185"/>
  <c r="K19" i="185"/>
  <c r="J19" i="185"/>
  <c r="K18" i="185"/>
  <c r="J18" i="185"/>
  <c r="K17" i="185"/>
  <c r="J17" i="185"/>
  <c r="K16" i="185"/>
  <c r="J16" i="185"/>
  <c r="K15" i="185"/>
  <c r="J15" i="185"/>
  <c r="K14" i="185"/>
  <c r="J14" i="185"/>
  <c r="K13" i="185"/>
  <c r="J13" i="185"/>
  <c r="K12" i="185"/>
  <c r="I11" i="185"/>
  <c r="K11" i="185" s="1"/>
  <c r="K10" i="185"/>
  <c r="J10" i="185"/>
  <c r="K9" i="185"/>
  <c r="J9" i="185"/>
  <c r="K8" i="185"/>
  <c r="J8" i="185"/>
  <c r="H7" i="185"/>
  <c r="K7" i="185" s="1"/>
  <c r="K6" i="185"/>
  <c r="J6" i="185"/>
  <c r="A3" i="185"/>
  <c r="K31" i="185" l="1"/>
  <c r="I40" i="185"/>
  <c r="K40" i="185" s="1"/>
  <c r="K43" i="185"/>
  <c r="J43" i="185"/>
  <c r="I21" i="185"/>
  <c r="I44" i="185" s="1"/>
  <c r="H21" i="185"/>
  <c r="H44" i="185" s="1"/>
  <c r="J7" i="185"/>
  <c r="J30" i="185"/>
  <c r="J40" i="185" s="1"/>
  <c r="J11" i="185"/>
  <c r="A2" i="177"/>
  <c r="J21" i="185" l="1"/>
  <c r="K44" i="185"/>
  <c r="J44" i="185"/>
  <c r="K21" i="185"/>
  <c r="D8" i="177" l="1"/>
  <c r="F31" i="77" l="1"/>
  <c r="F30" i="77" l="1"/>
  <c r="F52" i="77"/>
  <c r="F53" i="77" l="1"/>
  <c r="F55" i="77" s="1"/>
  <c r="F38" i="77"/>
  <c r="F39" i="77" s="1"/>
  <c r="H11" i="131"/>
  <c r="AL21" i="171" l="1"/>
  <c r="AL22" i="171" s="1"/>
  <c r="E21" i="171" l="1"/>
  <c r="G21" i="171"/>
  <c r="H21" i="171"/>
  <c r="D21" i="171"/>
  <c r="K21" i="171" l="1"/>
  <c r="M21" i="171"/>
  <c r="L21" i="171" s="1"/>
  <c r="M102" i="164"/>
  <c r="L13" i="164" l="1"/>
  <c r="E21" i="177"/>
  <c r="D104" i="163" l="1"/>
  <c r="D230" i="137"/>
  <c r="I43" i="184" l="1"/>
  <c r="H43" i="184"/>
  <c r="K42" i="184"/>
  <c r="J42" i="184"/>
  <c r="K41" i="184"/>
  <c r="J41" i="184"/>
  <c r="J43" i="184" s="1"/>
  <c r="H40" i="184"/>
  <c r="K39" i="184"/>
  <c r="J39" i="184"/>
  <c r="K38" i="184"/>
  <c r="J38" i="184"/>
  <c r="K37" i="184"/>
  <c r="J37" i="184"/>
  <c r="K36" i="184"/>
  <c r="J36" i="184"/>
  <c r="K35" i="184"/>
  <c r="J35" i="184"/>
  <c r="K34" i="184"/>
  <c r="J34" i="184"/>
  <c r="I33" i="184"/>
  <c r="J33" i="184" s="1"/>
  <c r="K32" i="184"/>
  <c r="J32" i="184"/>
  <c r="K31" i="184"/>
  <c r="J31" i="184"/>
  <c r="I31" i="184"/>
  <c r="K30" i="184"/>
  <c r="J30" i="184"/>
  <c r="K29" i="184"/>
  <c r="J29" i="184"/>
  <c r="K28" i="184"/>
  <c r="J28" i="184"/>
  <c r="K27" i="184"/>
  <c r="J27" i="184"/>
  <c r="K26" i="184"/>
  <c r="J26" i="184"/>
  <c r="K25" i="184"/>
  <c r="J25" i="184"/>
  <c r="I24" i="184"/>
  <c r="I40" i="184" s="1"/>
  <c r="K40" i="184" s="1"/>
  <c r="K23" i="184"/>
  <c r="J23" i="184"/>
  <c r="K22" i="184"/>
  <c r="J22" i="184"/>
  <c r="K20" i="184"/>
  <c r="J20" i="184"/>
  <c r="K19" i="184"/>
  <c r="J19" i="184"/>
  <c r="K18" i="184"/>
  <c r="J18" i="184"/>
  <c r="K17" i="184"/>
  <c r="J17" i="184"/>
  <c r="K16" i="184"/>
  <c r="J16" i="184"/>
  <c r="K15" i="184"/>
  <c r="J15" i="184"/>
  <c r="K14" i="184"/>
  <c r="J14" i="184"/>
  <c r="K13" i="184"/>
  <c r="J13" i="184"/>
  <c r="K12" i="184"/>
  <c r="J12" i="184"/>
  <c r="I11" i="184"/>
  <c r="K11" i="184" s="1"/>
  <c r="K10" i="184"/>
  <c r="J10" i="184"/>
  <c r="K9" i="184"/>
  <c r="J9" i="184"/>
  <c r="K8" i="184"/>
  <c r="J8" i="184"/>
  <c r="H7" i="184"/>
  <c r="K7" i="184" s="1"/>
  <c r="K6" i="184"/>
  <c r="J6" i="184"/>
  <c r="A3" i="184"/>
  <c r="K43" i="184" l="1"/>
  <c r="I21" i="184"/>
  <c r="K33" i="184"/>
  <c r="I44" i="184"/>
  <c r="K21" i="184"/>
  <c r="J24" i="184"/>
  <c r="J40" i="184" s="1"/>
  <c r="J11" i="184"/>
  <c r="K24" i="184"/>
  <c r="H21" i="184"/>
  <c r="H44" i="184" s="1"/>
  <c r="J7" i="184"/>
  <c r="K44" i="184" l="1"/>
  <c r="J21" i="184"/>
  <c r="J44" i="184" s="1"/>
  <c r="J29" i="171"/>
  <c r="J34" i="171"/>
  <c r="K29" i="171" l="1"/>
  <c r="K38" i="171" s="1"/>
  <c r="O11" i="183"/>
  <c r="O12" i="183"/>
  <c r="O13" i="183"/>
  <c r="O14" i="183"/>
  <c r="O15" i="183"/>
  <c r="O16" i="183"/>
  <c r="O17" i="183"/>
  <c r="O10" i="183"/>
  <c r="P9" i="183"/>
  <c r="O9" i="183" l="1"/>
  <c r="J50" i="183"/>
  <c r="I50" i="183"/>
  <c r="I51" i="183" s="1"/>
  <c r="G50" i="183"/>
  <c r="F50" i="183"/>
  <c r="E50" i="183"/>
  <c r="J38" i="183"/>
  <c r="J42" i="183" s="1"/>
  <c r="G38" i="183"/>
  <c r="G42" i="183" s="1"/>
  <c r="L25" i="183"/>
  <c r="L24" i="183"/>
  <c r="L23" i="183"/>
  <c r="R17" i="183"/>
  <c r="N17" i="183" s="1"/>
  <c r="M17" i="183"/>
  <c r="L17" i="183"/>
  <c r="K17" i="183"/>
  <c r="H17" i="183"/>
  <c r="R16" i="183"/>
  <c r="N16" i="183" s="1"/>
  <c r="M16" i="183"/>
  <c r="L16" i="183"/>
  <c r="K16" i="183"/>
  <c r="H16" i="183"/>
  <c r="R15" i="183"/>
  <c r="N15" i="183" s="1"/>
  <c r="M15" i="183"/>
  <c r="L15" i="183"/>
  <c r="K15" i="183"/>
  <c r="H15" i="183"/>
  <c r="R14" i="183"/>
  <c r="N14" i="183" s="1"/>
  <c r="M14" i="183"/>
  <c r="L14" i="183"/>
  <c r="K14" i="183"/>
  <c r="H14" i="183"/>
  <c r="R13" i="183"/>
  <c r="N13" i="183" s="1"/>
  <c r="M13" i="183"/>
  <c r="L13" i="183"/>
  <c r="K13" i="183"/>
  <c r="H13" i="183"/>
  <c r="R12" i="183"/>
  <c r="N12" i="183" s="1"/>
  <c r="M12" i="183"/>
  <c r="L12" i="183"/>
  <c r="K12" i="183"/>
  <c r="H12" i="183"/>
  <c r="R11" i="183"/>
  <c r="N11" i="183" s="1"/>
  <c r="M11" i="183"/>
  <c r="L11" i="183"/>
  <c r="K11" i="183"/>
  <c r="H11" i="183"/>
  <c r="R10" i="183"/>
  <c r="N10" i="183" s="1"/>
  <c r="M10" i="183"/>
  <c r="L10" i="183"/>
  <c r="K10" i="183"/>
  <c r="H10" i="183"/>
  <c r="J9" i="183"/>
  <c r="I9" i="183"/>
  <c r="I21" i="183" s="1"/>
  <c r="G9" i="183"/>
  <c r="G40" i="183" s="1"/>
  <c r="F9" i="183"/>
  <c r="F44" i="183" s="1"/>
  <c r="E9" i="183"/>
  <c r="E21" i="183" s="1"/>
  <c r="I38" i="183"/>
  <c r="A4" i="183"/>
  <c r="J44" i="183" l="1"/>
  <c r="M9" i="183"/>
  <c r="F21" i="183"/>
  <c r="H9" i="183"/>
  <c r="H21" i="183" s="1"/>
  <c r="K9" i="183"/>
  <c r="K21" i="183" s="1"/>
  <c r="L50" i="183"/>
  <c r="G18" i="183"/>
  <c r="H38" i="183"/>
  <c r="F48" i="183"/>
  <c r="R38" i="183"/>
  <c r="I42" i="183"/>
  <c r="I39" i="183"/>
  <c r="G22" i="183"/>
  <c r="G19" i="183"/>
  <c r="R51" i="183"/>
  <c r="K51" i="183"/>
  <c r="L9" i="183"/>
  <c r="L21" i="183" s="1"/>
  <c r="J21" i="183"/>
  <c r="M21" i="183" s="1"/>
  <c r="E44" i="183"/>
  <c r="I48" i="183"/>
  <c r="E38" i="183"/>
  <c r="E42" i="183" s="1"/>
  <c r="I40" i="183"/>
  <c r="J48" i="183"/>
  <c r="H50" i="183"/>
  <c r="M50" i="183" s="1"/>
  <c r="R9" i="183"/>
  <c r="N9" i="183" s="1"/>
  <c r="F38" i="183"/>
  <c r="F42" i="183" s="1"/>
  <c r="J40" i="183"/>
  <c r="G44" i="183"/>
  <c r="R50" i="183"/>
  <c r="K38" i="183"/>
  <c r="K42" i="183" s="1"/>
  <c r="G21" i="183"/>
  <c r="E40" i="183"/>
  <c r="L27" i="183"/>
  <c r="Q28" i="183" s="1"/>
  <c r="F40" i="183"/>
  <c r="I44" i="183"/>
  <c r="G48" i="183"/>
  <c r="K50" i="183"/>
  <c r="N50" i="183" s="1"/>
  <c r="H40" i="183" l="1"/>
  <c r="M40" i="183" s="1"/>
  <c r="K44" i="183"/>
  <c r="N44" i="183" s="1"/>
  <c r="H44" i="183"/>
  <c r="M44" i="183" s="1"/>
  <c r="N42" i="183"/>
  <c r="R21" i="183"/>
  <c r="N21" i="183" s="1"/>
  <c r="G20" i="183"/>
  <c r="L44" i="183"/>
  <c r="N38" i="183"/>
  <c r="H48" i="183"/>
  <c r="M48" i="183" s="1"/>
  <c r="L48" i="183"/>
  <c r="J20" i="183"/>
  <c r="L38" i="183"/>
  <c r="L42" i="183" s="1"/>
  <c r="K40" i="183"/>
  <c r="L40" i="183"/>
  <c r="I43" i="183"/>
  <c r="R42" i="183"/>
  <c r="F22" i="183"/>
  <c r="F19" i="183"/>
  <c r="I20" i="183"/>
  <c r="I49" i="183"/>
  <c r="R48" i="183"/>
  <c r="I45" i="183"/>
  <c r="R44" i="183"/>
  <c r="F20" i="183"/>
  <c r="F18" i="183"/>
  <c r="J22" i="183"/>
  <c r="J19" i="183"/>
  <c r="M38" i="183"/>
  <c r="H42" i="183"/>
  <c r="M42" i="183" s="1"/>
  <c r="E48" i="183"/>
  <c r="I41" i="183"/>
  <c r="R40" i="183"/>
  <c r="R39" i="183"/>
  <c r="K39" i="183"/>
  <c r="R20" i="183" l="1"/>
  <c r="R41" i="183"/>
  <c r="K41" i="183"/>
  <c r="E19" i="183"/>
  <c r="E22" i="183"/>
  <c r="H22" i="183"/>
  <c r="M22" i="183" s="1"/>
  <c r="H19" i="183"/>
  <c r="K48" i="183"/>
  <c r="N48" i="183" s="1"/>
  <c r="I18" i="183"/>
  <c r="I46" i="183"/>
  <c r="R43" i="183"/>
  <c r="K43" i="183"/>
  <c r="I22" i="183"/>
  <c r="R22" i="183" s="1"/>
  <c r="I19" i="183"/>
  <c r="R19" i="183" s="1"/>
  <c r="R45" i="183"/>
  <c r="K45" i="183"/>
  <c r="L20" i="183"/>
  <c r="L18" i="183"/>
  <c r="K19" i="183"/>
  <c r="K22" i="183"/>
  <c r="L22" i="183"/>
  <c r="L19" i="183"/>
  <c r="E20" i="183"/>
  <c r="E18" i="183"/>
  <c r="R49" i="183"/>
  <c r="K49" i="183"/>
  <c r="I47" i="183"/>
  <c r="J18" i="183"/>
  <c r="H18" i="183"/>
  <c r="H20" i="183"/>
  <c r="N20" i="183" l="1"/>
  <c r="R46" i="183"/>
  <c r="K46" i="183"/>
  <c r="N22" i="183"/>
  <c r="R18" i="183"/>
  <c r="N18" i="183" s="1"/>
  <c r="R47" i="183"/>
  <c r="K47" i="183"/>
  <c r="Q27" i="183"/>
  <c r="Q25" i="183"/>
  <c r="Q29" i="183"/>
  <c r="K20" i="183"/>
  <c r="K18" i="183"/>
  <c r="N19" i="183"/>
  <c r="J31" i="171" l="1"/>
  <c r="J32" i="171"/>
  <c r="J33" i="171"/>
  <c r="J30" i="171"/>
  <c r="J35" i="171" l="1"/>
  <c r="J36" i="171"/>
  <c r="J37" i="171"/>
  <c r="G37" i="171"/>
  <c r="L9" i="77" l="1"/>
  <c r="F46" i="77" l="1"/>
  <c r="F104" i="163"/>
  <c r="A3" i="170" l="1"/>
  <c r="A3" i="190" l="1"/>
  <c r="A4" i="193"/>
  <c r="A3" i="189"/>
  <c r="A3" i="188"/>
  <c r="B27" i="177"/>
  <c r="B28" i="177"/>
  <c r="B29" i="177"/>
  <c r="A3" i="177" l="1"/>
  <c r="A1" i="177"/>
  <c r="F102" i="141" l="1"/>
  <c r="G103" i="135" l="1"/>
  <c r="N14" i="139" l="1"/>
  <c r="E103" i="135" l="1"/>
  <c r="F24" i="189" l="1"/>
  <c r="F25" i="189" s="1"/>
  <c r="F32" i="190"/>
  <c r="H103" i="135"/>
  <c r="F33" i="190" l="1"/>
  <c r="J102" i="164"/>
  <c r="I102" i="164" s="1"/>
  <c r="J101" i="164"/>
  <c r="I101" i="164" s="1"/>
  <c r="J100" i="164"/>
  <c r="I100" i="164" s="1"/>
  <c r="J99" i="164"/>
  <c r="I99" i="164" s="1"/>
  <c r="J98" i="164"/>
  <c r="I98" i="164" s="1"/>
  <c r="J97" i="164"/>
  <c r="I97" i="164" s="1"/>
  <c r="J96" i="164"/>
  <c r="I96" i="164" s="1"/>
  <c r="J95" i="164"/>
  <c r="I95" i="164" s="1"/>
  <c r="J94" i="164"/>
  <c r="I94" i="164" s="1"/>
  <c r="J93" i="164"/>
  <c r="I93" i="164" s="1"/>
  <c r="J92" i="164"/>
  <c r="I92" i="164" s="1"/>
  <c r="J91" i="164"/>
  <c r="I91" i="164" s="1"/>
  <c r="J90" i="164"/>
  <c r="I90" i="164" s="1"/>
  <c r="J89" i="164"/>
  <c r="I89" i="164" s="1"/>
  <c r="J88" i="164"/>
  <c r="I88" i="164" s="1"/>
  <c r="J87" i="164"/>
  <c r="I87" i="164" s="1"/>
  <c r="J86" i="164"/>
  <c r="I86" i="164" s="1"/>
  <c r="J85" i="164"/>
  <c r="I85" i="164" s="1"/>
  <c r="J84" i="164"/>
  <c r="I84" i="164" s="1"/>
  <c r="J83" i="164"/>
  <c r="I83" i="164" s="1"/>
  <c r="J82" i="164"/>
  <c r="I82" i="164" s="1"/>
  <c r="J81" i="164"/>
  <c r="I81" i="164" s="1"/>
  <c r="J80" i="164"/>
  <c r="I80" i="164" s="1"/>
  <c r="J79" i="164"/>
  <c r="I79" i="164" s="1"/>
  <c r="J78" i="164"/>
  <c r="I78" i="164" s="1"/>
  <c r="J77" i="164"/>
  <c r="I77" i="164" s="1"/>
  <c r="J76" i="164"/>
  <c r="I76" i="164" s="1"/>
  <c r="J75" i="164"/>
  <c r="I75" i="164" s="1"/>
  <c r="J74" i="164"/>
  <c r="I74" i="164" s="1"/>
  <c r="J73" i="164"/>
  <c r="I73" i="164" s="1"/>
  <c r="J72" i="164"/>
  <c r="I72" i="164" s="1"/>
  <c r="J71" i="164"/>
  <c r="I71" i="164" s="1"/>
  <c r="J70" i="164"/>
  <c r="I70" i="164" s="1"/>
  <c r="J69" i="164"/>
  <c r="I69" i="164" s="1"/>
  <c r="J68" i="164"/>
  <c r="I68" i="164" s="1"/>
  <c r="J67" i="164"/>
  <c r="I67" i="164" s="1"/>
  <c r="J66" i="164"/>
  <c r="I66" i="164" s="1"/>
  <c r="J65" i="164"/>
  <c r="I65" i="164" s="1"/>
  <c r="J64" i="164"/>
  <c r="I64" i="164" s="1"/>
  <c r="J63" i="164"/>
  <c r="I63" i="164" s="1"/>
  <c r="J62" i="164"/>
  <c r="I62" i="164" s="1"/>
  <c r="J61" i="164"/>
  <c r="I61" i="164" s="1"/>
  <c r="J60" i="164"/>
  <c r="I60" i="164" s="1"/>
  <c r="J59" i="164"/>
  <c r="I59" i="164" s="1"/>
  <c r="J58" i="164"/>
  <c r="I58" i="164" s="1"/>
  <c r="J57" i="164"/>
  <c r="I57" i="164" s="1"/>
  <c r="J56" i="164"/>
  <c r="I56" i="164" s="1"/>
  <c r="J55" i="164"/>
  <c r="I55" i="164" s="1"/>
  <c r="J54" i="164"/>
  <c r="I54" i="164" s="1"/>
  <c r="J53" i="164"/>
  <c r="I53" i="164" s="1"/>
  <c r="J52" i="164"/>
  <c r="I52" i="164" s="1"/>
  <c r="J51" i="164"/>
  <c r="I51" i="164" s="1"/>
  <c r="J50" i="164"/>
  <c r="I50" i="164" s="1"/>
  <c r="J49" i="164"/>
  <c r="I49" i="164" s="1"/>
  <c r="J48" i="164"/>
  <c r="I48" i="164" s="1"/>
  <c r="J47" i="164"/>
  <c r="I47" i="164" s="1"/>
  <c r="J46" i="164"/>
  <c r="I46" i="164" s="1"/>
  <c r="J45" i="164"/>
  <c r="I45" i="164" s="1"/>
  <c r="J44" i="164"/>
  <c r="I44" i="164" s="1"/>
  <c r="J43" i="164"/>
  <c r="I43" i="164" s="1"/>
  <c r="J42" i="164"/>
  <c r="I42" i="164" s="1"/>
  <c r="J41" i="164"/>
  <c r="I41" i="164" s="1"/>
  <c r="J40" i="164"/>
  <c r="I40" i="164" s="1"/>
  <c r="J39" i="164"/>
  <c r="I39" i="164" s="1"/>
  <c r="J38" i="164"/>
  <c r="I38" i="164" s="1"/>
  <c r="J37" i="164"/>
  <c r="I37" i="164" s="1"/>
  <c r="J36" i="164"/>
  <c r="I36" i="164" s="1"/>
  <c r="J35" i="164"/>
  <c r="I35" i="164" s="1"/>
  <c r="J34" i="164"/>
  <c r="I34" i="164" s="1"/>
  <c r="J33" i="164"/>
  <c r="I33" i="164" s="1"/>
  <c r="J32" i="164"/>
  <c r="I32" i="164" s="1"/>
  <c r="J31" i="164"/>
  <c r="I31" i="164" s="1"/>
  <c r="J30" i="164"/>
  <c r="I30" i="164" s="1"/>
  <c r="J29" i="164"/>
  <c r="I29" i="164" s="1"/>
  <c r="J28" i="164"/>
  <c r="I28" i="164" s="1"/>
  <c r="J27" i="164"/>
  <c r="I27" i="164" s="1"/>
  <c r="J26" i="164"/>
  <c r="I26" i="164" s="1"/>
  <c r="J25" i="164"/>
  <c r="I25" i="164" s="1"/>
  <c r="J24" i="164"/>
  <c r="I24" i="164" s="1"/>
  <c r="J23" i="164"/>
  <c r="I23" i="164" s="1"/>
  <c r="J22" i="164"/>
  <c r="I22" i="164" s="1"/>
  <c r="J21" i="164"/>
  <c r="I21" i="164" s="1"/>
  <c r="J20" i="164"/>
  <c r="I20" i="164" s="1"/>
  <c r="J19" i="164"/>
  <c r="I19" i="164" s="1"/>
  <c r="J18" i="164"/>
  <c r="I18" i="164" s="1"/>
  <c r="J17" i="164"/>
  <c r="I17" i="164" s="1"/>
  <c r="J16" i="164"/>
  <c r="I16" i="164" s="1"/>
  <c r="J15" i="164"/>
  <c r="I15" i="164" s="1"/>
  <c r="J14" i="164"/>
  <c r="I14" i="164" s="1"/>
  <c r="J13" i="164"/>
  <c r="I13" i="164" s="1"/>
  <c r="J12" i="164"/>
  <c r="I12" i="164" s="1"/>
  <c r="J11" i="164"/>
  <c r="I11" i="164" s="1"/>
  <c r="J10" i="164"/>
  <c r="I10" i="164" s="1"/>
  <c r="J9" i="164"/>
  <c r="I9" i="164" s="1"/>
  <c r="J8" i="164"/>
  <c r="I8" i="164" s="1"/>
  <c r="J7" i="164"/>
  <c r="I7" i="164" s="1"/>
  <c r="L103" i="139"/>
  <c r="K103" i="139" s="1"/>
  <c r="L102" i="139"/>
  <c r="K102" i="139" s="1"/>
  <c r="L101" i="139"/>
  <c r="K101" i="139" s="1"/>
  <c r="L100" i="139"/>
  <c r="K100" i="139" s="1"/>
  <c r="L99" i="139"/>
  <c r="K99" i="139" s="1"/>
  <c r="L98" i="139"/>
  <c r="K98" i="139" s="1"/>
  <c r="L97" i="139"/>
  <c r="K97" i="139" s="1"/>
  <c r="L96" i="139"/>
  <c r="K96" i="139" s="1"/>
  <c r="L95" i="139"/>
  <c r="K95" i="139" s="1"/>
  <c r="L94" i="139"/>
  <c r="K94" i="139" s="1"/>
  <c r="L93" i="139"/>
  <c r="L92" i="139"/>
  <c r="K92" i="139" s="1"/>
  <c r="L91" i="139"/>
  <c r="K91" i="139" s="1"/>
  <c r="L90" i="139"/>
  <c r="K90" i="139" s="1"/>
  <c r="L89" i="139"/>
  <c r="L88" i="139"/>
  <c r="K88" i="139" s="1"/>
  <c r="L87" i="139"/>
  <c r="K87" i="139" s="1"/>
  <c r="L86" i="139"/>
  <c r="K86" i="139" s="1"/>
  <c r="L85" i="139"/>
  <c r="L84" i="139"/>
  <c r="K84" i="139" s="1"/>
  <c r="L83" i="139"/>
  <c r="L82" i="139"/>
  <c r="K82" i="139" s="1"/>
  <c r="L81" i="139"/>
  <c r="K81" i="139" s="1"/>
  <c r="L80" i="139"/>
  <c r="L79" i="139"/>
  <c r="K79" i="139" s="1"/>
  <c r="L78" i="139"/>
  <c r="K78" i="139" s="1"/>
  <c r="L77" i="139"/>
  <c r="K77" i="139" s="1"/>
  <c r="L76" i="139"/>
  <c r="K76" i="139" s="1"/>
  <c r="L75" i="139"/>
  <c r="K75" i="139" s="1"/>
  <c r="L74" i="139"/>
  <c r="K74" i="139" s="1"/>
  <c r="L73" i="139"/>
  <c r="K73" i="139" s="1"/>
  <c r="L72" i="139"/>
  <c r="K72" i="139" s="1"/>
  <c r="L71" i="139"/>
  <c r="K71" i="139" s="1"/>
  <c r="L70" i="139"/>
  <c r="K70" i="139" s="1"/>
  <c r="L69" i="139"/>
  <c r="K69" i="139" s="1"/>
  <c r="L68" i="139"/>
  <c r="L67" i="139"/>
  <c r="L66" i="139"/>
  <c r="K66" i="139" s="1"/>
  <c r="L65" i="139"/>
  <c r="K65" i="139" s="1"/>
  <c r="L64" i="139"/>
  <c r="K64" i="139" s="1"/>
  <c r="L63" i="139"/>
  <c r="K63" i="139" s="1"/>
  <c r="L62" i="139"/>
  <c r="K62" i="139" s="1"/>
  <c r="L61" i="139"/>
  <c r="K61" i="139" s="1"/>
  <c r="L60" i="139"/>
  <c r="K60" i="139" s="1"/>
  <c r="L59" i="139"/>
  <c r="K59" i="139" s="1"/>
  <c r="L58" i="139"/>
  <c r="K58" i="139" s="1"/>
  <c r="L57" i="139"/>
  <c r="L56" i="139"/>
  <c r="L55" i="139"/>
  <c r="K55" i="139" s="1"/>
  <c r="L54" i="139"/>
  <c r="K54" i="139" s="1"/>
  <c r="L53" i="139"/>
  <c r="L52" i="139"/>
  <c r="K52" i="139" s="1"/>
  <c r="L51" i="139"/>
  <c r="K51" i="139" s="1"/>
  <c r="L50" i="139"/>
  <c r="K50" i="139" s="1"/>
  <c r="L49" i="139"/>
  <c r="K49" i="139" s="1"/>
  <c r="L48" i="139"/>
  <c r="L47" i="139"/>
  <c r="L46" i="139"/>
  <c r="K46" i="139" s="1"/>
  <c r="L45" i="139"/>
  <c r="K45" i="139" s="1"/>
  <c r="L44" i="139"/>
  <c r="K44" i="139" s="1"/>
  <c r="L43" i="139"/>
  <c r="K43" i="139" s="1"/>
  <c r="L42" i="139"/>
  <c r="K42" i="139" s="1"/>
  <c r="L41" i="139"/>
  <c r="K41" i="139" s="1"/>
  <c r="L40" i="139"/>
  <c r="L39" i="139"/>
  <c r="K39" i="139" s="1"/>
  <c r="L38" i="139"/>
  <c r="L37" i="139"/>
  <c r="L36" i="139"/>
  <c r="K36" i="139" s="1"/>
  <c r="L35" i="139"/>
  <c r="K35" i="139" s="1"/>
  <c r="L34" i="139"/>
  <c r="L33" i="139"/>
  <c r="K33" i="139" s="1"/>
  <c r="L32" i="139"/>
  <c r="K32" i="139" s="1"/>
  <c r="L31" i="139"/>
  <c r="K31" i="139" s="1"/>
  <c r="L30" i="139"/>
  <c r="K30" i="139" s="1"/>
  <c r="L29" i="139"/>
  <c r="K29" i="139" s="1"/>
  <c r="L28" i="139"/>
  <c r="K28" i="139" s="1"/>
  <c r="L27" i="139"/>
  <c r="K27" i="139" s="1"/>
  <c r="L26" i="139"/>
  <c r="K26" i="139" s="1"/>
  <c r="L25" i="139"/>
  <c r="K25" i="139" s="1"/>
  <c r="L24" i="139"/>
  <c r="K24" i="139" s="1"/>
  <c r="L23" i="139"/>
  <c r="K23" i="139" s="1"/>
  <c r="L22" i="139"/>
  <c r="K22" i="139" s="1"/>
  <c r="L21" i="139"/>
  <c r="K21" i="139" s="1"/>
  <c r="L20" i="139"/>
  <c r="K20" i="139" s="1"/>
  <c r="L19" i="139"/>
  <c r="K19" i="139" s="1"/>
  <c r="L18" i="139"/>
  <c r="K18" i="139" s="1"/>
  <c r="L17" i="139"/>
  <c r="K17" i="139" s="1"/>
  <c r="L16" i="139"/>
  <c r="K16" i="139" s="1"/>
  <c r="L15" i="139"/>
  <c r="K15" i="139" s="1"/>
  <c r="L14" i="139"/>
  <c r="K14" i="139" s="1"/>
  <c r="L13" i="139"/>
  <c r="K13" i="139" s="1"/>
  <c r="L12" i="139"/>
  <c r="K12" i="139" s="1"/>
  <c r="L11" i="139"/>
  <c r="K11" i="139" s="1"/>
  <c r="L10" i="139"/>
  <c r="K10" i="139" s="1"/>
  <c r="L9" i="139"/>
  <c r="K9" i="139" s="1"/>
  <c r="L8" i="139"/>
  <c r="J9" i="163"/>
  <c r="I9" i="163" s="1"/>
  <c r="J10" i="163"/>
  <c r="I10" i="163" s="1"/>
  <c r="J11" i="163"/>
  <c r="I11" i="163" s="1"/>
  <c r="J12" i="163"/>
  <c r="I12" i="163" s="1"/>
  <c r="J13" i="163"/>
  <c r="I13" i="163" s="1"/>
  <c r="J14" i="163"/>
  <c r="I14" i="163" s="1"/>
  <c r="J15" i="163"/>
  <c r="I15" i="163" s="1"/>
  <c r="J16" i="163"/>
  <c r="I16" i="163" s="1"/>
  <c r="J17" i="163"/>
  <c r="I17" i="163" s="1"/>
  <c r="J18" i="163"/>
  <c r="I18" i="163" s="1"/>
  <c r="J19" i="163"/>
  <c r="I19" i="163" s="1"/>
  <c r="J20" i="163"/>
  <c r="I20" i="163" s="1"/>
  <c r="J21" i="163"/>
  <c r="I21" i="163" s="1"/>
  <c r="J22" i="163"/>
  <c r="I22" i="163" s="1"/>
  <c r="J23" i="163"/>
  <c r="I23" i="163" s="1"/>
  <c r="J24" i="163"/>
  <c r="I24" i="163" s="1"/>
  <c r="J25" i="163"/>
  <c r="I25" i="163" s="1"/>
  <c r="J26" i="163"/>
  <c r="I26" i="163" s="1"/>
  <c r="J27" i="163"/>
  <c r="I27" i="163" s="1"/>
  <c r="J28" i="163"/>
  <c r="I28" i="163" s="1"/>
  <c r="J29" i="163"/>
  <c r="I29" i="163" s="1"/>
  <c r="J30" i="163"/>
  <c r="I30" i="163" s="1"/>
  <c r="J31" i="163"/>
  <c r="I31" i="163" s="1"/>
  <c r="J32" i="163"/>
  <c r="I32" i="163" s="1"/>
  <c r="J33" i="163"/>
  <c r="I33" i="163" s="1"/>
  <c r="J34" i="163"/>
  <c r="I34" i="163" s="1"/>
  <c r="J35" i="163"/>
  <c r="I35" i="163" s="1"/>
  <c r="J36" i="163"/>
  <c r="I36" i="163" s="1"/>
  <c r="J37" i="163"/>
  <c r="I37" i="163" s="1"/>
  <c r="J38" i="163"/>
  <c r="I38" i="163" s="1"/>
  <c r="J39" i="163"/>
  <c r="I39" i="163" s="1"/>
  <c r="J40" i="163"/>
  <c r="I40" i="163" s="1"/>
  <c r="J41" i="163"/>
  <c r="I41" i="163" s="1"/>
  <c r="J42" i="163"/>
  <c r="I42" i="163" s="1"/>
  <c r="J43" i="163"/>
  <c r="I43" i="163" s="1"/>
  <c r="J44" i="163"/>
  <c r="I44" i="163" s="1"/>
  <c r="J45" i="163"/>
  <c r="I45" i="163" s="1"/>
  <c r="J46" i="163"/>
  <c r="I46" i="163" s="1"/>
  <c r="J47" i="163"/>
  <c r="I47" i="163" s="1"/>
  <c r="J48" i="163"/>
  <c r="I48" i="163" s="1"/>
  <c r="J49" i="163"/>
  <c r="I49" i="163" s="1"/>
  <c r="J50" i="163"/>
  <c r="I50" i="163" s="1"/>
  <c r="J51" i="163"/>
  <c r="I51" i="163" s="1"/>
  <c r="J52" i="163"/>
  <c r="I52" i="163" s="1"/>
  <c r="J53" i="163"/>
  <c r="I53" i="163" s="1"/>
  <c r="J54" i="163"/>
  <c r="I54" i="163" s="1"/>
  <c r="J55" i="163"/>
  <c r="I55" i="163" s="1"/>
  <c r="J56" i="163"/>
  <c r="I56" i="163" s="1"/>
  <c r="J57" i="163"/>
  <c r="I57" i="163" s="1"/>
  <c r="J58" i="163"/>
  <c r="I58" i="163" s="1"/>
  <c r="J59" i="163"/>
  <c r="I59" i="163" s="1"/>
  <c r="J60" i="163"/>
  <c r="I60" i="163" s="1"/>
  <c r="J61" i="163"/>
  <c r="I61" i="163" s="1"/>
  <c r="J62" i="163"/>
  <c r="I62" i="163" s="1"/>
  <c r="J63" i="163"/>
  <c r="I63" i="163" s="1"/>
  <c r="J64" i="163"/>
  <c r="I64" i="163" s="1"/>
  <c r="J65" i="163"/>
  <c r="I65" i="163" s="1"/>
  <c r="J66" i="163"/>
  <c r="I66" i="163" s="1"/>
  <c r="J67" i="163"/>
  <c r="I67" i="163" s="1"/>
  <c r="J68" i="163"/>
  <c r="I68" i="163" s="1"/>
  <c r="J69" i="163"/>
  <c r="I69" i="163" s="1"/>
  <c r="J70" i="163"/>
  <c r="I70" i="163" s="1"/>
  <c r="J71" i="163"/>
  <c r="I71" i="163" s="1"/>
  <c r="J72" i="163"/>
  <c r="I72" i="163" s="1"/>
  <c r="J73" i="163"/>
  <c r="I73" i="163" s="1"/>
  <c r="J74" i="163"/>
  <c r="I74" i="163" s="1"/>
  <c r="J75" i="163"/>
  <c r="I75" i="163" s="1"/>
  <c r="J76" i="163"/>
  <c r="I76" i="163" s="1"/>
  <c r="J77" i="163"/>
  <c r="I77" i="163" s="1"/>
  <c r="J78" i="163"/>
  <c r="I78" i="163" s="1"/>
  <c r="J79" i="163"/>
  <c r="I79" i="163" s="1"/>
  <c r="J80" i="163"/>
  <c r="I80" i="163" s="1"/>
  <c r="J81" i="163"/>
  <c r="I81" i="163" s="1"/>
  <c r="J82" i="163"/>
  <c r="I82" i="163" s="1"/>
  <c r="J83" i="163"/>
  <c r="I83" i="163" s="1"/>
  <c r="J84" i="163"/>
  <c r="I84" i="163" s="1"/>
  <c r="J85" i="163"/>
  <c r="I85" i="163" s="1"/>
  <c r="J86" i="163"/>
  <c r="I86" i="163" s="1"/>
  <c r="J87" i="163"/>
  <c r="I87" i="163" s="1"/>
  <c r="J88" i="163"/>
  <c r="I88" i="163" s="1"/>
  <c r="J89" i="163"/>
  <c r="I89" i="163" s="1"/>
  <c r="J90" i="163"/>
  <c r="I90" i="163" s="1"/>
  <c r="J91" i="163"/>
  <c r="I91" i="163" s="1"/>
  <c r="J92" i="163"/>
  <c r="I92" i="163" s="1"/>
  <c r="J93" i="163"/>
  <c r="I93" i="163" s="1"/>
  <c r="J94" i="163"/>
  <c r="I94" i="163" s="1"/>
  <c r="J95" i="163"/>
  <c r="I95" i="163" s="1"/>
  <c r="J96" i="163"/>
  <c r="I96" i="163" s="1"/>
  <c r="J97" i="163"/>
  <c r="I97" i="163" s="1"/>
  <c r="J98" i="163"/>
  <c r="I98" i="163" s="1"/>
  <c r="J99" i="163"/>
  <c r="I99" i="163" s="1"/>
  <c r="J100" i="163"/>
  <c r="I100" i="163" s="1"/>
  <c r="J101" i="163"/>
  <c r="I101" i="163" s="1"/>
  <c r="J102" i="163"/>
  <c r="I102" i="163" s="1"/>
  <c r="J103" i="163"/>
  <c r="I103" i="163" s="1"/>
  <c r="J8" i="163"/>
  <c r="I8" i="163" s="1"/>
  <c r="J21" i="171" l="1"/>
  <c r="I21" i="171"/>
  <c r="B36" i="177" l="1"/>
  <c r="B35" i="177"/>
  <c r="B34" i="177"/>
  <c r="D103" i="164" l="1"/>
  <c r="K7" i="164" l="1"/>
  <c r="I43" i="174"/>
  <c r="H43" i="174"/>
  <c r="I40" i="174"/>
  <c r="H40" i="174"/>
  <c r="I21" i="174"/>
  <c r="H43" i="77" l="1"/>
  <c r="N43" i="77" s="1"/>
  <c r="L42" i="77"/>
  <c r="L38" i="77"/>
  <c r="F21" i="171" l="1"/>
  <c r="A3" i="174" l="1"/>
  <c r="O12" i="131" l="1"/>
  <c r="O11" i="131" l="1"/>
  <c r="G54" i="170"/>
  <c r="D103" i="135"/>
  <c r="D32" i="190" s="1"/>
  <c r="H43" i="176"/>
  <c r="K43" i="176" s="1"/>
  <c r="K42" i="176"/>
  <c r="J42" i="176"/>
  <c r="K41" i="176"/>
  <c r="J41" i="176"/>
  <c r="I40" i="176"/>
  <c r="H40" i="176"/>
  <c r="K39" i="176"/>
  <c r="J39" i="176"/>
  <c r="K38" i="176"/>
  <c r="J38" i="176"/>
  <c r="K37" i="176"/>
  <c r="J37" i="176"/>
  <c r="K36" i="176"/>
  <c r="J36" i="176"/>
  <c r="K35" i="176"/>
  <c r="J35" i="176"/>
  <c r="K34" i="176"/>
  <c r="J34" i="176"/>
  <c r="K33" i="176"/>
  <c r="J33" i="176"/>
  <c r="K32" i="176"/>
  <c r="J32" i="176"/>
  <c r="K31" i="176"/>
  <c r="J31" i="176"/>
  <c r="K30" i="176"/>
  <c r="J30" i="176"/>
  <c r="K29" i="176"/>
  <c r="J29" i="176"/>
  <c r="K28" i="176"/>
  <c r="J28" i="176"/>
  <c r="K27" i="176"/>
  <c r="J27" i="176"/>
  <c r="K26" i="176"/>
  <c r="J26" i="176"/>
  <c r="K25" i="176"/>
  <c r="J25" i="176"/>
  <c r="K24" i="176"/>
  <c r="J24" i="176"/>
  <c r="K23" i="176"/>
  <c r="J23" i="176"/>
  <c r="K22" i="176"/>
  <c r="J22" i="176"/>
  <c r="I21" i="176"/>
  <c r="K20" i="176"/>
  <c r="J20" i="176"/>
  <c r="K19" i="176"/>
  <c r="J19" i="176"/>
  <c r="K18" i="176"/>
  <c r="J18" i="176"/>
  <c r="K17" i="176"/>
  <c r="J17" i="176"/>
  <c r="K16" i="176"/>
  <c r="J16" i="176"/>
  <c r="K15" i="176"/>
  <c r="J15" i="176"/>
  <c r="K14" i="176"/>
  <c r="J14" i="176"/>
  <c r="K13" i="176"/>
  <c r="J13" i="176"/>
  <c r="H12" i="176"/>
  <c r="K12" i="176" s="1"/>
  <c r="K11" i="176"/>
  <c r="J11" i="176"/>
  <c r="K10" i="176"/>
  <c r="J10" i="176"/>
  <c r="K9" i="176"/>
  <c r="J9" i="176"/>
  <c r="K8" i="176"/>
  <c r="J8" i="176"/>
  <c r="K7" i="176"/>
  <c r="J7" i="176"/>
  <c r="K6" i="176"/>
  <c r="J6" i="176"/>
  <c r="F103" i="164"/>
  <c r="D33" i="190" l="1"/>
  <c r="G33" i="190" s="1"/>
  <c r="G32" i="190"/>
  <c r="K32" i="190"/>
  <c r="D24" i="189"/>
  <c r="D20" i="188"/>
  <c r="K40" i="176"/>
  <c r="I44" i="176"/>
  <c r="F54" i="170"/>
  <c r="F53" i="170" s="1"/>
  <c r="J40" i="176"/>
  <c r="J43" i="176"/>
  <c r="J12" i="176"/>
  <c r="J21" i="176" s="1"/>
  <c r="H21" i="176"/>
  <c r="G8" i="163"/>
  <c r="K33" i="190" l="1"/>
  <c r="L33" i="190" s="1"/>
  <c r="L32" i="190"/>
  <c r="J20" i="188"/>
  <c r="G20" i="188"/>
  <c r="D21" i="188"/>
  <c r="G21" i="188" s="1"/>
  <c r="G24" i="189"/>
  <c r="D25" i="189"/>
  <c r="G25" i="189" s="1"/>
  <c r="K24" i="189"/>
  <c r="J44" i="176"/>
  <c r="H54" i="170"/>
  <c r="I54" i="170"/>
  <c r="H44" i="176"/>
  <c r="K44" i="176" s="1"/>
  <c r="K21" i="176"/>
  <c r="K42" i="174"/>
  <c r="J42" i="174"/>
  <c r="K41" i="174"/>
  <c r="J41" i="174"/>
  <c r="K25" i="174"/>
  <c r="J25" i="174"/>
  <c r="F31" i="170" s="1"/>
  <c r="K27" i="174"/>
  <c r="J27" i="174"/>
  <c r="K26" i="174"/>
  <c r="J26" i="174"/>
  <c r="K24" i="174"/>
  <c r="J24" i="174"/>
  <c r="K23" i="174"/>
  <c r="J23" i="174"/>
  <c r="K22" i="174"/>
  <c r="J22" i="174"/>
  <c r="K31" i="174"/>
  <c r="J31" i="174"/>
  <c r="F33" i="170" s="1"/>
  <c r="K30" i="174"/>
  <c r="J30" i="174"/>
  <c r="K29" i="174"/>
  <c r="K28" i="174"/>
  <c r="J28" i="174"/>
  <c r="K39" i="174"/>
  <c r="J39" i="174"/>
  <c r="K38" i="174"/>
  <c r="J38" i="174"/>
  <c r="K37" i="174"/>
  <c r="J37" i="174"/>
  <c r="K36" i="174"/>
  <c r="J36" i="174"/>
  <c r="K35" i="174"/>
  <c r="J35" i="174"/>
  <c r="F34" i="170" s="1"/>
  <c r="K34" i="174"/>
  <c r="J34" i="174"/>
  <c r="K33" i="174"/>
  <c r="J33" i="174"/>
  <c r="K32" i="174"/>
  <c r="J32" i="174"/>
  <c r="K12" i="174"/>
  <c r="J12" i="174"/>
  <c r="K17" i="174"/>
  <c r="J17" i="174"/>
  <c r="K11" i="174"/>
  <c r="J11" i="174"/>
  <c r="K10" i="174"/>
  <c r="J10" i="174"/>
  <c r="K9" i="174"/>
  <c r="J9" i="174"/>
  <c r="K16" i="174"/>
  <c r="J16" i="174"/>
  <c r="K8" i="174"/>
  <c r="J8" i="174"/>
  <c r="K19" i="174"/>
  <c r="J19" i="174"/>
  <c r="K6" i="174"/>
  <c r="J6" i="174"/>
  <c r="K18" i="174"/>
  <c r="J18" i="174"/>
  <c r="K13" i="174"/>
  <c r="J13" i="174"/>
  <c r="K20" i="174"/>
  <c r="J20" i="174"/>
  <c r="K15" i="174"/>
  <c r="J15" i="174"/>
  <c r="K14" i="174"/>
  <c r="J14" i="174"/>
  <c r="K43" i="174"/>
  <c r="H7" i="174"/>
  <c r="H21" i="174" s="1"/>
  <c r="K25" i="189" l="1"/>
  <c r="L25" i="189" s="1"/>
  <c r="L24" i="189"/>
  <c r="K20" i="188"/>
  <c r="J21" i="188"/>
  <c r="K21" i="188" s="1"/>
  <c r="H33" i="170"/>
  <c r="I33" i="170"/>
  <c r="I31" i="170"/>
  <c r="F30" i="170"/>
  <c r="H34" i="170"/>
  <c r="I34" i="170"/>
  <c r="J43" i="174"/>
  <c r="J40" i="174"/>
  <c r="J7" i="174"/>
  <c r="J21" i="174" s="1"/>
  <c r="K40" i="174"/>
  <c r="K7" i="174"/>
  <c r="I44" i="174"/>
  <c r="I30" i="170" l="1"/>
  <c r="F35" i="170"/>
  <c r="I35" i="170" s="1"/>
  <c r="K21" i="174"/>
  <c r="H44" i="174"/>
  <c r="K44" i="174" s="1"/>
  <c r="J44" i="174"/>
  <c r="H104" i="139" l="1"/>
  <c r="N38" i="77" l="1"/>
  <c r="M38" i="77" s="1"/>
  <c r="D10" i="170" l="1"/>
  <c r="E104" i="163"/>
  <c r="E103" i="164"/>
  <c r="F104" i="137"/>
  <c r="F229" i="137" s="1"/>
  <c r="J103" i="164" l="1"/>
  <c r="I103" i="164" s="1"/>
  <c r="E111" i="164"/>
  <c r="J104" i="163"/>
  <c r="H53" i="170" l="1"/>
  <c r="G53" i="170"/>
  <c r="I53" i="170" s="1"/>
  <c r="D26" i="141"/>
  <c r="D27" i="141"/>
  <c r="D28" i="141"/>
  <c r="D29" i="141"/>
  <c r="D30" i="141"/>
  <c r="D31" i="141"/>
  <c r="D32" i="141"/>
  <c r="D109" i="135" l="1"/>
  <c r="G104" i="139" l="1"/>
  <c r="J97" i="131"/>
  <c r="F72" i="131"/>
  <c r="N90" i="131"/>
  <c r="N89" i="131"/>
  <c r="N87" i="131"/>
  <c r="D11" i="170"/>
  <c r="B11" i="170"/>
  <c r="B10" i="170"/>
  <c r="H87" i="131"/>
  <c r="I89" i="131"/>
  <c r="I87" i="131"/>
  <c r="E87" i="131"/>
  <c r="F87" i="131"/>
  <c r="F88" i="131"/>
  <c r="E89" i="131"/>
  <c r="F89" i="131"/>
  <c r="D88" i="131"/>
  <c r="E71" i="131"/>
  <c r="F71" i="131"/>
  <c r="E72" i="131"/>
  <c r="E73" i="131"/>
  <c r="F73" i="131"/>
  <c r="G73" i="131" s="1"/>
  <c r="E74" i="131"/>
  <c r="F74" i="131"/>
  <c r="D74" i="131"/>
  <c r="D73" i="131"/>
  <c r="D72" i="131"/>
  <c r="D75" i="131" s="1"/>
  <c r="A2" i="171"/>
  <c r="A1" i="171"/>
  <c r="Q25" i="131"/>
  <c r="D12" i="170"/>
  <c r="C11" i="177" s="1"/>
  <c r="D11" i="177" s="1"/>
  <c r="E11" i="131"/>
  <c r="H103" i="164"/>
  <c r="K7" i="135"/>
  <c r="B8" i="160"/>
  <c r="B12" i="160" s="1"/>
  <c r="B22" i="160" s="1"/>
  <c r="K9" i="141"/>
  <c r="A2" i="163"/>
  <c r="A2" i="139" s="1"/>
  <c r="A2" i="164" s="1"/>
  <c r="A5" i="163"/>
  <c r="H8" i="163"/>
  <c r="G377" i="160"/>
  <c r="G376" i="160"/>
  <c r="K99" i="141"/>
  <c r="F377" i="160"/>
  <c r="F376" i="160"/>
  <c r="D71" i="131"/>
  <c r="G71" i="131" s="1"/>
  <c r="G383" i="160"/>
  <c r="G379" i="160"/>
  <c r="A5" i="136"/>
  <c r="A3" i="141" s="1"/>
  <c r="A4" i="164"/>
  <c r="A5" i="139"/>
  <c r="N9" i="141"/>
  <c r="N24" i="141"/>
  <c r="N27" i="141"/>
  <c r="N35" i="141"/>
  <c r="N58" i="141"/>
  <c r="N89" i="141"/>
  <c r="N100" i="141"/>
  <c r="A5" i="137"/>
  <c r="I7" i="135"/>
  <c r="F7" i="135"/>
  <c r="D104" i="139"/>
  <c r="J7" i="135"/>
  <c r="F81" i="160"/>
  <c r="H104" i="135"/>
  <c r="G82" i="160"/>
  <c r="A31" i="160"/>
  <c r="I78" i="160"/>
  <c r="H78" i="160"/>
  <c r="I77" i="160"/>
  <c r="H77" i="160"/>
  <c r="I76" i="160"/>
  <c r="H76" i="160"/>
  <c r="G75" i="160"/>
  <c r="F75" i="160"/>
  <c r="I74" i="160"/>
  <c r="I73" i="160"/>
  <c r="I72" i="160"/>
  <c r="H73" i="160"/>
  <c r="H74" i="160"/>
  <c r="H72" i="160"/>
  <c r="G71" i="160"/>
  <c r="F71" i="160"/>
  <c r="D17" i="160"/>
  <c r="D21" i="160" s="1"/>
  <c r="H7" i="164"/>
  <c r="G7" i="164"/>
  <c r="O7" i="164" s="1"/>
  <c r="C10" i="160"/>
  <c r="G72" i="131"/>
  <c r="N12" i="131"/>
  <c r="N11" i="131"/>
  <c r="L12" i="131"/>
  <c r="K12" i="131"/>
  <c r="L11" i="131"/>
  <c r="K11" i="131"/>
  <c r="I12" i="131"/>
  <c r="H12" i="131"/>
  <c r="I11" i="131"/>
  <c r="F12" i="131"/>
  <c r="F11" i="131"/>
  <c r="E12" i="131"/>
  <c r="D12" i="131"/>
  <c r="D11" i="131"/>
  <c r="C44" i="147"/>
  <c r="C38" i="147"/>
  <c r="D38" i="147"/>
  <c r="E38" i="147"/>
  <c r="F38" i="147"/>
  <c r="B38" i="147"/>
  <c r="C32" i="147"/>
  <c r="D32" i="147"/>
  <c r="E32" i="147"/>
  <c r="B32" i="147"/>
  <c r="F29" i="147"/>
  <c r="F30" i="147"/>
  <c r="F31" i="147"/>
  <c r="F28" i="147"/>
  <c r="P62" i="141"/>
  <c r="O59" i="141"/>
  <c r="D8" i="141"/>
  <c r="E8" i="141"/>
  <c r="F8" i="141"/>
  <c r="I8" i="141"/>
  <c r="J8" i="141"/>
  <c r="K8" i="141"/>
  <c r="O8" i="141"/>
  <c r="P8" i="141"/>
  <c r="S8" i="141"/>
  <c r="T8" i="141"/>
  <c r="U8" i="141"/>
  <c r="D9" i="141"/>
  <c r="E9" i="141"/>
  <c r="F9" i="141"/>
  <c r="I9" i="141"/>
  <c r="J9" i="141"/>
  <c r="O9" i="141"/>
  <c r="P9" i="141"/>
  <c r="S9" i="141"/>
  <c r="T9" i="141"/>
  <c r="U9" i="141"/>
  <c r="D10" i="141"/>
  <c r="E10" i="141"/>
  <c r="F10" i="141"/>
  <c r="I10" i="141"/>
  <c r="J10" i="141"/>
  <c r="K10" i="141"/>
  <c r="O10" i="141"/>
  <c r="P10" i="141"/>
  <c r="S10" i="141"/>
  <c r="T10" i="141"/>
  <c r="U10" i="141"/>
  <c r="D11" i="141"/>
  <c r="E11" i="141"/>
  <c r="F11" i="141"/>
  <c r="I11" i="141"/>
  <c r="J11" i="141"/>
  <c r="K11" i="141"/>
  <c r="O11" i="141"/>
  <c r="P11" i="141"/>
  <c r="S11" i="141"/>
  <c r="T11" i="141"/>
  <c r="U11" i="141"/>
  <c r="D12" i="141"/>
  <c r="E12" i="141"/>
  <c r="F12" i="141"/>
  <c r="I12" i="141"/>
  <c r="J12" i="141"/>
  <c r="K12" i="141"/>
  <c r="O12" i="141"/>
  <c r="P12" i="141"/>
  <c r="S12" i="141"/>
  <c r="T12" i="141"/>
  <c r="U12" i="141"/>
  <c r="D13" i="141"/>
  <c r="E13" i="141"/>
  <c r="F13" i="141"/>
  <c r="I13" i="141"/>
  <c r="J13" i="141"/>
  <c r="K13" i="141"/>
  <c r="O13" i="141"/>
  <c r="P13" i="141"/>
  <c r="S13" i="141"/>
  <c r="T13" i="141"/>
  <c r="U13" i="141"/>
  <c r="D14" i="141"/>
  <c r="E14" i="141"/>
  <c r="F14" i="141"/>
  <c r="I14" i="141"/>
  <c r="J14" i="141"/>
  <c r="K14" i="141"/>
  <c r="O14" i="141"/>
  <c r="P14" i="141"/>
  <c r="S14" i="141"/>
  <c r="T14" i="141"/>
  <c r="U14" i="141"/>
  <c r="D15" i="141"/>
  <c r="E15" i="141"/>
  <c r="F15" i="141"/>
  <c r="I15" i="141"/>
  <c r="J15" i="141"/>
  <c r="K15" i="141"/>
  <c r="O15" i="141"/>
  <c r="P15" i="141"/>
  <c r="S15" i="141"/>
  <c r="T15" i="141"/>
  <c r="U15" i="141"/>
  <c r="D16" i="141"/>
  <c r="E16" i="141"/>
  <c r="F16" i="141"/>
  <c r="I16" i="141"/>
  <c r="J16" i="141"/>
  <c r="K16" i="141"/>
  <c r="O16" i="141"/>
  <c r="P16" i="141"/>
  <c r="S16" i="141"/>
  <c r="T16" i="141"/>
  <c r="U16" i="141"/>
  <c r="D17" i="141"/>
  <c r="E17" i="141"/>
  <c r="F17" i="141"/>
  <c r="I17" i="141"/>
  <c r="J17" i="141"/>
  <c r="K17" i="141"/>
  <c r="O17" i="141"/>
  <c r="P17" i="141"/>
  <c r="S17" i="141"/>
  <c r="T17" i="141"/>
  <c r="U17" i="141"/>
  <c r="D18" i="141"/>
  <c r="E18" i="141"/>
  <c r="F18" i="141"/>
  <c r="I18" i="141"/>
  <c r="J18" i="141"/>
  <c r="K18" i="141"/>
  <c r="N18" i="141"/>
  <c r="O18" i="141"/>
  <c r="P18" i="141"/>
  <c r="S18" i="141"/>
  <c r="T18" i="141"/>
  <c r="U18" i="141"/>
  <c r="D19" i="141"/>
  <c r="E19" i="141"/>
  <c r="F19" i="141"/>
  <c r="I19" i="141"/>
  <c r="J19" i="141"/>
  <c r="K19" i="141"/>
  <c r="O19" i="141"/>
  <c r="P19" i="141"/>
  <c r="S19" i="141"/>
  <c r="T19" i="141"/>
  <c r="U19" i="141"/>
  <c r="D20" i="141"/>
  <c r="E20" i="141"/>
  <c r="F20" i="141"/>
  <c r="I20" i="141"/>
  <c r="J20" i="141"/>
  <c r="K20" i="141"/>
  <c r="O20" i="141"/>
  <c r="P20" i="141"/>
  <c r="S20" i="141"/>
  <c r="T20" i="141"/>
  <c r="U20" i="141"/>
  <c r="D21" i="141"/>
  <c r="E21" i="141"/>
  <c r="F21" i="141"/>
  <c r="I21" i="141"/>
  <c r="J21" i="141"/>
  <c r="K21" i="141"/>
  <c r="O21" i="141"/>
  <c r="P21" i="141"/>
  <c r="S21" i="141"/>
  <c r="T21" i="141"/>
  <c r="U21" i="141"/>
  <c r="D22" i="141"/>
  <c r="E22" i="141"/>
  <c r="F22" i="141"/>
  <c r="I22" i="141"/>
  <c r="J22" i="141"/>
  <c r="K22" i="141"/>
  <c r="O22" i="141"/>
  <c r="P22" i="141"/>
  <c r="S22" i="141"/>
  <c r="T22" i="141"/>
  <c r="U22" i="141"/>
  <c r="D23" i="141"/>
  <c r="E23" i="141"/>
  <c r="F23" i="141"/>
  <c r="I23" i="141"/>
  <c r="J23" i="141"/>
  <c r="K23" i="141"/>
  <c r="O23" i="141"/>
  <c r="P23" i="141"/>
  <c r="S23" i="141"/>
  <c r="T23" i="141"/>
  <c r="U23" i="141"/>
  <c r="D24" i="141"/>
  <c r="E24" i="141"/>
  <c r="F24" i="141"/>
  <c r="I24" i="141"/>
  <c r="J24" i="141"/>
  <c r="K24" i="141"/>
  <c r="O24" i="141"/>
  <c r="P24" i="141"/>
  <c r="S24" i="141"/>
  <c r="T24" i="141"/>
  <c r="U24" i="141"/>
  <c r="D25" i="141"/>
  <c r="E25" i="141"/>
  <c r="F25" i="141"/>
  <c r="I25" i="141"/>
  <c r="J25" i="141"/>
  <c r="K25" i="141"/>
  <c r="O25" i="141"/>
  <c r="P25" i="141"/>
  <c r="S25" i="141"/>
  <c r="T25" i="141"/>
  <c r="U25" i="141"/>
  <c r="E26" i="141"/>
  <c r="F26" i="141"/>
  <c r="I26" i="141"/>
  <c r="J26" i="141"/>
  <c r="K26" i="141"/>
  <c r="O26" i="141"/>
  <c r="P26" i="141"/>
  <c r="S26" i="141"/>
  <c r="T26" i="141"/>
  <c r="U26" i="141"/>
  <c r="E27" i="141"/>
  <c r="F27" i="141"/>
  <c r="I27" i="141"/>
  <c r="J27" i="141"/>
  <c r="K27" i="141"/>
  <c r="O27" i="141"/>
  <c r="P27" i="141"/>
  <c r="S27" i="141"/>
  <c r="T27" i="141"/>
  <c r="U27" i="141"/>
  <c r="E28" i="141"/>
  <c r="F28" i="141"/>
  <c r="I28" i="141"/>
  <c r="J28" i="141"/>
  <c r="K28" i="141"/>
  <c r="O28" i="141"/>
  <c r="P28" i="141"/>
  <c r="S28" i="141"/>
  <c r="T28" i="141"/>
  <c r="U28" i="141"/>
  <c r="E29" i="141"/>
  <c r="F29" i="141"/>
  <c r="I29" i="141"/>
  <c r="J29" i="141"/>
  <c r="K29" i="141"/>
  <c r="O29" i="141"/>
  <c r="P29" i="141"/>
  <c r="S29" i="141"/>
  <c r="T29" i="141"/>
  <c r="U29" i="141"/>
  <c r="E30" i="141"/>
  <c r="F30" i="141"/>
  <c r="I30" i="141"/>
  <c r="J30" i="141"/>
  <c r="K30" i="141"/>
  <c r="O30" i="141"/>
  <c r="P30" i="141"/>
  <c r="S30" i="141"/>
  <c r="T30" i="141"/>
  <c r="U30" i="141"/>
  <c r="E31" i="141"/>
  <c r="F31" i="141"/>
  <c r="I31" i="141"/>
  <c r="J31" i="141"/>
  <c r="K31" i="141"/>
  <c r="O31" i="141"/>
  <c r="P31" i="141"/>
  <c r="S31" i="141"/>
  <c r="T31" i="141"/>
  <c r="U31" i="141"/>
  <c r="E32" i="141"/>
  <c r="F32" i="141"/>
  <c r="I32" i="141"/>
  <c r="J32" i="141"/>
  <c r="K32" i="141"/>
  <c r="O32" i="141"/>
  <c r="P32" i="141"/>
  <c r="S32" i="141"/>
  <c r="T32" i="141"/>
  <c r="U32" i="141"/>
  <c r="D33" i="141"/>
  <c r="E33" i="141"/>
  <c r="F33" i="141"/>
  <c r="I33" i="141"/>
  <c r="J33" i="141"/>
  <c r="K33" i="141"/>
  <c r="O33" i="141"/>
  <c r="P33" i="141"/>
  <c r="S33" i="141"/>
  <c r="T33" i="141"/>
  <c r="U33" i="141"/>
  <c r="D34" i="141"/>
  <c r="E34" i="141"/>
  <c r="F34" i="141"/>
  <c r="I34" i="141"/>
  <c r="J34" i="141"/>
  <c r="K34" i="141"/>
  <c r="O34" i="141"/>
  <c r="P34" i="141"/>
  <c r="S34" i="141"/>
  <c r="T34" i="141"/>
  <c r="U34" i="141"/>
  <c r="D35" i="141"/>
  <c r="E35" i="141"/>
  <c r="F35" i="141"/>
  <c r="I35" i="141"/>
  <c r="J35" i="141"/>
  <c r="K35" i="141"/>
  <c r="O35" i="141"/>
  <c r="P35" i="141"/>
  <c r="S35" i="141"/>
  <c r="T35" i="141"/>
  <c r="U35" i="141"/>
  <c r="D36" i="141"/>
  <c r="E36" i="141"/>
  <c r="F36" i="141"/>
  <c r="I36" i="141"/>
  <c r="J36" i="141"/>
  <c r="K36" i="141"/>
  <c r="O36" i="141"/>
  <c r="P36" i="141"/>
  <c r="S36" i="141"/>
  <c r="T36" i="141"/>
  <c r="U36" i="141"/>
  <c r="D37" i="141"/>
  <c r="E37" i="141"/>
  <c r="F37" i="141"/>
  <c r="I37" i="141"/>
  <c r="J37" i="141"/>
  <c r="K37" i="141"/>
  <c r="O37" i="141"/>
  <c r="P37" i="141"/>
  <c r="S37" i="141"/>
  <c r="T37" i="141"/>
  <c r="U37" i="141"/>
  <c r="D38" i="141"/>
  <c r="E38" i="141"/>
  <c r="F38" i="141"/>
  <c r="I38" i="141"/>
  <c r="J38" i="141"/>
  <c r="K38" i="141"/>
  <c r="O38" i="141"/>
  <c r="P38" i="141"/>
  <c r="S38" i="141"/>
  <c r="T38" i="141"/>
  <c r="U38" i="141"/>
  <c r="D39" i="141"/>
  <c r="E39" i="141"/>
  <c r="F39" i="141"/>
  <c r="I39" i="141"/>
  <c r="J39" i="141"/>
  <c r="K39" i="141"/>
  <c r="O39" i="141"/>
  <c r="P39" i="141"/>
  <c r="S39" i="141"/>
  <c r="T39" i="141"/>
  <c r="U39" i="141"/>
  <c r="D40" i="141"/>
  <c r="E40" i="141"/>
  <c r="F40" i="141"/>
  <c r="I40" i="141"/>
  <c r="J40" i="141"/>
  <c r="K40" i="141"/>
  <c r="O40" i="141"/>
  <c r="P40" i="141"/>
  <c r="S40" i="141"/>
  <c r="T40" i="141"/>
  <c r="U40" i="141"/>
  <c r="D41" i="141"/>
  <c r="E41" i="141"/>
  <c r="F41" i="141"/>
  <c r="I41" i="141"/>
  <c r="J41" i="141"/>
  <c r="K41" i="141"/>
  <c r="O41" i="141"/>
  <c r="P41" i="141"/>
  <c r="S41" i="141"/>
  <c r="T41" i="141"/>
  <c r="U41" i="141"/>
  <c r="D42" i="141"/>
  <c r="E42" i="141"/>
  <c r="F42" i="141"/>
  <c r="I42" i="141"/>
  <c r="J42" i="141"/>
  <c r="K42" i="141"/>
  <c r="O42" i="141"/>
  <c r="P42" i="141"/>
  <c r="S42" i="141"/>
  <c r="T42" i="141"/>
  <c r="U42" i="141"/>
  <c r="D43" i="141"/>
  <c r="E43" i="141"/>
  <c r="F43" i="141"/>
  <c r="I43" i="141"/>
  <c r="J43" i="141"/>
  <c r="K43" i="141"/>
  <c r="O43" i="141"/>
  <c r="P43" i="141"/>
  <c r="S43" i="141"/>
  <c r="T43" i="141"/>
  <c r="U43" i="141"/>
  <c r="D44" i="141"/>
  <c r="E44" i="141"/>
  <c r="F44" i="141"/>
  <c r="I44" i="141"/>
  <c r="J44" i="141"/>
  <c r="K44" i="141"/>
  <c r="O44" i="141"/>
  <c r="P44" i="141"/>
  <c r="S44" i="141"/>
  <c r="T44" i="141"/>
  <c r="U44" i="141"/>
  <c r="D45" i="141"/>
  <c r="E45" i="141"/>
  <c r="F45" i="141"/>
  <c r="I45" i="141"/>
  <c r="J45" i="141"/>
  <c r="K45" i="141"/>
  <c r="O45" i="141"/>
  <c r="P45" i="141"/>
  <c r="S45" i="141"/>
  <c r="T45" i="141"/>
  <c r="U45" i="141"/>
  <c r="D46" i="141"/>
  <c r="E46" i="141"/>
  <c r="F46" i="141"/>
  <c r="I46" i="141"/>
  <c r="J46" i="141"/>
  <c r="K46" i="141"/>
  <c r="O46" i="141"/>
  <c r="P46" i="141"/>
  <c r="S46" i="141"/>
  <c r="T46" i="141"/>
  <c r="U46" i="141"/>
  <c r="D47" i="141"/>
  <c r="E47" i="141"/>
  <c r="F47" i="141"/>
  <c r="I47" i="141"/>
  <c r="J47" i="141"/>
  <c r="K47" i="141"/>
  <c r="O47" i="141"/>
  <c r="P47" i="141"/>
  <c r="S47" i="141"/>
  <c r="T47" i="141"/>
  <c r="U47" i="141"/>
  <c r="D48" i="141"/>
  <c r="E48" i="141"/>
  <c r="F48" i="141"/>
  <c r="I48" i="141"/>
  <c r="J48" i="141"/>
  <c r="K48" i="141"/>
  <c r="O48" i="141"/>
  <c r="P48" i="141"/>
  <c r="S48" i="141"/>
  <c r="T48" i="141"/>
  <c r="U48" i="141"/>
  <c r="D49" i="141"/>
  <c r="E49" i="141"/>
  <c r="F49" i="141"/>
  <c r="I49" i="141"/>
  <c r="J49" i="141"/>
  <c r="K49" i="141"/>
  <c r="O49" i="141"/>
  <c r="P49" i="141"/>
  <c r="S49" i="141"/>
  <c r="T49" i="141"/>
  <c r="U49" i="141"/>
  <c r="D50" i="141"/>
  <c r="E50" i="141"/>
  <c r="F50" i="141"/>
  <c r="I50" i="141"/>
  <c r="J50" i="141"/>
  <c r="K50" i="141"/>
  <c r="O50" i="141"/>
  <c r="P50" i="141"/>
  <c r="S50" i="141"/>
  <c r="T50" i="141"/>
  <c r="U50" i="141"/>
  <c r="D51" i="141"/>
  <c r="E51" i="141"/>
  <c r="F51" i="141"/>
  <c r="I51" i="141"/>
  <c r="J51" i="141"/>
  <c r="K51" i="141"/>
  <c r="O51" i="141"/>
  <c r="P51" i="141"/>
  <c r="S51" i="141"/>
  <c r="T51" i="141"/>
  <c r="U51" i="141"/>
  <c r="D52" i="141"/>
  <c r="E52" i="141"/>
  <c r="F52" i="141"/>
  <c r="I52" i="141"/>
  <c r="J52" i="141"/>
  <c r="K52" i="141"/>
  <c r="O52" i="141"/>
  <c r="P52" i="141"/>
  <c r="S52" i="141"/>
  <c r="T52" i="141"/>
  <c r="U52" i="141"/>
  <c r="D53" i="141"/>
  <c r="E53" i="141"/>
  <c r="F53" i="141"/>
  <c r="I53" i="141"/>
  <c r="J53" i="141"/>
  <c r="K53" i="141"/>
  <c r="O53" i="141"/>
  <c r="P53" i="141"/>
  <c r="S53" i="141"/>
  <c r="T53" i="141"/>
  <c r="U53" i="141"/>
  <c r="D54" i="141"/>
  <c r="E54" i="141"/>
  <c r="F54" i="141"/>
  <c r="I54" i="141"/>
  <c r="J54" i="141"/>
  <c r="K54" i="141"/>
  <c r="O54" i="141"/>
  <c r="P54" i="141"/>
  <c r="S54" i="141"/>
  <c r="T54" i="141"/>
  <c r="U54" i="141"/>
  <c r="D55" i="141"/>
  <c r="E55" i="141"/>
  <c r="F55" i="141"/>
  <c r="I55" i="141"/>
  <c r="J55" i="141"/>
  <c r="K55" i="141"/>
  <c r="N55" i="141"/>
  <c r="O55" i="141"/>
  <c r="P55" i="141"/>
  <c r="S55" i="141"/>
  <c r="T55" i="141"/>
  <c r="U55" i="141"/>
  <c r="D56" i="141"/>
  <c r="E56" i="141"/>
  <c r="F56" i="141"/>
  <c r="I56" i="141"/>
  <c r="J56" i="141"/>
  <c r="K56" i="141"/>
  <c r="O56" i="141"/>
  <c r="P56" i="141"/>
  <c r="S56" i="141"/>
  <c r="T56" i="141"/>
  <c r="U56" i="141"/>
  <c r="D57" i="141"/>
  <c r="E57" i="141"/>
  <c r="F57" i="141"/>
  <c r="I57" i="141"/>
  <c r="J57" i="141"/>
  <c r="K57" i="141"/>
  <c r="O57" i="141"/>
  <c r="P57" i="141"/>
  <c r="S57" i="141"/>
  <c r="T57" i="141"/>
  <c r="U57" i="141"/>
  <c r="D58" i="141"/>
  <c r="E58" i="141"/>
  <c r="F58" i="141"/>
  <c r="I58" i="141"/>
  <c r="J58" i="141"/>
  <c r="K58" i="141"/>
  <c r="O58" i="141"/>
  <c r="P58" i="141"/>
  <c r="S58" i="141"/>
  <c r="T58" i="141"/>
  <c r="U58" i="141"/>
  <c r="D59" i="141"/>
  <c r="E59" i="141"/>
  <c r="F59" i="141"/>
  <c r="I59" i="141"/>
  <c r="J59" i="141"/>
  <c r="K59" i="141"/>
  <c r="P59" i="141"/>
  <c r="S59" i="141"/>
  <c r="T59" i="141"/>
  <c r="U59" i="141"/>
  <c r="D60" i="141"/>
  <c r="E60" i="141"/>
  <c r="F60" i="141"/>
  <c r="I60" i="141"/>
  <c r="J60" i="141"/>
  <c r="K60" i="141"/>
  <c r="O60" i="141"/>
  <c r="P60" i="141"/>
  <c r="S60" i="141"/>
  <c r="T60" i="141"/>
  <c r="U60" i="141"/>
  <c r="D61" i="141"/>
  <c r="E61" i="141"/>
  <c r="F61" i="141"/>
  <c r="I61" i="141"/>
  <c r="J61" i="141"/>
  <c r="K61" i="141"/>
  <c r="O61" i="141"/>
  <c r="P61" i="141"/>
  <c r="S61" i="141"/>
  <c r="T61" i="141"/>
  <c r="U61" i="141"/>
  <c r="D62" i="141"/>
  <c r="E62" i="141"/>
  <c r="F62" i="141"/>
  <c r="I62" i="141"/>
  <c r="J62" i="141"/>
  <c r="K62" i="141"/>
  <c r="O62" i="141"/>
  <c r="S62" i="141"/>
  <c r="T62" i="141"/>
  <c r="U62" i="141"/>
  <c r="D63" i="141"/>
  <c r="E63" i="141"/>
  <c r="F63" i="141"/>
  <c r="I63" i="141"/>
  <c r="J63" i="141"/>
  <c r="K63" i="141"/>
  <c r="O63" i="141"/>
  <c r="P63" i="141"/>
  <c r="S63" i="141"/>
  <c r="T63" i="141"/>
  <c r="U63" i="141"/>
  <c r="D64" i="141"/>
  <c r="E64" i="141"/>
  <c r="F64" i="141"/>
  <c r="I64" i="141"/>
  <c r="J64" i="141"/>
  <c r="K64" i="141"/>
  <c r="O64" i="141"/>
  <c r="P64" i="141"/>
  <c r="S64" i="141"/>
  <c r="T64" i="141"/>
  <c r="U64" i="141"/>
  <c r="D65" i="141"/>
  <c r="E65" i="141"/>
  <c r="F65" i="141"/>
  <c r="I65" i="141"/>
  <c r="J65" i="141"/>
  <c r="K65" i="141"/>
  <c r="O65" i="141"/>
  <c r="P65" i="141"/>
  <c r="S65" i="141"/>
  <c r="T65" i="141"/>
  <c r="U65" i="141"/>
  <c r="D66" i="141"/>
  <c r="E66" i="141"/>
  <c r="F66" i="141"/>
  <c r="I66" i="141"/>
  <c r="J66" i="141"/>
  <c r="K66" i="141"/>
  <c r="N66" i="141"/>
  <c r="O66" i="141"/>
  <c r="P66" i="141"/>
  <c r="S66" i="141"/>
  <c r="T66" i="141"/>
  <c r="U66" i="141"/>
  <c r="D67" i="141"/>
  <c r="E67" i="141"/>
  <c r="F67" i="141"/>
  <c r="I67" i="141"/>
  <c r="J67" i="141"/>
  <c r="K67" i="141"/>
  <c r="O67" i="141"/>
  <c r="P67" i="141"/>
  <c r="S67" i="141"/>
  <c r="T67" i="141"/>
  <c r="U67" i="141"/>
  <c r="D68" i="141"/>
  <c r="E68" i="141"/>
  <c r="F68" i="141"/>
  <c r="I68" i="141"/>
  <c r="J68" i="141"/>
  <c r="K68" i="141"/>
  <c r="O68" i="141"/>
  <c r="P68" i="141"/>
  <c r="S68" i="141"/>
  <c r="T68" i="141"/>
  <c r="U68" i="141"/>
  <c r="D69" i="141"/>
  <c r="E69" i="141"/>
  <c r="F69" i="141"/>
  <c r="I69" i="141"/>
  <c r="J69" i="141"/>
  <c r="K69" i="141"/>
  <c r="O69" i="141"/>
  <c r="P69" i="141"/>
  <c r="S69" i="141"/>
  <c r="T69" i="141"/>
  <c r="U69" i="141"/>
  <c r="D70" i="141"/>
  <c r="E70" i="141"/>
  <c r="F70" i="141"/>
  <c r="I70" i="141"/>
  <c r="J70" i="141"/>
  <c r="K70" i="141"/>
  <c r="O70" i="141"/>
  <c r="P70" i="141"/>
  <c r="S70" i="141"/>
  <c r="T70" i="141"/>
  <c r="U70" i="141"/>
  <c r="D71" i="141"/>
  <c r="E71" i="141"/>
  <c r="F71" i="141"/>
  <c r="I71" i="141"/>
  <c r="J71" i="141"/>
  <c r="K71" i="141"/>
  <c r="O71" i="141"/>
  <c r="P71" i="141"/>
  <c r="S71" i="141"/>
  <c r="T71" i="141"/>
  <c r="U71" i="141"/>
  <c r="D72" i="141"/>
  <c r="E72" i="141"/>
  <c r="F72" i="141"/>
  <c r="I72" i="141"/>
  <c r="J72" i="141"/>
  <c r="K72" i="141"/>
  <c r="O72" i="141"/>
  <c r="P72" i="141"/>
  <c r="S72" i="141"/>
  <c r="T72" i="141"/>
  <c r="U72" i="141"/>
  <c r="D73" i="141"/>
  <c r="E73" i="141"/>
  <c r="F73" i="141"/>
  <c r="I73" i="141"/>
  <c r="J73" i="141"/>
  <c r="K73" i="141"/>
  <c r="O73" i="141"/>
  <c r="P73" i="141"/>
  <c r="S73" i="141"/>
  <c r="T73" i="141"/>
  <c r="U73" i="141"/>
  <c r="D74" i="141"/>
  <c r="E74" i="141"/>
  <c r="F74" i="141"/>
  <c r="I74" i="141"/>
  <c r="J74" i="141"/>
  <c r="K74" i="141"/>
  <c r="O74" i="141"/>
  <c r="P74" i="141"/>
  <c r="S74" i="141"/>
  <c r="T74" i="141"/>
  <c r="U74" i="141"/>
  <c r="D75" i="141"/>
  <c r="E75" i="141"/>
  <c r="F75" i="141"/>
  <c r="I75" i="141"/>
  <c r="J75" i="141"/>
  <c r="K75" i="141"/>
  <c r="O75" i="141"/>
  <c r="P75" i="141"/>
  <c r="S75" i="141"/>
  <c r="T75" i="141"/>
  <c r="U75" i="141"/>
  <c r="D76" i="141"/>
  <c r="E76" i="141"/>
  <c r="F76" i="141"/>
  <c r="I76" i="141"/>
  <c r="J76" i="141"/>
  <c r="K76" i="141"/>
  <c r="O76" i="141"/>
  <c r="P76" i="141"/>
  <c r="S76" i="141"/>
  <c r="T76" i="141"/>
  <c r="U76" i="141"/>
  <c r="D77" i="141"/>
  <c r="E77" i="141"/>
  <c r="F77" i="141"/>
  <c r="I77" i="141"/>
  <c r="J77" i="141"/>
  <c r="K77" i="141"/>
  <c r="O77" i="141"/>
  <c r="P77" i="141"/>
  <c r="S77" i="141"/>
  <c r="T77" i="141"/>
  <c r="U77" i="141"/>
  <c r="D78" i="141"/>
  <c r="E78" i="141"/>
  <c r="F78" i="141"/>
  <c r="I78" i="141"/>
  <c r="J78" i="141"/>
  <c r="K78" i="141"/>
  <c r="O78" i="141"/>
  <c r="P78" i="141"/>
  <c r="S78" i="141"/>
  <c r="T78" i="141"/>
  <c r="U78" i="141"/>
  <c r="D79" i="141"/>
  <c r="E79" i="141"/>
  <c r="F79" i="141"/>
  <c r="I79" i="141"/>
  <c r="J79" i="141"/>
  <c r="K79" i="141"/>
  <c r="O79" i="141"/>
  <c r="P79" i="141"/>
  <c r="S79" i="141"/>
  <c r="T79" i="141"/>
  <c r="U79" i="141"/>
  <c r="D80" i="141"/>
  <c r="E80" i="141"/>
  <c r="F80" i="141"/>
  <c r="I80" i="141"/>
  <c r="J80" i="141"/>
  <c r="K80" i="141"/>
  <c r="O80" i="141"/>
  <c r="P80" i="141"/>
  <c r="S80" i="141"/>
  <c r="T80" i="141"/>
  <c r="U80" i="141"/>
  <c r="D81" i="141"/>
  <c r="E81" i="141"/>
  <c r="F81" i="141"/>
  <c r="I81" i="141"/>
  <c r="J81" i="141"/>
  <c r="K81" i="141"/>
  <c r="O81" i="141"/>
  <c r="P81" i="141"/>
  <c r="S81" i="141"/>
  <c r="T81" i="141"/>
  <c r="U81" i="141"/>
  <c r="D82" i="141"/>
  <c r="E82" i="141"/>
  <c r="F82" i="141"/>
  <c r="I82" i="141"/>
  <c r="J82" i="141"/>
  <c r="K82" i="141"/>
  <c r="O82" i="141"/>
  <c r="P82" i="141"/>
  <c r="S82" i="141"/>
  <c r="T82" i="141"/>
  <c r="U82" i="141"/>
  <c r="D83" i="141"/>
  <c r="E83" i="141"/>
  <c r="F83" i="141"/>
  <c r="I83" i="141"/>
  <c r="J83" i="141"/>
  <c r="K83" i="141"/>
  <c r="O83" i="141"/>
  <c r="P83" i="141"/>
  <c r="S83" i="141"/>
  <c r="T83" i="141"/>
  <c r="U83" i="141"/>
  <c r="D84" i="141"/>
  <c r="E84" i="141"/>
  <c r="F84" i="141"/>
  <c r="I84" i="141"/>
  <c r="J84" i="141"/>
  <c r="K84" i="141"/>
  <c r="O84" i="141"/>
  <c r="P84" i="141"/>
  <c r="S84" i="141"/>
  <c r="T84" i="141"/>
  <c r="U84" i="141"/>
  <c r="D85" i="141"/>
  <c r="E85" i="141"/>
  <c r="F85" i="141"/>
  <c r="I85" i="141"/>
  <c r="J85" i="141"/>
  <c r="K85" i="141"/>
  <c r="O85" i="141"/>
  <c r="P85" i="141"/>
  <c r="S85" i="141"/>
  <c r="T85" i="141"/>
  <c r="U85" i="141"/>
  <c r="D86" i="141"/>
  <c r="E86" i="141"/>
  <c r="F86" i="141"/>
  <c r="I86" i="141"/>
  <c r="J86" i="141"/>
  <c r="K86" i="141"/>
  <c r="N86" i="141"/>
  <c r="O86" i="141"/>
  <c r="P86" i="141"/>
  <c r="S86" i="141"/>
  <c r="T86" i="141"/>
  <c r="U86" i="141"/>
  <c r="D87" i="141"/>
  <c r="E87" i="141"/>
  <c r="F87" i="141"/>
  <c r="I87" i="141"/>
  <c r="J87" i="141"/>
  <c r="K87" i="141"/>
  <c r="O87" i="141"/>
  <c r="P87" i="141"/>
  <c r="S87" i="141"/>
  <c r="T87" i="141"/>
  <c r="U87" i="141"/>
  <c r="D88" i="141"/>
  <c r="E88" i="141"/>
  <c r="F88" i="141"/>
  <c r="I88" i="141"/>
  <c r="J88" i="141"/>
  <c r="K88" i="141"/>
  <c r="O88" i="141"/>
  <c r="P88" i="141"/>
  <c r="S88" i="141"/>
  <c r="T88" i="141"/>
  <c r="U88" i="141"/>
  <c r="D89" i="141"/>
  <c r="E89" i="141"/>
  <c r="F89" i="141"/>
  <c r="I89" i="141"/>
  <c r="J89" i="141"/>
  <c r="K89" i="141"/>
  <c r="O89" i="141"/>
  <c r="P89" i="141"/>
  <c r="S89" i="141"/>
  <c r="T89" i="141"/>
  <c r="U89" i="141"/>
  <c r="D90" i="141"/>
  <c r="E90" i="141"/>
  <c r="F90" i="141"/>
  <c r="I90" i="141"/>
  <c r="J90" i="141"/>
  <c r="K90" i="141"/>
  <c r="N90" i="141"/>
  <c r="O90" i="141"/>
  <c r="P90" i="141"/>
  <c r="S90" i="141"/>
  <c r="T90" i="141"/>
  <c r="U90" i="141"/>
  <c r="D91" i="141"/>
  <c r="E91" i="141"/>
  <c r="F91" i="141"/>
  <c r="I91" i="141"/>
  <c r="J91" i="141"/>
  <c r="K91" i="141"/>
  <c r="O91" i="141"/>
  <c r="P91" i="141"/>
  <c r="S91" i="141"/>
  <c r="T91" i="141"/>
  <c r="U91" i="141"/>
  <c r="D92" i="141"/>
  <c r="E92" i="141"/>
  <c r="F92" i="141"/>
  <c r="I92" i="141"/>
  <c r="J92" i="141"/>
  <c r="K92" i="141"/>
  <c r="O92" i="141"/>
  <c r="P92" i="141"/>
  <c r="S92" i="141"/>
  <c r="T92" i="141"/>
  <c r="U92" i="141"/>
  <c r="D93" i="141"/>
  <c r="E93" i="141"/>
  <c r="F93" i="141"/>
  <c r="I93" i="141"/>
  <c r="J93" i="141"/>
  <c r="K93" i="141"/>
  <c r="O93" i="141"/>
  <c r="P93" i="141"/>
  <c r="S93" i="141"/>
  <c r="T93" i="141"/>
  <c r="U93" i="141"/>
  <c r="D94" i="141"/>
  <c r="E94" i="141"/>
  <c r="F94" i="141"/>
  <c r="I94" i="141"/>
  <c r="J94" i="141"/>
  <c r="K94" i="141"/>
  <c r="O94" i="141"/>
  <c r="P94" i="141"/>
  <c r="S94" i="141"/>
  <c r="T94" i="141"/>
  <c r="U94" i="141"/>
  <c r="D95" i="141"/>
  <c r="E95" i="141"/>
  <c r="F95" i="141"/>
  <c r="I95" i="141"/>
  <c r="J95" i="141"/>
  <c r="K95" i="141"/>
  <c r="O95" i="141"/>
  <c r="P95" i="141"/>
  <c r="S95" i="141"/>
  <c r="T95" i="141"/>
  <c r="U95" i="141"/>
  <c r="D96" i="141"/>
  <c r="E96" i="141"/>
  <c r="F96" i="141"/>
  <c r="I96" i="141"/>
  <c r="J96" i="141"/>
  <c r="K96" i="141"/>
  <c r="O96" i="141"/>
  <c r="P96" i="141"/>
  <c r="S96" i="141"/>
  <c r="T96" i="141"/>
  <c r="U96" i="141"/>
  <c r="D97" i="141"/>
  <c r="E97" i="141"/>
  <c r="F97" i="141"/>
  <c r="I97" i="141"/>
  <c r="J97" i="141"/>
  <c r="K97" i="141"/>
  <c r="O97" i="141"/>
  <c r="P97" i="141"/>
  <c r="S97" i="141"/>
  <c r="T97" i="141"/>
  <c r="U97" i="141"/>
  <c r="D98" i="141"/>
  <c r="E98" i="141"/>
  <c r="F98" i="141"/>
  <c r="I98" i="141"/>
  <c r="J98" i="141"/>
  <c r="K98" i="141"/>
  <c r="O98" i="141"/>
  <c r="P98" i="141"/>
  <c r="S98" i="141"/>
  <c r="T98" i="141"/>
  <c r="U98" i="141"/>
  <c r="D99" i="141"/>
  <c r="E99" i="141"/>
  <c r="F99" i="141"/>
  <c r="I99" i="141"/>
  <c r="J99" i="141"/>
  <c r="O99" i="141"/>
  <c r="P99" i="141"/>
  <c r="S99" i="141"/>
  <c r="T99" i="141"/>
  <c r="U99" i="141"/>
  <c r="D100" i="141"/>
  <c r="E100" i="141"/>
  <c r="F100" i="141"/>
  <c r="I100" i="141"/>
  <c r="J100" i="141"/>
  <c r="K100" i="141"/>
  <c r="O100" i="141"/>
  <c r="P100" i="141"/>
  <c r="S100" i="141"/>
  <c r="T100" i="141"/>
  <c r="U100" i="141"/>
  <c r="D101" i="141"/>
  <c r="E101" i="141"/>
  <c r="F101" i="141"/>
  <c r="I101" i="141"/>
  <c r="J101" i="141"/>
  <c r="K101" i="141"/>
  <c r="O101" i="141"/>
  <c r="P101" i="141"/>
  <c r="S101" i="141"/>
  <c r="T101" i="141"/>
  <c r="U101" i="141"/>
  <c r="D102" i="141"/>
  <c r="E102" i="141"/>
  <c r="I102" i="141"/>
  <c r="J102" i="141"/>
  <c r="K102" i="141"/>
  <c r="O102" i="141"/>
  <c r="P102" i="141"/>
  <c r="S102" i="141"/>
  <c r="T102" i="141"/>
  <c r="U102" i="141"/>
  <c r="U7" i="141"/>
  <c r="T7" i="141"/>
  <c r="S7" i="141"/>
  <c r="P7" i="141"/>
  <c r="O7" i="141"/>
  <c r="K7" i="141"/>
  <c r="J7" i="141"/>
  <c r="I7" i="141"/>
  <c r="F7" i="141"/>
  <c r="E7" i="141"/>
  <c r="D7" i="141"/>
  <c r="F3" i="147"/>
  <c r="F4" i="147"/>
  <c r="F5" i="147"/>
  <c r="F6" i="147"/>
  <c r="F7" i="147"/>
  <c r="F8" i="147"/>
  <c r="F9" i="147"/>
  <c r="F10" i="147"/>
  <c r="F11" i="147"/>
  <c r="F12" i="147"/>
  <c r="C15" i="147"/>
  <c r="C16" i="147" s="1"/>
  <c r="D15" i="147"/>
  <c r="D16" i="147" s="1"/>
  <c r="D33" i="147" s="1"/>
  <c r="D39" i="147" s="1"/>
  <c r="D41" i="147" s="1"/>
  <c r="D43" i="147" s="1"/>
  <c r="E15" i="147"/>
  <c r="E16" i="147" s="1"/>
  <c r="E33" i="147" s="1"/>
  <c r="E104" i="137"/>
  <c r="A3" i="160"/>
  <c r="N54" i="141"/>
  <c r="F8" i="139"/>
  <c r="N50" i="141"/>
  <c r="O100" i="131"/>
  <c r="N100" i="131"/>
  <c r="I100" i="131"/>
  <c r="H100" i="131"/>
  <c r="F100" i="131"/>
  <c r="E100" i="131"/>
  <c r="D100" i="131"/>
  <c r="O99" i="131"/>
  <c r="N99" i="131"/>
  <c r="I99" i="131"/>
  <c r="H99" i="131"/>
  <c r="F99" i="131"/>
  <c r="E99" i="131"/>
  <c r="D99" i="131"/>
  <c r="J98" i="131"/>
  <c r="G98" i="131"/>
  <c r="G97" i="131"/>
  <c r="J96" i="131"/>
  <c r="G96" i="131"/>
  <c r="J95" i="131"/>
  <c r="G95" i="131"/>
  <c r="C24" i="147"/>
  <c r="B24" i="147"/>
  <c r="D25" i="147"/>
  <c r="B25" i="147"/>
  <c r="E25" i="147"/>
  <c r="J10" i="131"/>
  <c r="A4" i="77"/>
  <c r="A4" i="171" s="1"/>
  <c r="B15" i="147"/>
  <c r="B16" i="147" s="1"/>
  <c r="B33" i="147" s="1"/>
  <c r="F2" i="147"/>
  <c r="M8" i="131"/>
  <c r="M80" i="131" s="1"/>
  <c r="G10" i="131"/>
  <c r="G9" i="131"/>
  <c r="G81" i="131" s="1"/>
  <c r="G8" i="131"/>
  <c r="G80" i="131" s="1"/>
  <c r="G7" i="131"/>
  <c r="G79" i="131" s="1"/>
  <c r="F14" i="147"/>
  <c r="E104" i="139"/>
  <c r="J8" i="131"/>
  <c r="J80" i="131" s="1"/>
  <c r="M9" i="131"/>
  <c r="M81" i="131" s="1"/>
  <c r="I110" i="131"/>
  <c r="I105" i="131"/>
  <c r="M10" i="131"/>
  <c r="J9" i="131"/>
  <c r="J81" i="131" s="1"/>
  <c r="M7" i="131"/>
  <c r="M79" i="131" s="1"/>
  <c r="J7" i="131"/>
  <c r="J79" i="131" s="1"/>
  <c r="D104" i="137"/>
  <c r="D24" i="147"/>
  <c r="H8" i="137"/>
  <c r="G8" i="137"/>
  <c r="G81" i="160"/>
  <c r="E104" i="135"/>
  <c r="A3" i="186" l="1"/>
  <c r="A4" i="192"/>
  <c r="H10" i="189"/>
  <c r="H14" i="189" s="1"/>
  <c r="H10" i="190"/>
  <c r="H9" i="189"/>
  <c r="H12" i="189" s="1"/>
  <c r="H9" i="190"/>
  <c r="B39" i="147"/>
  <c r="B41" i="147" s="1"/>
  <c r="B43" i="147" s="1"/>
  <c r="G102" i="131"/>
  <c r="G101" i="131"/>
  <c r="E77" i="131"/>
  <c r="E78" i="131"/>
  <c r="J102" i="131"/>
  <c r="J101" i="131"/>
  <c r="G14" i="131"/>
  <c r="G13" i="131"/>
  <c r="G82" i="131"/>
  <c r="F8" i="190" s="1"/>
  <c r="N93" i="131"/>
  <c r="J14" i="131"/>
  <c r="J13" i="131"/>
  <c r="J82" i="131"/>
  <c r="F9" i="190" s="1"/>
  <c r="M14" i="131"/>
  <c r="M13" i="131"/>
  <c r="M82" i="131"/>
  <c r="D77" i="131"/>
  <c r="D78" i="131"/>
  <c r="F78" i="131"/>
  <c r="F77" i="131"/>
  <c r="D76" i="131"/>
  <c r="G74" i="131"/>
  <c r="N82" i="141"/>
  <c r="R82" i="141" s="1"/>
  <c r="D89" i="131"/>
  <c r="G89" i="131" s="1"/>
  <c r="E112" i="139"/>
  <c r="E113" i="139" s="1"/>
  <c r="N34" i="141"/>
  <c r="R34" i="141" s="1"/>
  <c r="F75" i="131"/>
  <c r="I103" i="135"/>
  <c r="N8" i="141"/>
  <c r="R8" i="141" s="1"/>
  <c r="I75" i="160"/>
  <c r="N84" i="131"/>
  <c r="E39" i="147"/>
  <c r="E41" i="147" s="1"/>
  <c r="E43" i="147" s="1"/>
  <c r="N22" i="141"/>
  <c r="R22" i="141" s="1"/>
  <c r="D112" i="139"/>
  <c r="L104" i="139"/>
  <c r="F110" i="139"/>
  <c r="F111" i="139" s="1"/>
  <c r="J8" i="137"/>
  <c r="K8" i="137" s="1"/>
  <c r="D226" i="137"/>
  <c r="M8" i="139"/>
  <c r="L95" i="131"/>
  <c r="J103" i="135"/>
  <c r="F103" i="135"/>
  <c r="F104" i="135" s="1"/>
  <c r="K103" i="135"/>
  <c r="N14" i="141"/>
  <c r="X14" i="141" s="1"/>
  <c r="N20" i="141"/>
  <c r="A4" i="135"/>
  <c r="E10" i="160"/>
  <c r="D10" i="160" s="1"/>
  <c r="W36" i="141"/>
  <c r="I8" i="139"/>
  <c r="K8" i="139"/>
  <c r="N15" i="139"/>
  <c r="N94" i="141"/>
  <c r="X94" i="141" s="1"/>
  <c r="N16" i="141"/>
  <c r="Q16" i="141" s="1"/>
  <c r="N75" i="141"/>
  <c r="X75" i="141" s="1"/>
  <c r="N39" i="141"/>
  <c r="Q39" i="141" s="1"/>
  <c r="N56" i="141"/>
  <c r="N32" i="141"/>
  <c r="R32" i="141" s="1"/>
  <c r="N79" i="141"/>
  <c r="X79" i="141" s="1"/>
  <c r="N67" i="141"/>
  <c r="R67" i="141" s="1"/>
  <c r="N36" i="141"/>
  <c r="R36" i="141" s="1"/>
  <c r="N11" i="141"/>
  <c r="E11" i="160"/>
  <c r="G10" i="160"/>
  <c r="E11" i="170"/>
  <c r="K97" i="131"/>
  <c r="K98" i="131"/>
  <c r="O89" i="131"/>
  <c r="W40" i="141"/>
  <c r="N15" i="141"/>
  <c r="X15" i="141" s="1"/>
  <c r="D16" i="136" s="1"/>
  <c r="N81" i="141"/>
  <c r="X81" i="141" s="1"/>
  <c r="N63" i="141"/>
  <c r="R63" i="141" s="1"/>
  <c r="N62" i="141"/>
  <c r="R62" i="141" s="1"/>
  <c r="N57" i="141"/>
  <c r="R57" i="141" s="1"/>
  <c r="N51" i="141"/>
  <c r="Q51" i="141" s="1"/>
  <c r="H40" i="141"/>
  <c r="I104" i="135"/>
  <c r="C33" i="147"/>
  <c r="C39" i="147" s="1"/>
  <c r="C41" i="147" s="1"/>
  <c r="C43" i="147" s="1"/>
  <c r="C20" i="147"/>
  <c r="C26" i="147" s="1"/>
  <c r="P10" i="131"/>
  <c r="F15" i="147"/>
  <c r="F16" i="147" s="1"/>
  <c r="I71" i="160"/>
  <c r="F32" i="147"/>
  <c r="J99" i="131"/>
  <c r="G12" i="131"/>
  <c r="E83" i="131"/>
  <c r="C9" i="160"/>
  <c r="N13" i="141"/>
  <c r="Q13" i="141" s="1"/>
  <c r="N19" i="141"/>
  <c r="N97" i="141"/>
  <c r="R97" i="141" s="1"/>
  <c r="N31" i="141"/>
  <c r="N61" i="141"/>
  <c r="Q61" i="141" s="1"/>
  <c r="N101" i="141"/>
  <c r="Q101" i="141" s="1"/>
  <c r="N74" i="141"/>
  <c r="X74" i="141" s="1"/>
  <c r="N65" i="141"/>
  <c r="Q65" i="141" s="1"/>
  <c r="N52" i="141"/>
  <c r="Q52" i="141" s="1"/>
  <c r="N59" i="141"/>
  <c r="X59" i="141" s="1"/>
  <c r="N23" i="141"/>
  <c r="R23" i="141" s="1"/>
  <c r="G99" i="131"/>
  <c r="N40" i="77"/>
  <c r="J12" i="131"/>
  <c r="P7" i="131"/>
  <c r="P79" i="131" s="1"/>
  <c r="H75" i="160"/>
  <c r="G381" i="160"/>
  <c r="N75" i="131"/>
  <c r="O75" i="131"/>
  <c r="G11" i="131"/>
  <c r="H71" i="160"/>
  <c r="H381" i="160"/>
  <c r="M11" i="131"/>
  <c r="C19" i="160"/>
  <c r="E19" i="160" s="1"/>
  <c r="M46" i="141"/>
  <c r="W22" i="141"/>
  <c r="M9" i="141"/>
  <c r="M39" i="141"/>
  <c r="W47" i="141"/>
  <c r="F19" i="160"/>
  <c r="F10" i="160"/>
  <c r="F18" i="160"/>
  <c r="K95" i="131"/>
  <c r="E75" i="131"/>
  <c r="J87" i="131"/>
  <c r="D84" i="131"/>
  <c r="B8" i="170"/>
  <c r="P8" i="131"/>
  <c r="P80" i="131" s="1"/>
  <c r="P9" i="131"/>
  <c r="P81" i="131" s="1"/>
  <c r="G100" i="131"/>
  <c r="J11" i="131"/>
  <c r="J100" i="131"/>
  <c r="B12" i="170"/>
  <c r="N76" i="131"/>
  <c r="G75" i="131"/>
  <c r="F76" i="131"/>
  <c r="W14" i="141"/>
  <c r="G103" i="164"/>
  <c r="N99" i="141"/>
  <c r="X99" i="141" s="1"/>
  <c r="W41" i="141"/>
  <c r="A69" i="160"/>
  <c r="A60" i="160" s="1"/>
  <c r="G19" i="160"/>
  <c r="W60" i="141"/>
  <c r="L97" i="131"/>
  <c r="N93" i="141"/>
  <c r="Q93" i="141" s="1"/>
  <c r="N42" i="141"/>
  <c r="Q42" i="141" s="1"/>
  <c r="N10" i="141"/>
  <c r="X10" i="141" s="1"/>
  <c r="D11" i="136" s="1"/>
  <c r="H38" i="141"/>
  <c r="M74" i="141"/>
  <c r="W45" i="141"/>
  <c r="W38" i="141"/>
  <c r="G56" i="141"/>
  <c r="M62" i="141"/>
  <c r="V47" i="141"/>
  <c r="M45" i="141"/>
  <c r="W44" i="141"/>
  <c r="H44" i="141"/>
  <c r="W42" i="141"/>
  <c r="W17" i="141"/>
  <c r="F11" i="170"/>
  <c r="H45" i="141"/>
  <c r="M16" i="141"/>
  <c r="M43" i="141"/>
  <c r="Y59" i="141"/>
  <c r="E60" i="136" s="1"/>
  <c r="V82" i="141"/>
  <c r="N49" i="141"/>
  <c r="R49" i="141" s="1"/>
  <c r="N102" i="141"/>
  <c r="R102" i="141" s="1"/>
  <c r="R56" i="141"/>
  <c r="N98" i="141"/>
  <c r="Q98" i="141" s="1"/>
  <c r="N85" i="141"/>
  <c r="Q85" i="141" s="1"/>
  <c r="N73" i="141"/>
  <c r="Q73" i="141" s="1"/>
  <c r="N78" i="141"/>
  <c r="R78" i="141" s="1"/>
  <c r="N70" i="141"/>
  <c r="R70" i="141" s="1"/>
  <c r="N77" i="141"/>
  <c r="R77" i="141" s="1"/>
  <c r="N69" i="141"/>
  <c r="R69" i="141" s="1"/>
  <c r="N64" i="141"/>
  <c r="Q64" i="141" s="1"/>
  <c r="N53" i="141"/>
  <c r="R53" i="141" s="1"/>
  <c r="N26" i="141"/>
  <c r="X26" i="141" s="1"/>
  <c r="D27" i="136" s="1"/>
  <c r="N30" i="141"/>
  <c r="X30" i="141" s="1"/>
  <c r="D31" i="136" s="1"/>
  <c r="N28" i="141"/>
  <c r="Q28" i="141" s="1"/>
  <c r="N45" i="141"/>
  <c r="X45" i="141" s="1"/>
  <c r="N41" i="141"/>
  <c r="R41" i="141" s="1"/>
  <c r="N33" i="141"/>
  <c r="R33" i="141" s="1"/>
  <c r="N29" i="141"/>
  <c r="R29" i="141" s="1"/>
  <c r="N25" i="141"/>
  <c r="Q25" i="141" s="1"/>
  <c r="N37" i="141"/>
  <c r="Q37" i="141" s="1"/>
  <c r="N21" i="141"/>
  <c r="Q21" i="141" s="1"/>
  <c r="N17" i="141"/>
  <c r="X17" i="141" s="1"/>
  <c r="M11" i="141"/>
  <c r="M97" i="141"/>
  <c r="M78" i="141"/>
  <c r="M41" i="141"/>
  <c r="M37" i="141"/>
  <c r="M36" i="141"/>
  <c r="M33" i="141"/>
  <c r="M30" i="141"/>
  <c r="L28" i="141"/>
  <c r="G21" i="141"/>
  <c r="Y44" i="141"/>
  <c r="E45" i="136" s="1"/>
  <c r="Z8" i="141"/>
  <c r="F9" i="136" s="1"/>
  <c r="L75" i="131"/>
  <c r="L96" i="131"/>
  <c r="V62" i="141"/>
  <c r="L60" i="141"/>
  <c r="G54" i="141"/>
  <c r="V41" i="141"/>
  <c r="V34" i="141"/>
  <c r="Z33" i="141"/>
  <c r="F34" i="136" s="1"/>
  <c r="H26" i="141"/>
  <c r="H22" i="141"/>
  <c r="G18" i="141"/>
  <c r="H16" i="141"/>
  <c r="Z22" i="141"/>
  <c r="F23" i="136" s="1"/>
  <c r="G71" i="141"/>
  <c r="Y66" i="141"/>
  <c r="E67" i="136" s="1"/>
  <c r="L64" i="141"/>
  <c r="Y63" i="141"/>
  <c r="E64" i="136" s="1"/>
  <c r="G61" i="141"/>
  <c r="M57" i="141"/>
  <c r="V56" i="141"/>
  <c r="M55" i="141"/>
  <c r="H54" i="141"/>
  <c r="H51" i="141"/>
  <c r="M47" i="141"/>
  <c r="V45" i="141"/>
  <c r="G45" i="141"/>
  <c r="V44" i="141"/>
  <c r="G44" i="141"/>
  <c r="L42" i="141"/>
  <c r="L41" i="141"/>
  <c r="V38" i="141"/>
  <c r="W37" i="141"/>
  <c r="H37" i="141"/>
  <c r="L36" i="141"/>
  <c r="H36" i="141"/>
  <c r="G32" i="141"/>
  <c r="H31" i="141"/>
  <c r="R27" i="141"/>
  <c r="L25" i="141"/>
  <c r="L23" i="141"/>
  <c r="H20" i="141"/>
  <c r="Y19" i="141"/>
  <c r="E20" i="136" s="1"/>
  <c r="G19" i="141"/>
  <c r="L17" i="141"/>
  <c r="G16" i="141"/>
  <c r="M14" i="141"/>
  <c r="V12" i="141"/>
  <c r="Y11" i="141"/>
  <c r="E12" i="136" s="1"/>
  <c r="H11" i="141"/>
  <c r="G10" i="141"/>
  <c r="Z99" i="141"/>
  <c r="F100" i="136" s="1"/>
  <c r="Y60" i="141"/>
  <c r="E61" i="136" s="1"/>
  <c r="V93" i="141"/>
  <c r="G84" i="141"/>
  <c r="V78" i="141"/>
  <c r="G68" i="141"/>
  <c r="L62" i="141"/>
  <c r="L61" i="141"/>
  <c r="G58" i="141"/>
  <c r="V40" i="141"/>
  <c r="V31" i="141"/>
  <c r="V30" i="141"/>
  <c r="V27" i="141"/>
  <c r="V25" i="141"/>
  <c r="V17" i="141"/>
  <c r="V67" i="141"/>
  <c r="V15" i="141"/>
  <c r="R11" i="141"/>
  <c r="Z39" i="141"/>
  <c r="F40" i="136" s="1"/>
  <c r="Y38" i="141"/>
  <c r="E39" i="136" s="1"/>
  <c r="Y12" i="141"/>
  <c r="E13" i="136" s="1"/>
  <c r="F20" i="160"/>
  <c r="F11" i="160"/>
  <c r="M94" i="141"/>
  <c r="H7" i="141"/>
  <c r="Q100" i="141"/>
  <c r="G99" i="141"/>
  <c r="G98" i="141"/>
  <c r="G97" i="141"/>
  <c r="W95" i="141"/>
  <c r="Q94" i="141"/>
  <c r="Z92" i="141"/>
  <c r="F93" i="136" s="1"/>
  <c r="H91" i="141"/>
  <c r="R90" i="141"/>
  <c r="H90" i="141"/>
  <c r="M88" i="141"/>
  <c r="W87" i="141"/>
  <c r="R86" i="141"/>
  <c r="H86" i="141"/>
  <c r="Z85" i="141"/>
  <c r="F86" i="136" s="1"/>
  <c r="Z84" i="141"/>
  <c r="F85" i="136" s="1"/>
  <c r="W83" i="141"/>
  <c r="Y83" i="141"/>
  <c r="E84" i="136" s="1"/>
  <c r="G82" i="141"/>
  <c r="H81" i="141"/>
  <c r="L80" i="141"/>
  <c r="W79" i="141"/>
  <c r="G79" i="141"/>
  <c r="H78" i="141"/>
  <c r="Z76" i="141"/>
  <c r="F77" i="136" s="1"/>
  <c r="V75" i="141"/>
  <c r="Y75" i="141"/>
  <c r="E76" i="136" s="1"/>
  <c r="G75" i="141"/>
  <c r="R74" i="141"/>
  <c r="G73" i="141"/>
  <c r="L72" i="141"/>
  <c r="W71" i="141"/>
  <c r="Z68" i="141"/>
  <c r="F69" i="136" s="1"/>
  <c r="Y67" i="141"/>
  <c r="E68" i="136" s="1"/>
  <c r="H67" i="141"/>
  <c r="R66" i="141"/>
  <c r="G66" i="141"/>
  <c r="H65" i="141"/>
  <c r="M64" i="141"/>
  <c r="W63" i="141"/>
  <c r="H63" i="141"/>
  <c r="H62" i="141"/>
  <c r="H61" i="141"/>
  <c r="W59" i="141"/>
  <c r="M59" i="141"/>
  <c r="W58" i="141"/>
  <c r="M58" i="141"/>
  <c r="V57" i="141"/>
  <c r="Y57" i="141"/>
  <c r="E58" i="136" s="1"/>
  <c r="W56" i="141"/>
  <c r="X55" i="141"/>
  <c r="D56" i="136" s="1"/>
  <c r="Y55" i="141"/>
  <c r="E56" i="136" s="1"/>
  <c r="W54" i="141"/>
  <c r="Y54" i="141"/>
  <c r="E55" i="136" s="1"/>
  <c r="Y53" i="141"/>
  <c r="E54" i="136" s="1"/>
  <c r="G53" i="141"/>
  <c r="G52" i="141"/>
  <c r="L50" i="141"/>
  <c r="V49" i="141"/>
  <c r="M49" i="141"/>
  <c r="W48" i="141"/>
  <c r="H48" i="141"/>
  <c r="Z47" i="141"/>
  <c r="F48" i="136" s="1"/>
  <c r="W46" i="141"/>
  <c r="G46" i="141"/>
  <c r="Z45" i="141"/>
  <c r="F46" i="136" s="1"/>
  <c r="Z44" i="141"/>
  <c r="F45" i="136" s="1"/>
  <c r="Y43" i="141"/>
  <c r="E44" i="136" s="1"/>
  <c r="Y41" i="141"/>
  <c r="E42" i="136" s="1"/>
  <c r="Z40" i="141"/>
  <c r="F41" i="136" s="1"/>
  <c r="M38" i="141"/>
  <c r="V37" i="141"/>
  <c r="Y37" i="141"/>
  <c r="E38" i="136" s="1"/>
  <c r="G37" i="141"/>
  <c r="G36" i="141"/>
  <c r="R35" i="141"/>
  <c r="H35" i="141"/>
  <c r="H34" i="141"/>
  <c r="G33" i="141"/>
  <c r="H32" i="141"/>
  <c r="R31" i="141"/>
  <c r="G31" i="141"/>
  <c r="G30" i="141"/>
  <c r="H29" i="141"/>
  <c r="H28" i="141"/>
  <c r="Q27" i="141"/>
  <c r="G27" i="141"/>
  <c r="G26" i="141"/>
  <c r="G25" i="141"/>
  <c r="R24" i="141"/>
  <c r="H24" i="141"/>
  <c r="H23" i="141"/>
  <c r="Q22" i="141"/>
  <c r="G22" i="141"/>
  <c r="H21" i="141"/>
  <c r="R20" i="141"/>
  <c r="Z20" i="141"/>
  <c r="F21" i="136" s="1"/>
  <c r="R19" i="141"/>
  <c r="H19" i="141"/>
  <c r="R18" i="141"/>
  <c r="H18" i="141"/>
  <c r="H17" i="141"/>
  <c r="R15" i="141"/>
  <c r="H15" i="141"/>
  <c r="L14" i="141"/>
  <c r="V13" i="141"/>
  <c r="H13" i="141"/>
  <c r="Z12" i="141"/>
  <c r="F13" i="136" s="1"/>
  <c r="M12" i="141"/>
  <c r="W11" i="141"/>
  <c r="G12" i="141"/>
  <c r="J103" i="141"/>
  <c r="H102" i="141"/>
  <c r="M96" i="141"/>
  <c r="H94" i="141"/>
  <c r="W91" i="141"/>
  <c r="H377" i="160"/>
  <c r="G11" i="141"/>
  <c r="H10" i="141"/>
  <c r="R9" i="141"/>
  <c r="W8" i="141"/>
  <c r="H8" i="141"/>
  <c r="M28" i="141"/>
  <c r="W25" i="141"/>
  <c r="Y14" i="141"/>
  <c r="E15" i="136" s="1"/>
  <c r="Z87" i="141"/>
  <c r="F88" i="136" s="1"/>
  <c r="G81" i="141"/>
  <c r="V91" i="141"/>
  <c r="V83" i="141"/>
  <c r="H12" i="141"/>
  <c r="C8" i="160"/>
  <c r="C23" i="160" s="1"/>
  <c r="H79" i="141"/>
  <c r="H66" i="141"/>
  <c r="M76" i="141"/>
  <c r="L9" i="141"/>
  <c r="G9" i="160"/>
  <c r="L98" i="131"/>
  <c r="G18" i="160"/>
  <c r="G80" i="160"/>
  <c r="G79" i="160" s="1"/>
  <c r="G83" i="160" s="1"/>
  <c r="X31" i="141"/>
  <c r="D32" i="136" s="1"/>
  <c r="V48" i="141"/>
  <c r="Z59" i="141"/>
  <c r="F60" i="136" s="1"/>
  <c r="G67" i="141"/>
  <c r="Y62" i="141"/>
  <c r="E63" i="136" s="1"/>
  <c r="H73" i="141"/>
  <c r="G17" i="141"/>
  <c r="V54" i="141"/>
  <c r="G29" i="141"/>
  <c r="Z73" i="141"/>
  <c r="F74" i="136" s="1"/>
  <c r="Z17" i="141"/>
  <c r="F18" i="136" s="1"/>
  <c r="H27" i="141"/>
  <c r="H53" i="141"/>
  <c r="H52" i="141"/>
  <c r="G20" i="141"/>
  <c r="G62" i="141"/>
  <c r="P103" i="141"/>
  <c r="H46" i="141"/>
  <c r="G23" i="141"/>
  <c r="H33" i="141"/>
  <c r="H75" i="141"/>
  <c r="V55" i="141"/>
  <c r="G24" i="141"/>
  <c r="V11" i="141"/>
  <c r="W49" i="141"/>
  <c r="G7" i="141"/>
  <c r="M7" i="141"/>
  <c r="M102" i="141"/>
  <c r="V101" i="141"/>
  <c r="W98" i="141"/>
  <c r="W96" i="141"/>
  <c r="Y96" i="141"/>
  <c r="E97" i="136" s="1"/>
  <c r="V95" i="141"/>
  <c r="Z93" i="141"/>
  <c r="Y93" i="141"/>
  <c r="E94" i="136" s="1"/>
  <c r="Z91" i="141"/>
  <c r="F92" i="136" s="1"/>
  <c r="L91" i="141"/>
  <c r="W90" i="141"/>
  <c r="Q90" i="141"/>
  <c r="M90" i="141"/>
  <c r="W89" i="141"/>
  <c r="Q89" i="141"/>
  <c r="Y88" i="141"/>
  <c r="E89" i="136" s="1"/>
  <c r="V87" i="141"/>
  <c r="Y86" i="141"/>
  <c r="E87" i="136" s="1"/>
  <c r="V85" i="141"/>
  <c r="Y85" i="141"/>
  <c r="E86" i="136" s="1"/>
  <c r="H84" i="141"/>
  <c r="Z83" i="141"/>
  <c r="F84" i="136" s="1"/>
  <c r="L82" i="141"/>
  <c r="Y81" i="141"/>
  <c r="E82" i="136" s="1"/>
  <c r="W80" i="141"/>
  <c r="V79" i="141"/>
  <c r="W78" i="141"/>
  <c r="W73" i="141"/>
  <c r="Y72" i="141"/>
  <c r="E73" i="136" s="1"/>
  <c r="V71" i="141"/>
  <c r="M71" i="141"/>
  <c r="L68" i="141"/>
  <c r="H68" i="141"/>
  <c r="W65" i="141"/>
  <c r="Y65" i="141"/>
  <c r="E66" i="136" s="1"/>
  <c r="Y64" i="141"/>
  <c r="E65" i="136" s="1"/>
  <c r="V63" i="141"/>
  <c r="V60" i="141"/>
  <c r="V59" i="141"/>
  <c r="L59" i="141"/>
  <c r="X58" i="141"/>
  <c r="D59" i="136" s="1"/>
  <c r="L57" i="141"/>
  <c r="H56" i="141"/>
  <c r="L55" i="141"/>
  <c r="H55" i="141"/>
  <c r="M54" i="141"/>
  <c r="M52" i="141"/>
  <c r="V50" i="141"/>
  <c r="Y50" i="141"/>
  <c r="E51" i="136" s="1"/>
  <c r="L43" i="141"/>
  <c r="M42" i="141"/>
  <c r="F375" i="160"/>
  <c r="G35" i="141"/>
  <c r="Z14" i="141"/>
  <c r="F15" i="136" s="1"/>
  <c r="X56" i="141"/>
  <c r="D57" i="136" s="1"/>
  <c r="Z61" i="141"/>
  <c r="F62" i="136" s="1"/>
  <c r="V58" i="141"/>
  <c r="Q86" i="141"/>
  <c r="G90" i="141"/>
  <c r="Z21" i="141"/>
  <c r="F22" i="136" s="1"/>
  <c r="G65" i="141"/>
  <c r="Q9" i="141"/>
  <c r="Q18" i="141"/>
  <c r="Z25" i="141"/>
  <c r="F26" i="136" s="1"/>
  <c r="V46" i="141"/>
  <c r="G85" i="141"/>
  <c r="G34" i="141"/>
  <c r="W13" i="141"/>
  <c r="G28" i="141"/>
  <c r="W57" i="141"/>
  <c r="M50" i="141"/>
  <c r="W55" i="141"/>
  <c r="L38" i="141"/>
  <c r="Z37" i="141"/>
  <c r="F38" i="136" s="1"/>
  <c r="Q19" i="141"/>
  <c r="V14" i="141"/>
  <c r="L12" i="141"/>
  <c r="Z11" i="141"/>
  <c r="F12" i="136" s="1"/>
  <c r="G55" i="141"/>
  <c r="H25" i="141"/>
  <c r="Q24" i="141"/>
  <c r="G8" i="141"/>
  <c r="H100" i="141"/>
  <c r="H98" i="141"/>
  <c r="H97" i="141"/>
  <c r="H95" i="141"/>
  <c r="L88" i="141"/>
  <c r="H87" i="141"/>
  <c r="H85" i="141"/>
  <c r="M80" i="141"/>
  <c r="H77" i="141"/>
  <c r="H71" i="141"/>
  <c r="H70" i="141"/>
  <c r="M68" i="141"/>
  <c r="G63" i="141"/>
  <c r="M56" i="141"/>
  <c r="Z100" i="141"/>
  <c r="F101" i="136" s="1"/>
  <c r="Z77" i="141"/>
  <c r="F78" i="136" s="1"/>
  <c r="Q66" i="141"/>
  <c r="Z63" i="141"/>
  <c r="F64" i="136" s="1"/>
  <c r="Y49" i="141"/>
  <c r="E50" i="136" s="1"/>
  <c r="N46" i="141"/>
  <c r="Q46" i="141" s="1"/>
  <c r="N38" i="141"/>
  <c r="R38" i="141" s="1"/>
  <c r="J8" i="139"/>
  <c r="W7" i="141"/>
  <c r="V8" i="141"/>
  <c r="V22" i="141"/>
  <c r="X9" i="141"/>
  <c r="D10" i="136" s="1"/>
  <c r="Z7" i="141"/>
  <c r="F8" i="136" s="1"/>
  <c r="Z88" i="141"/>
  <c r="F89" i="136" s="1"/>
  <c r="L96" i="141"/>
  <c r="M72" i="141"/>
  <c r="Y101" i="141"/>
  <c r="E102" i="136" s="1"/>
  <c r="L37" i="141"/>
  <c r="Y28" i="141"/>
  <c r="E29" i="136" s="1"/>
  <c r="Y27" i="141"/>
  <c r="E28" i="136" s="1"/>
  <c r="Y25" i="141"/>
  <c r="E26" i="136" s="1"/>
  <c r="Y24" i="141"/>
  <c r="E25" i="136" s="1"/>
  <c r="Y23" i="141"/>
  <c r="E24" i="136" s="1"/>
  <c r="Y22" i="141"/>
  <c r="E23" i="136" s="1"/>
  <c r="Y18" i="141"/>
  <c r="E19" i="136" s="1"/>
  <c r="Y17" i="141"/>
  <c r="E18" i="136" s="1"/>
  <c r="M82" i="141"/>
  <c r="M91" i="141"/>
  <c r="L54" i="141"/>
  <c r="M84" i="141"/>
  <c r="H99" i="141"/>
  <c r="H96" i="141"/>
  <c r="H72" i="141"/>
  <c r="G64" i="141"/>
  <c r="G42" i="141"/>
  <c r="G41" i="141"/>
  <c r="G104" i="137"/>
  <c r="G91" i="141"/>
  <c r="H89" i="141"/>
  <c r="G83" i="141"/>
  <c r="H82" i="141"/>
  <c r="H74" i="141"/>
  <c r="G51" i="141"/>
  <c r="G15" i="141"/>
  <c r="H101" i="141"/>
  <c r="G95" i="141"/>
  <c r="G87" i="141"/>
  <c r="G74" i="141"/>
  <c r="D103" i="141"/>
  <c r="H80" i="141"/>
  <c r="L76" i="131"/>
  <c r="W67" i="141"/>
  <c r="L97" i="141"/>
  <c r="M100" i="141"/>
  <c r="Y99" i="141"/>
  <c r="E100" i="136" s="1"/>
  <c r="Y91" i="141"/>
  <c r="E92" i="136" s="1"/>
  <c r="Z90" i="141"/>
  <c r="F91" i="136" s="1"/>
  <c r="G89" i="141"/>
  <c r="M81" i="141"/>
  <c r="W62" i="141"/>
  <c r="L49" i="141"/>
  <c r="I377" i="160"/>
  <c r="Z62" i="141"/>
  <c r="F63" i="136" s="1"/>
  <c r="Q11" i="141"/>
  <c r="I75" i="131"/>
  <c r="E84" i="131"/>
  <c r="V102" i="141"/>
  <c r="W102" i="141"/>
  <c r="F25" i="147"/>
  <c r="V96" i="141"/>
  <c r="G86" i="141"/>
  <c r="M77" i="141"/>
  <c r="Y97" i="141"/>
  <c r="E98" i="136" s="1"/>
  <c r="Z102" i="141"/>
  <c r="F103" i="136" s="1"/>
  <c r="W93" i="141"/>
  <c r="Y68" i="141"/>
  <c r="E69" i="136" s="1"/>
  <c r="H58" i="141"/>
  <c r="H376" i="160"/>
  <c r="G375" i="160"/>
  <c r="V73" i="141"/>
  <c r="Y98" i="141"/>
  <c r="E99" i="136" s="1"/>
  <c r="Y95" i="141"/>
  <c r="E96" i="136" s="1"/>
  <c r="Y90" i="141"/>
  <c r="E91" i="136" s="1"/>
  <c r="L100" i="141"/>
  <c r="M61" i="141"/>
  <c r="Q50" i="141"/>
  <c r="R50" i="141"/>
  <c r="Y7" i="141"/>
  <c r="E8" i="136" s="1"/>
  <c r="E103" i="141"/>
  <c r="K103" i="141"/>
  <c r="L7" i="141"/>
  <c r="T103" i="141"/>
  <c r="V7" i="141"/>
  <c r="G102" i="141"/>
  <c r="Y102" i="141"/>
  <c r="E103" i="136" s="1"/>
  <c r="Z101" i="141"/>
  <c r="F102" i="136" s="1"/>
  <c r="L101" i="141"/>
  <c r="M101" i="141"/>
  <c r="W100" i="141"/>
  <c r="V100" i="141"/>
  <c r="Y100" i="141"/>
  <c r="E101" i="136" s="1"/>
  <c r="G100" i="141"/>
  <c r="W99" i="141"/>
  <c r="V99" i="141"/>
  <c r="L99" i="141"/>
  <c r="M99" i="141"/>
  <c r="L98" i="141"/>
  <c r="X98" i="141"/>
  <c r="D99" i="136" s="1"/>
  <c r="M98" i="141"/>
  <c r="W97" i="141"/>
  <c r="V97" i="141"/>
  <c r="Z97" i="141"/>
  <c r="Z96" i="141"/>
  <c r="F97" i="136" s="1"/>
  <c r="G96" i="141"/>
  <c r="M95" i="141"/>
  <c r="Z95" i="141"/>
  <c r="F96" i="136" s="1"/>
  <c r="L95" i="141"/>
  <c r="V94" i="141"/>
  <c r="Z94" i="141"/>
  <c r="L94" i="141"/>
  <c r="Y94" i="141"/>
  <c r="E95" i="136" s="1"/>
  <c r="G94" i="141"/>
  <c r="L93" i="141"/>
  <c r="M93" i="141"/>
  <c r="V92" i="141"/>
  <c r="W92" i="141"/>
  <c r="L92" i="141"/>
  <c r="Y92" i="141"/>
  <c r="E93" i="136" s="1"/>
  <c r="H92" i="141"/>
  <c r="G92" i="141"/>
  <c r="X90" i="141"/>
  <c r="L90" i="141"/>
  <c r="V89" i="141"/>
  <c r="Z89" i="141"/>
  <c r="X89" i="141"/>
  <c r="D90" i="136" s="1"/>
  <c r="L89" i="141"/>
  <c r="M89" i="141"/>
  <c r="W88" i="141"/>
  <c r="V88" i="141"/>
  <c r="G88" i="141"/>
  <c r="H88" i="141"/>
  <c r="M87" i="141"/>
  <c r="L87" i="141"/>
  <c r="V86" i="141"/>
  <c r="W86" i="141"/>
  <c r="X86" i="141"/>
  <c r="Z86" i="141"/>
  <c r="M86" i="141"/>
  <c r="L86" i="141"/>
  <c r="W85" i="141"/>
  <c r="L85" i="141"/>
  <c r="M85" i="141"/>
  <c r="V84" i="141"/>
  <c r="W84" i="141"/>
  <c r="Y84" i="141"/>
  <c r="E85" i="136" s="1"/>
  <c r="L84" i="141"/>
  <c r="L83" i="141"/>
  <c r="M83" i="141"/>
  <c r="W82" i="141"/>
  <c r="Z82" i="141"/>
  <c r="Y82" i="141"/>
  <c r="E83" i="136" s="1"/>
  <c r="W81" i="141"/>
  <c r="Z81" i="141"/>
  <c r="V81" i="141"/>
  <c r="L81" i="141"/>
  <c r="Z80" i="141"/>
  <c r="F81" i="136" s="1"/>
  <c r="G80" i="141"/>
  <c r="M79" i="141"/>
  <c r="Z79" i="141"/>
  <c r="L79" i="141"/>
  <c r="Z78" i="141"/>
  <c r="L78" i="141"/>
  <c r="Y78" i="141"/>
  <c r="E79" i="136" s="1"/>
  <c r="G78" i="141"/>
  <c r="W77" i="141"/>
  <c r="V77" i="141"/>
  <c r="Y77" i="141"/>
  <c r="E78" i="136" s="1"/>
  <c r="G77" i="141"/>
  <c r="W76" i="141"/>
  <c r="V76" i="141"/>
  <c r="Y76" i="141"/>
  <c r="E77" i="136" s="1"/>
  <c r="L76" i="141"/>
  <c r="H76" i="141"/>
  <c r="G76" i="141"/>
  <c r="Z75" i="141"/>
  <c r="F76" i="136" s="1"/>
  <c r="M75" i="141"/>
  <c r="L75" i="141"/>
  <c r="V74" i="141"/>
  <c r="Z74" i="141"/>
  <c r="W74" i="141"/>
  <c r="Y74" i="141"/>
  <c r="E75" i="136" s="1"/>
  <c r="L74" i="141"/>
  <c r="Y73" i="141"/>
  <c r="E74" i="136" s="1"/>
  <c r="L73" i="141"/>
  <c r="M73" i="141"/>
  <c r="W72" i="141"/>
  <c r="V72" i="141"/>
  <c r="Z72" i="141"/>
  <c r="F73" i="136" s="1"/>
  <c r="G72" i="141"/>
  <c r="Z71" i="141"/>
  <c r="F72" i="136" s="1"/>
  <c r="L71" i="141"/>
  <c r="V70" i="141"/>
  <c r="L70" i="141"/>
  <c r="Z70" i="141"/>
  <c r="M70" i="141"/>
  <c r="Y70" i="141"/>
  <c r="E71" i="136" s="1"/>
  <c r="G70" i="141"/>
  <c r="W69" i="141"/>
  <c r="V69" i="141"/>
  <c r="M69" i="141"/>
  <c r="L69" i="141"/>
  <c r="Z69" i="141"/>
  <c r="Y69" i="141"/>
  <c r="E70" i="136" s="1"/>
  <c r="G69" i="141"/>
  <c r="W68" i="141"/>
  <c r="V68" i="141"/>
  <c r="Z67" i="141"/>
  <c r="F68" i="136" s="1"/>
  <c r="M67" i="141"/>
  <c r="L67" i="141"/>
  <c r="X67" i="141"/>
  <c r="D68" i="136" s="1"/>
  <c r="W66" i="141"/>
  <c r="V66" i="141"/>
  <c r="Z66" i="141"/>
  <c r="X66" i="141"/>
  <c r="L66" i="141"/>
  <c r="M66" i="141"/>
  <c r="Z65" i="141"/>
  <c r="V65" i="141"/>
  <c r="M65" i="141"/>
  <c r="L65" i="141"/>
  <c r="V64" i="141"/>
  <c r="W64" i="141"/>
  <c r="H64" i="141"/>
  <c r="Z64" i="141"/>
  <c r="F65" i="136" s="1"/>
  <c r="L63" i="141"/>
  <c r="M63" i="141"/>
  <c r="W61" i="141"/>
  <c r="V61" i="141"/>
  <c r="Y61" i="141"/>
  <c r="Z60" i="141"/>
  <c r="F61" i="136" s="1"/>
  <c r="H60" i="141"/>
  <c r="G60" i="141"/>
  <c r="H59" i="141"/>
  <c r="G59" i="141"/>
  <c r="Z58" i="141"/>
  <c r="R58" i="141"/>
  <c r="Q58" i="141"/>
  <c r="L58" i="141"/>
  <c r="Y58" i="141"/>
  <c r="Z57" i="141"/>
  <c r="G57" i="141"/>
  <c r="H57" i="141"/>
  <c r="Q56" i="141"/>
  <c r="Z56" i="141"/>
  <c r="Y56" i="141"/>
  <c r="E57" i="136" s="1"/>
  <c r="L56" i="141"/>
  <c r="R55" i="141"/>
  <c r="Z55" i="141"/>
  <c r="Q55" i="141"/>
  <c r="Z54" i="141"/>
  <c r="F55" i="136" s="1"/>
  <c r="Q54" i="141"/>
  <c r="Z53" i="141"/>
  <c r="F54" i="136" s="1"/>
  <c r="W53" i="141"/>
  <c r="V53" i="141"/>
  <c r="M53" i="141"/>
  <c r="L53" i="141"/>
  <c r="Z52" i="141"/>
  <c r="W52" i="141"/>
  <c r="V52" i="141"/>
  <c r="Y52" i="141"/>
  <c r="E53" i="136" s="1"/>
  <c r="L52" i="141"/>
  <c r="Z51" i="141"/>
  <c r="F52" i="136" s="1"/>
  <c r="V51" i="141"/>
  <c r="Y51" i="141"/>
  <c r="E52" i="136" s="1"/>
  <c r="L51" i="141"/>
  <c r="M51" i="141"/>
  <c r="G50" i="141"/>
  <c r="H50" i="141"/>
  <c r="Z50" i="141"/>
  <c r="F51" i="136" s="1"/>
  <c r="G49" i="141"/>
  <c r="H49" i="141"/>
  <c r="Z49" i="141"/>
  <c r="M48" i="141"/>
  <c r="Z48" i="141"/>
  <c r="F49" i="136" s="1"/>
  <c r="L48" i="141"/>
  <c r="G48" i="141"/>
  <c r="Y48" i="141"/>
  <c r="E49" i="136" s="1"/>
  <c r="L47" i="141"/>
  <c r="Y47" i="141"/>
  <c r="E48" i="136" s="1"/>
  <c r="G47" i="141"/>
  <c r="H47" i="141"/>
  <c r="Z46" i="141"/>
  <c r="Y46" i="141"/>
  <c r="E47" i="136" s="1"/>
  <c r="L46" i="141"/>
  <c r="Y45" i="141"/>
  <c r="E46" i="136" s="1"/>
  <c r="L45" i="141"/>
  <c r="L44" i="141"/>
  <c r="M44" i="141"/>
  <c r="V43" i="141"/>
  <c r="W43" i="141"/>
  <c r="Z43" i="141"/>
  <c r="F44" i="136" s="1"/>
  <c r="H43" i="141"/>
  <c r="Y42" i="141"/>
  <c r="E43" i="136" s="1"/>
  <c r="V42" i="141"/>
  <c r="H42" i="141"/>
  <c r="Z42" i="141"/>
  <c r="F43" i="136" s="1"/>
  <c r="H41" i="141"/>
  <c r="Z41" i="141"/>
  <c r="L40" i="141"/>
  <c r="M40" i="141"/>
  <c r="Y40" i="141"/>
  <c r="E41" i="136" s="1"/>
  <c r="G40" i="141"/>
  <c r="W39" i="141"/>
  <c r="V39" i="141"/>
  <c r="Y39" i="141"/>
  <c r="E40" i="136" s="1"/>
  <c r="L39" i="141"/>
  <c r="H39" i="141"/>
  <c r="G39" i="141"/>
  <c r="Z38" i="141"/>
  <c r="F39" i="136" s="1"/>
  <c r="G38" i="141"/>
  <c r="V36" i="141"/>
  <c r="Z36" i="141"/>
  <c r="Y36" i="141"/>
  <c r="E37" i="136" s="1"/>
  <c r="Q36" i="141"/>
  <c r="W35" i="141"/>
  <c r="V35" i="141"/>
  <c r="Z35" i="141"/>
  <c r="Q35" i="141"/>
  <c r="Y35" i="141"/>
  <c r="E36" i="136" s="1"/>
  <c r="M35" i="141"/>
  <c r="L35" i="141"/>
  <c r="X35" i="141"/>
  <c r="Z34" i="141"/>
  <c r="W34" i="141"/>
  <c r="Q34" i="141"/>
  <c r="Y34" i="141"/>
  <c r="E35" i="136" s="1"/>
  <c r="L34" i="141"/>
  <c r="M34" i="141"/>
  <c r="V33" i="141"/>
  <c r="W33" i="141"/>
  <c r="Y33" i="141"/>
  <c r="E34" i="136" s="1"/>
  <c r="L33" i="141"/>
  <c r="W32" i="141"/>
  <c r="Z32" i="141"/>
  <c r="V32" i="141"/>
  <c r="Y32" i="141"/>
  <c r="E33" i="136" s="1"/>
  <c r="L32" i="141"/>
  <c r="M32" i="141"/>
  <c r="W31" i="141"/>
  <c r="Z31" i="141"/>
  <c r="Y31" i="141"/>
  <c r="E32" i="136" s="1"/>
  <c r="Q31" i="141"/>
  <c r="M31" i="141"/>
  <c r="L31" i="141"/>
  <c r="Z30" i="141"/>
  <c r="W30" i="141"/>
  <c r="Y30" i="141"/>
  <c r="E31" i="136" s="1"/>
  <c r="L30" i="141"/>
  <c r="W29" i="141"/>
  <c r="Z29" i="141"/>
  <c r="V29" i="141"/>
  <c r="Y29" i="141"/>
  <c r="E30" i="136" s="1"/>
  <c r="M29" i="141"/>
  <c r="L29" i="141"/>
  <c r="W28" i="141"/>
  <c r="Z28" i="141"/>
  <c r="F29" i="136" s="1"/>
  <c r="V28" i="141"/>
  <c r="W27" i="141"/>
  <c r="Z27" i="141"/>
  <c r="F28" i="136" s="1"/>
  <c r="X27" i="141"/>
  <c r="D28" i="136" s="1"/>
  <c r="L27" i="141"/>
  <c r="M27" i="141"/>
  <c r="W26" i="141"/>
  <c r="Z26" i="141"/>
  <c r="V26" i="141"/>
  <c r="Y26" i="141"/>
  <c r="E27" i="136" s="1"/>
  <c r="L26" i="141"/>
  <c r="M26" i="141"/>
  <c r="M25" i="141"/>
  <c r="Z24" i="141"/>
  <c r="W24" i="141"/>
  <c r="V24" i="141"/>
  <c r="X24" i="141"/>
  <c r="M24" i="141"/>
  <c r="L24" i="141"/>
  <c r="Z23" i="141"/>
  <c r="W23" i="141"/>
  <c r="V23" i="141"/>
  <c r="M23" i="141"/>
  <c r="M22" i="141"/>
  <c r="L22" i="141"/>
  <c r="V21" i="141"/>
  <c r="W21" i="141"/>
  <c r="Y21" i="141"/>
  <c r="E22" i="136" s="1"/>
  <c r="M21" i="141"/>
  <c r="L21" i="141"/>
  <c r="V20" i="141"/>
  <c r="W20" i="141"/>
  <c r="Q20" i="141"/>
  <c r="Y20" i="141"/>
  <c r="E21" i="136" s="1"/>
  <c r="L20" i="141"/>
  <c r="X20" i="141"/>
  <c r="M20" i="141"/>
  <c r="V19" i="141"/>
  <c r="W19" i="141"/>
  <c r="Z19" i="141"/>
  <c r="X19" i="141"/>
  <c r="M19" i="141"/>
  <c r="L19" i="141"/>
  <c r="W18" i="141"/>
  <c r="V18" i="141"/>
  <c r="Z18" i="141"/>
  <c r="F19" i="136" s="1"/>
  <c r="M18" i="141"/>
  <c r="X18" i="141"/>
  <c r="L18" i="141"/>
  <c r="M17" i="141"/>
  <c r="V16" i="141"/>
  <c r="W16" i="141"/>
  <c r="Z16" i="141"/>
  <c r="F17" i="136" s="1"/>
  <c r="Y16" i="141"/>
  <c r="E17" i="136" s="1"/>
  <c r="L16" i="141"/>
  <c r="W15" i="141"/>
  <c r="Z15" i="141"/>
  <c r="Q15" i="141"/>
  <c r="Y15" i="141"/>
  <c r="E16" i="136" s="1"/>
  <c r="M15" i="141"/>
  <c r="L15" i="141"/>
  <c r="H14" i="141"/>
  <c r="G14" i="141"/>
  <c r="Z13" i="141"/>
  <c r="L13" i="141"/>
  <c r="M13" i="141"/>
  <c r="G13" i="141"/>
  <c r="Y13" i="141"/>
  <c r="E14" i="136" s="1"/>
  <c r="S103" i="141"/>
  <c r="W12" i="141"/>
  <c r="X11" i="141"/>
  <c r="L11" i="141"/>
  <c r="Z10" i="141"/>
  <c r="W10" i="141"/>
  <c r="V10" i="141"/>
  <c r="Y10" i="141"/>
  <c r="E11" i="136" s="1"/>
  <c r="L10" i="141"/>
  <c r="I103" i="141"/>
  <c r="U103" i="141"/>
  <c r="W9" i="141"/>
  <c r="V9" i="141"/>
  <c r="O103" i="141"/>
  <c r="Y9" i="141"/>
  <c r="H9" i="141"/>
  <c r="G9" i="141"/>
  <c r="Z9" i="141"/>
  <c r="F103" i="141"/>
  <c r="L8" i="141"/>
  <c r="M8" i="141"/>
  <c r="Y79" i="141"/>
  <c r="E80" i="136" s="1"/>
  <c r="Y71" i="141"/>
  <c r="E72" i="136" s="1"/>
  <c r="Y8" i="141"/>
  <c r="L102" i="141"/>
  <c r="W101" i="141"/>
  <c r="V98" i="141"/>
  <c r="Z98" i="141"/>
  <c r="F99" i="136" s="1"/>
  <c r="V90" i="141"/>
  <c r="Y80" i="141"/>
  <c r="E81" i="136" s="1"/>
  <c r="L77" i="141"/>
  <c r="W51" i="141"/>
  <c r="W50" i="141"/>
  <c r="G43" i="141"/>
  <c r="M10" i="141"/>
  <c r="X54" i="141"/>
  <c r="H30" i="141"/>
  <c r="N95" i="141"/>
  <c r="N91" i="141"/>
  <c r="N87" i="141"/>
  <c r="N83" i="141"/>
  <c r="N71" i="141"/>
  <c r="N47" i="141"/>
  <c r="N43" i="141"/>
  <c r="F379" i="160"/>
  <c r="H379" i="160" s="1"/>
  <c r="C20" i="160"/>
  <c r="E20" i="160" s="1"/>
  <c r="O88" i="131"/>
  <c r="N7" i="141"/>
  <c r="Y89" i="141"/>
  <c r="G93" i="141"/>
  <c r="M92" i="141"/>
  <c r="Y87" i="141"/>
  <c r="E88" i="136" s="1"/>
  <c r="W75" i="141"/>
  <c r="M60" i="141"/>
  <c r="F82" i="160"/>
  <c r="F80" i="160" s="1"/>
  <c r="F79" i="160" s="1"/>
  <c r="F83" i="160" s="1"/>
  <c r="N96" i="141"/>
  <c r="N92" i="141"/>
  <c r="X92" i="141" s="1"/>
  <c r="N88" i="141"/>
  <c r="N84" i="141"/>
  <c r="N80" i="141"/>
  <c r="R80" i="141" s="1"/>
  <c r="N76" i="141"/>
  <c r="N72" i="141"/>
  <c r="N68" i="141"/>
  <c r="N60" i="141"/>
  <c r="N48" i="141"/>
  <c r="N44" i="141"/>
  <c r="N40" i="141"/>
  <c r="N12" i="141"/>
  <c r="H104" i="137"/>
  <c r="M12" i="131"/>
  <c r="F104" i="139"/>
  <c r="F113" i="139" s="1"/>
  <c r="X100" i="141"/>
  <c r="G76" i="131"/>
  <c r="F381" i="160"/>
  <c r="I381" i="160" s="1"/>
  <c r="W94" i="141"/>
  <c r="W70" i="141"/>
  <c r="G104" i="135"/>
  <c r="F382" i="160"/>
  <c r="I376" i="160"/>
  <c r="L84" i="131"/>
  <c r="E90" i="131"/>
  <c r="E93" i="131" s="1"/>
  <c r="E76" i="131"/>
  <c r="D7" i="170"/>
  <c r="C8" i="177" s="1"/>
  <c r="O76" i="131"/>
  <c r="E88" i="131"/>
  <c r="E12" i="170"/>
  <c r="N88" i="131"/>
  <c r="N94" i="131" s="1"/>
  <c r="L83" i="131"/>
  <c r="N83" i="131"/>
  <c r="R100" i="141"/>
  <c r="H93" i="141"/>
  <c r="R89" i="141"/>
  <c r="H83" i="141"/>
  <c r="V80" i="141"/>
  <c r="H69" i="141"/>
  <c r="H81" i="160"/>
  <c r="D104" i="135"/>
  <c r="I81" i="160"/>
  <c r="M7" i="135"/>
  <c r="L7" i="135"/>
  <c r="F10" i="170"/>
  <c r="E10" i="170"/>
  <c r="F9" i="160"/>
  <c r="K76" i="131"/>
  <c r="I76" i="131"/>
  <c r="K75" i="131"/>
  <c r="F90" i="131"/>
  <c r="F92" i="131" s="1"/>
  <c r="D83" i="131"/>
  <c r="F84" i="131"/>
  <c r="F83" i="131"/>
  <c r="D90" i="131"/>
  <c r="D94" i="131" s="1"/>
  <c r="G101" i="141"/>
  <c r="B23" i="160"/>
  <c r="X50" i="141"/>
  <c r="R54" i="141"/>
  <c r="X97" i="141" l="1"/>
  <c r="D98" i="136" s="1"/>
  <c r="Q63" i="141"/>
  <c r="X16" i="141"/>
  <c r="R16" i="141"/>
  <c r="F10" i="189"/>
  <c r="F14" i="189" s="1"/>
  <c r="G14" i="189" s="1"/>
  <c r="F10" i="190"/>
  <c r="I10" i="190"/>
  <c r="H14" i="190"/>
  <c r="H13" i="189"/>
  <c r="H13" i="190"/>
  <c r="H12" i="190"/>
  <c r="I8" i="190"/>
  <c r="J8" i="190" s="1"/>
  <c r="G8" i="190"/>
  <c r="K8" i="190"/>
  <c r="L8" i="190" s="1"/>
  <c r="I9" i="190"/>
  <c r="K9" i="190"/>
  <c r="G9" i="190"/>
  <c r="F13" i="190"/>
  <c r="G13" i="190" s="1"/>
  <c r="K21" i="190" s="1"/>
  <c r="F12" i="190"/>
  <c r="G12" i="190" s="1"/>
  <c r="K19" i="190" s="1"/>
  <c r="I11" i="170"/>
  <c r="G11" i="170"/>
  <c r="H11" i="170"/>
  <c r="H10" i="170"/>
  <c r="I10" i="170"/>
  <c r="G10" i="170"/>
  <c r="I10" i="189"/>
  <c r="I14" i="189" s="1"/>
  <c r="J14" i="189" s="1"/>
  <c r="G85" i="131"/>
  <c r="F8" i="189"/>
  <c r="J86" i="131"/>
  <c r="F9" i="189"/>
  <c r="F11" i="188"/>
  <c r="X63" i="141"/>
  <c r="Q82" i="141"/>
  <c r="R81" i="141"/>
  <c r="X82" i="141"/>
  <c r="D83" i="136" s="1"/>
  <c r="X36" i="141"/>
  <c r="D37" i="136" s="1"/>
  <c r="X22" i="141"/>
  <c r="D23" i="136" s="1"/>
  <c r="H23" i="136" s="1"/>
  <c r="X8" i="141"/>
  <c r="D9" i="136" s="1"/>
  <c r="H9" i="136" s="1"/>
  <c r="K10" i="170"/>
  <c r="J10" i="170" s="1"/>
  <c r="K11" i="170"/>
  <c r="J11" i="170" s="1"/>
  <c r="J85" i="131"/>
  <c r="F93" i="131"/>
  <c r="L102" i="131"/>
  <c r="L101" i="131"/>
  <c r="K101" i="131"/>
  <c r="G78" i="131"/>
  <c r="G77" i="131"/>
  <c r="G86" i="131"/>
  <c r="M85" i="131"/>
  <c r="M86" i="131"/>
  <c r="F94" i="131"/>
  <c r="X34" i="141"/>
  <c r="AB34" i="141" s="1"/>
  <c r="G88" i="131"/>
  <c r="E94" i="131"/>
  <c r="I46" i="77"/>
  <c r="H45" i="77"/>
  <c r="N45" i="77" s="1"/>
  <c r="H46" i="77"/>
  <c r="H41" i="77"/>
  <c r="N41" i="77" s="1"/>
  <c r="P82" i="131"/>
  <c r="P86" i="131" s="1"/>
  <c r="P13" i="131"/>
  <c r="P14" i="131"/>
  <c r="P71" i="131"/>
  <c r="R75" i="141"/>
  <c r="Q67" i="141"/>
  <c r="Q75" i="141"/>
  <c r="R17" i="141"/>
  <c r="R64" i="141"/>
  <c r="Q14" i="141"/>
  <c r="Q8" i="141"/>
  <c r="J76" i="136"/>
  <c r="J12" i="136"/>
  <c r="E7" i="170"/>
  <c r="R13" i="141"/>
  <c r="X57" i="141"/>
  <c r="AB57" i="141" s="1"/>
  <c r="Q97" i="141"/>
  <c r="R94" i="141"/>
  <c r="Q57" i="141"/>
  <c r="D107" i="164"/>
  <c r="M95" i="131"/>
  <c r="P95" i="131" s="1"/>
  <c r="Q79" i="141"/>
  <c r="R79" i="141"/>
  <c r="Q74" i="141"/>
  <c r="L115" i="131"/>
  <c r="I10" i="160"/>
  <c r="J61" i="136"/>
  <c r="J55" i="136"/>
  <c r="G8" i="160"/>
  <c r="G23" i="160" s="1"/>
  <c r="J73" i="136"/>
  <c r="J97" i="136"/>
  <c r="J15" i="136"/>
  <c r="J45" i="136"/>
  <c r="R14" i="141"/>
  <c r="J84" i="136"/>
  <c r="J63" i="136"/>
  <c r="J39" i="136"/>
  <c r="X93" i="141"/>
  <c r="D94" i="136" s="1"/>
  <c r="R93" i="141"/>
  <c r="O87" i="131"/>
  <c r="F33" i="147"/>
  <c r="F39" i="147" s="1"/>
  <c r="L103" i="135"/>
  <c r="L104" i="135" s="1"/>
  <c r="J19" i="136"/>
  <c r="J99" i="136"/>
  <c r="I99" i="136" s="1"/>
  <c r="J89" i="136"/>
  <c r="J102" i="136"/>
  <c r="J44" i="136"/>
  <c r="J54" i="136"/>
  <c r="J51" i="136"/>
  <c r="Q81" i="141"/>
  <c r="X52" i="141"/>
  <c r="D53" i="136" s="1"/>
  <c r="R52" i="141"/>
  <c r="X32" i="141"/>
  <c r="AB32" i="141" s="1"/>
  <c r="H10" i="160"/>
  <c r="P11" i="131"/>
  <c r="E46" i="77"/>
  <c r="J26" i="136"/>
  <c r="J13" i="136"/>
  <c r="J64" i="136"/>
  <c r="X13" i="141"/>
  <c r="D14" i="136" s="1"/>
  <c r="X101" i="141"/>
  <c r="D102" i="136" s="1"/>
  <c r="H102" i="136" s="1"/>
  <c r="R101" i="141"/>
  <c r="X51" i="141"/>
  <c r="AB51" i="141" s="1"/>
  <c r="R51" i="141"/>
  <c r="X39" i="141"/>
  <c r="AB39" i="141" s="1"/>
  <c r="R39" i="141"/>
  <c r="Q32" i="141"/>
  <c r="Q26" i="141"/>
  <c r="J104" i="139"/>
  <c r="K104" i="139"/>
  <c r="J68" i="136"/>
  <c r="I68" i="136" s="1"/>
  <c r="J28" i="136"/>
  <c r="I28" i="136" s="1"/>
  <c r="J8" i="136"/>
  <c r="J101" i="136"/>
  <c r="J103" i="136"/>
  <c r="J100" i="136"/>
  <c r="J74" i="136"/>
  <c r="J88" i="136"/>
  <c r="J86" i="136"/>
  <c r="J49" i="136"/>
  <c r="J60" i="136"/>
  <c r="J46" i="136"/>
  <c r="J77" i="136"/>
  <c r="J72" i="136"/>
  <c r="J96" i="136"/>
  <c r="J93" i="136"/>
  <c r="J43" i="136"/>
  <c r="J52" i="136"/>
  <c r="J65" i="136"/>
  <c r="J81" i="136"/>
  <c r="J78" i="136"/>
  <c r="J38" i="136"/>
  <c r="J92" i="136"/>
  <c r="J41" i="136"/>
  <c r="J40" i="136"/>
  <c r="J34" i="136"/>
  <c r="J91" i="136"/>
  <c r="J21" i="136"/>
  <c r="J48" i="136"/>
  <c r="J23" i="136"/>
  <c r="J17" i="136"/>
  <c r="J29" i="136"/>
  <c r="J22" i="136"/>
  <c r="J18" i="136"/>
  <c r="J69" i="136"/>
  <c r="J85" i="136"/>
  <c r="I104" i="163"/>
  <c r="F8" i="160"/>
  <c r="F23" i="160" s="1"/>
  <c r="G104" i="163"/>
  <c r="E9" i="170"/>
  <c r="C10" i="170"/>
  <c r="B9" i="170"/>
  <c r="M97" i="131"/>
  <c r="P97" i="131" s="1"/>
  <c r="F7" i="160"/>
  <c r="O90" i="131"/>
  <c r="Q62" i="141"/>
  <c r="X62" i="141"/>
  <c r="D63" i="136" s="1"/>
  <c r="G63" i="136" s="1"/>
  <c r="Q23" i="141"/>
  <c r="X23" i="141"/>
  <c r="AB23" i="141" s="1"/>
  <c r="R65" i="141"/>
  <c r="X65" i="141"/>
  <c r="D66" i="136" s="1"/>
  <c r="R61" i="141"/>
  <c r="X61" i="141"/>
  <c r="D62" i="136" s="1"/>
  <c r="H62" i="136" s="1"/>
  <c r="Q59" i="141"/>
  <c r="Q64" i="131"/>
  <c r="Q48" i="131"/>
  <c r="P12" i="131"/>
  <c r="Q17" i="141"/>
  <c r="X69" i="141"/>
  <c r="AB69" i="141" s="1"/>
  <c r="Q53" i="141"/>
  <c r="R59" i="141"/>
  <c r="C11" i="160"/>
  <c r="D11" i="160" s="1"/>
  <c r="I19" i="160"/>
  <c r="Q16" i="131"/>
  <c r="R99" i="141"/>
  <c r="Q99" i="141"/>
  <c r="R73" i="141"/>
  <c r="X53" i="141"/>
  <c r="D54" i="136" s="1"/>
  <c r="G54" i="136" s="1"/>
  <c r="X64" i="141"/>
  <c r="D65" i="136" s="1"/>
  <c r="H65" i="136" s="1"/>
  <c r="H104" i="163"/>
  <c r="G382" i="160"/>
  <c r="H382" i="160" s="1"/>
  <c r="H380" i="160" s="1"/>
  <c r="L100" i="131"/>
  <c r="R10" i="141"/>
  <c r="R26" i="141"/>
  <c r="E91" i="131"/>
  <c r="M98" i="131"/>
  <c r="H375" i="160"/>
  <c r="R42" i="141"/>
  <c r="Q70" i="141"/>
  <c r="Q102" i="141"/>
  <c r="X70" i="141"/>
  <c r="D71" i="136" s="1"/>
  <c r="X102" i="141"/>
  <c r="AB102" i="141" s="1"/>
  <c r="Q33" i="141"/>
  <c r="R98" i="141"/>
  <c r="F17" i="160"/>
  <c r="H19" i="160"/>
  <c r="C7" i="160"/>
  <c r="F6" i="160"/>
  <c r="F15" i="160"/>
  <c r="Q10" i="141"/>
  <c r="E92" i="131"/>
  <c r="G17" i="160"/>
  <c r="L99" i="131"/>
  <c r="X49" i="141"/>
  <c r="D50" i="136" s="1"/>
  <c r="X73" i="141"/>
  <c r="AA73" i="141" s="1"/>
  <c r="X78" i="141"/>
  <c r="D79" i="136" s="1"/>
  <c r="Q77" i="141"/>
  <c r="Q41" i="141"/>
  <c r="X42" i="141"/>
  <c r="AA42" i="141" s="1"/>
  <c r="Q78" i="141"/>
  <c r="X41" i="141"/>
  <c r="AA41" i="141" s="1"/>
  <c r="R30" i="141"/>
  <c r="AA59" i="141"/>
  <c r="F16" i="160"/>
  <c r="E8" i="170"/>
  <c r="M75" i="131"/>
  <c r="M76" i="131"/>
  <c r="F9" i="170"/>
  <c r="F10" i="188" s="1"/>
  <c r="AA55" i="141"/>
  <c r="AB54" i="141"/>
  <c r="D60" i="136"/>
  <c r="G60" i="136" s="1"/>
  <c r="X33" i="141"/>
  <c r="AA33" i="141" s="1"/>
  <c r="AB10" i="141"/>
  <c r="Q49" i="141"/>
  <c r="X85" i="141"/>
  <c r="D86" i="136" s="1"/>
  <c r="H86" i="136" s="1"/>
  <c r="R85" i="141"/>
  <c r="Q69" i="141"/>
  <c r="X77" i="141"/>
  <c r="D78" i="136" s="1"/>
  <c r="H78" i="136" s="1"/>
  <c r="D46" i="136"/>
  <c r="H46" i="136" s="1"/>
  <c r="AB45" i="141"/>
  <c r="R45" i="141"/>
  <c r="Q45" i="141"/>
  <c r="R37" i="141"/>
  <c r="Q30" i="141"/>
  <c r="X37" i="141"/>
  <c r="AB37" i="141" s="1"/>
  <c r="X28" i="141"/>
  <c r="D29" i="136" s="1"/>
  <c r="G29" i="136" s="1"/>
  <c r="R25" i="141"/>
  <c r="X25" i="141"/>
  <c r="AA25" i="141" s="1"/>
  <c r="R28" i="141"/>
  <c r="Q29" i="141"/>
  <c r="X29" i="141"/>
  <c r="AB29" i="141" s="1"/>
  <c r="R21" i="141"/>
  <c r="X21" i="141"/>
  <c r="AB21" i="141" s="1"/>
  <c r="AA11" i="141"/>
  <c r="AB59" i="141"/>
  <c r="F94" i="136"/>
  <c r="I375" i="160"/>
  <c r="C11" i="170"/>
  <c r="E391" i="160"/>
  <c r="K104" i="135"/>
  <c r="H89" i="131"/>
  <c r="J89" i="131" s="1"/>
  <c r="P89" i="131" s="1"/>
  <c r="D19" i="147"/>
  <c r="D20" i="147" s="1"/>
  <c r="D26" i="147" s="1"/>
  <c r="F11" i="136"/>
  <c r="AA30" i="141"/>
  <c r="F12" i="170"/>
  <c r="H12" i="170" s="1"/>
  <c r="O84" i="131"/>
  <c r="O83" i="131"/>
  <c r="AA54" i="141"/>
  <c r="AA97" i="141"/>
  <c r="X38" i="141"/>
  <c r="D39" i="136" s="1"/>
  <c r="H39" i="136" s="1"/>
  <c r="Q38" i="141"/>
  <c r="X46" i="141"/>
  <c r="D47" i="136" s="1"/>
  <c r="R46" i="141"/>
  <c r="I104" i="139"/>
  <c r="AB98" i="141"/>
  <c r="AA98" i="141"/>
  <c r="AB16" i="141"/>
  <c r="G68" i="136"/>
  <c r="AB18" i="141"/>
  <c r="AB75" i="141"/>
  <c r="H103" i="141"/>
  <c r="G103" i="141"/>
  <c r="D55" i="136"/>
  <c r="H55" i="136" s="1"/>
  <c r="M103" i="135"/>
  <c r="G11" i="160"/>
  <c r="I11" i="160" s="1"/>
  <c r="G20" i="160"/>
  <c r="W103" i="141"/>
  <c r="L103" i="141"/>
  <c r="AA31" i="141"/>
  <c r="D9" i="170"/>
  <c r="C10" i="177" s="1"/>
  <c r="D10" i="177" s="1"/>
  <c r="Z103" i="141"/>
  <c r="C391" i="160"/>
  <c r="E9" i="136"/>
  <c r="AA19" i="141"/>
  <c r="D20" i="136"/>
  <c r="F24" i="136"/>
  <c r="J24" i="136" s="1"/>
  <c r="F16" i="136"/>
  <c r="AB15" i="141"/>
  <c r="D19" i="136"/>
  <c r="G19" i="136" s="1"/>
  <c r="AA18" i="141"/>
  <c r="F20" i="136"/>
  <c r="J20" i="136" s="1"/>
  <c r="AB19" i="141"/>
  <c r="D21" i="136"/>
  <c r="G21" i="136" s="1"/>
  <c r="AA20" i="141"/>
  <c r="F31" i="136"/>
  <c r="J31" i="136" s="1"/>
  <c r="I31" i="136" s="1"/>
  <c r="AB30" i="141"/>
  <c r="AA35" i="141"/>
  <c r="D36" i="136"/>
  <c r="F42" i="136"/>
  <c r="J42" i="136" s="1"/>
  <c r="F56" i="136"/>
  <c r="J56" i="136" s="1"/>
  <c r="I56" i="136" s="1"/>
  <c r="AB55" i="141"/>
  <c r="F57" i="136"/>
  <c r="AB56" i="141"/>
  <c r="E59" i="136"/>
  <c r="AA58" i="141"/>
  <c r="F59" i="136"/>
  <c r="AB58" i="141"/>
  <c r="F66" i="136"/>
  <c r="J66" i="136" s="1"/>
  <c r="F67" i="136"/>
  <c r="J67" i="136" s="1"/>
  <c r="AB66" i="141"/>
  <c r="F70" i="136"/>
  <c r="J70" i="136" s="1"/>
  <c r="AA75" i="141"/>
  <c r="D76" i="136"/>
  <c r="H76" i="136" s="1"/>
  <c r="D87" i="136"/>
  <c r="AA86" i="141"/>
  <c r="F90" i="136"/>
  <c r="AB89" i="141"/>
  <c r="D95" i="136"/>
  <c r="AA94" i="141"/>
  <c r="AB99" i="141"/>
  <c r="D100" i="136"/>
  <c r="AA99" i="141"/>
  <c r="I83" i="160"/>
  <c r="V103" i="141"/>
  <c r="M103" i="141"/>
  <c r="AA10" i="141"/>
  <c r="AA26" i="141"/>
  <c r="F35" i="136"/>
  <c r="J35" i="136" s="1"/>
  <c r="D67" i="136"/>
  <c r="AA66" i="141"/>
  <c r="D82" i="136"/>
  <c r="AA81" i="141"/>
  <c r="F10" i="136"/>
  <c r="AB9" i="141"/>
  <c r="AB11" i="141"/>
  <c r="D12" i="136"/>
  <c r="AA16" i="141"/>
  <c r="D17" i="136"/>
  <c r="D25" i="136"/>
  <c r="AA24" i="141"/>
  <c r="F37" i="136"/>
  <c r="AB36" i="141"/>
  <c r="F47" i="136"/>
  <c r="J47" i="136" s="1"/>
  <c r="F53" i="136"/>
  <c r="J53" i="136" s="1"/>
  <c r="F58" i="136"/>
  <c r="J58" i="136" s="1"/>
  <c r="E62" i="136"/>
  <c r="F79" i="136"/>
  <c r="J79" i="136" s="1"/>
  <c r="F80" i="136"/>
  <c r="J80" i="136" s="1"/>
  <c r="AB79" i="141"/>
  <c r="Y103" i="141"/>
  <c r="I80" i="160"/>
  <c r="I79" i="160"/>
  <c r="I379" i="160"/>
  <c r="AA36" i="141"/>
  <c r="AB20" i="141"/>
  <c r="AA45" i="141"/>
  <c r="AA15" i="141"/>
  <c r="AB67" i="141"/>
  <c r="AA67" i="141"/>
  <c r="F87" i="136"/>
  <c r="J87" i="136" s="1"/>
  <c r="AB86" i="141"/>
  <c r="D91" i="136"/>
  <c r="AA90" i="141"/>
  <c r="F95" i="136"/>
  <c r="J95" i="136" s="1"/>
  <c r="AB94" i="141"/>
  <c r="E10" i="136"/>
  <c r="AA9" i="141"/>
  <c r="F14" i="136"/>
  <c r="J14" i="136" s="1"/>
  <c r="D18" i="136"/>
  <c r="G18" i="136" s="1"/>
  <c r="AA17" i="141"/>
  <c r="AB24" i="141"/>
  <c r="F25" i="136"/>
  <c r="J25" i="136" s="1"/>
  <c r="AB26" i="141"/>
  <c r="F27" i="136"/>
  <c r="J27" i="136" s="1"/>
  <c r="I27" i="136" s="1"/>
  <c r="AB27" i="141"/>
  <c r="AA27" i="141"/>
  <c r="F30" i="136"/>
  <c r="J30" i="136" s="1"/>
  <c r="F32" i="136"/>
  <c r="J32" i="136" s="1"/>
  <c r="I32" i="136" s="1"/>
  <c r="AB31" i="141"/>
  <c r="F33" i="136"/>
  <c r="J33" i="136" s="1"/>
  <c r="F36" i="136"/>
  <c r="J36" i="136" s="1"/>
  <c r="AB35" i="141"/>
  <c r="F50" i="136"/>
  <c r="J50" i="136" s="1"/>
  <c r="F71" i="136"/>
  <c r="J71" i="136" s="1"/>
  <c r="D75" i="136"/>
  <c r="AA74" i="141"/>
  <c r="F75" i="136"/>
  <c r="J75" i="136" s="1"/>
  <c r="AB74" i="141"/>
  <c r="F82" i="136"/>
  <c r="J82" i="136" s="1"/>
  <c r="AB81" i="141"/>
  <c r="F83" i="136"/>
  <c r="J83" i="136" s="1"/>
  <c r="F98" i="136"/>
  <c r="AB97" i="141"/>
  <c r="D80" i="136"/>
  <c r="AA79" i="141"/>
  <c r="AA56" i="141"/>
  <c r="AB90" i="141"/>
  <c r="AB17" i="141"/>
  <c r="H31" i="170"/>
  <c r="H30" i="170" s="1"/>
  <c r="H35" i="170" s="1"/>
  <c r="D101" i="136"/>
  <c r="AB100" i="141"/>
  <c r="AA100" i="141"/>
  <c r="D15" i="136"/>
  <c r="I15" i="136" s="1"/>
  <c r="AA14" i="141"/>
  <c r="Q12" i="141"/>
  <c r="R12" i="141"/>
  <c r="X12" i="141"/>
  <c r="Q68" i="141"/>
  <c r="X68" i="141"/>
  <c r="R68" i="141"/>
  <c r="Q80" i="141"/>
  <c r="X80" i="141"/>
  <c r="J104" i="135"/>
  <c r="H68" i="136"/>
  <c r="B7" i="170"/>
  <c r="D87" i="131"/>
  <c r="D93" i="136"/>
  <c r="AA92" i="141"/>
  <c r="Q40" i="141"/>
  <c r="R40" i="141"/>
  <c r="X40" i="141"/>
  <c r="Q92" i="141"/>
  <c r="R92" i="141"/>
  <c r="H82" i="160"/>
  <c r="H80" i="160" s="1"/>
  <c r="H79" i="160" s="1"/>
  <c r="H83" i="160" s="1"/>
  <c r="I82" i="160"/>
  <c r="E90" i="136"/>
  <c r="AA89" i="141"/>
  <c r="Q43" i="141"/>
  <c r="R43" i="141"/>
  <c r="X43" i="141"/>
  <c r="H99" i="136"/>
  <c r="G99" i="136"/>
  <c r="AB92" i="141"/>
  <c r="AB14" i="141"/>
  <c r="E6" i="160"/>
  <c r="C15" i="160"/>
  <c r="E15" i="160" s="1"/>
  <c r="Q60" i="141"/>
  <c r="R60" i="141"/>
  <c r="X60" i="141"/>
  <c r="X72" i="141"/>
  <c r="R72" i="141"/>
  <c r="Q72" i="141"/>
  <c r="Q76" i="141"/>
  <c r="R76" i="141"/>
  <c r="X76" i="141"/>
  <c r="Q84" i="141"/>
  <c r="X84" i="141"/>
  <c r="R84" i="141"/>
  <c r="X96" i="141"/>
  <c r="Q96" i="141"/>
  <c r="R96" i="141"/>
  <c r="R71" i="141"/>
  <c r="Q71" i="141"/>
  <c r="X71" i="141"/>
  <c r="X87" i="141"/>
  <c r="Q87" i="141"/>
  <c r="R87" i="141"/>
  <c r="Q95" i="141"/>
  <c r="R95" i="141"/>
  <c r="X95" i="141"/>
  <c r="N91" i="131"/>
  <c r="N92" i="131"/>
  <c r="F383" i="160"/>
  <c r="Q40" i="131"/>
  <c r="R44" i="141"/>
  <c r="X44" i="141"/>
  <c r="Q44" i="141"/>
  <c r="Q48" i="141"/>
  <c r="X48" i="141"/>
  <c r="R48" i="141"/>
  <c r="X88" i="141"/>
  <c r="R88" i="141"/>
  <c r="Q88" i="141"/>
  <c r="R7" i="141"/>
  <c r="Q7" i="141"/>
  <c r="N103" i="141"/>
  <c r="R103" i="141" s="1"/>
  <c r="X7" i="141"/>
  <c r="Q47" i="141"/>
  <c r="X47" i="141"/>
  <c r="R47" i="141"/>
  <c r="Q83" i="141"/>
  <c r="R83" i="141"/>
  <c r="X83" i="141"/>
  <c r="R91" i="141"/>
  <c r="X91" i="141"/>
  <c r="Q91" i="141"/>
  <c r="F380" i="160"/>
  <c r="P73" i="131"/>
  <c r="I90" i="131"/>
  <c r="I93" i="131" s="1"/>
  <c r="K96" i="131"/>
  <c r="K102" i="131" s="1"/>
  <c r="K83" i="131"/>
  <c r="E9" i="160"/>
  <c r="C18" i="160"/>
  <c r="K84" i="131"/>
  <c r="F91" i="131"/>
  <c r="H90" i="131"/>
  <c r="H93" i="131" s="1"/>
  <c r="D91" i="131"/>
  <c r="G90" i="131"/>
  <c r="D92" i="131"/>
  <c r="F7" i="170"/>
  <c r="G15" i="160"/>
  <c r="G6" i="160"/>
  <c r="G84" i="131"/>
  <c r="G83" i="131"/>
  <c r="G28" i="136"/>
  <c r="H28" i="136"/>
  <c r="AB63" i="141"/>
  <c r="D64" i="136"/>
  <c r="AA63" i="141"/>
  <c r="D51" i="136"/>
  <c r="AA50" i="141"/>
  <c r="AB50" i="141"/>
  <c r="K10" i="189" l="1"/>
  <c r="L10" i="189" s="1"/>
  <c r="G10" i="189"/>
  <c r="F14" i="190"/>
  <c r="G14" i="190" s="1"/>
  <c r="K23" i="190" s="1"/>
  <c r="K10" i="190"/>
  <c r="G10" i="190"/>
  <c r="I14" i="190"/>
  <c r="J14" i="190" s="1"/>
  <c r="L23" i="190" s="1"/>
  <c r="J10" i="190"/>
  <c r="L9" i="190"/>
  <c r="K13" i="190"/>
  <c r="L13" i="190" s="1"/>
  <c r="K12" i="190"/>
  <c r="L12" i="190" s="1"/>
  <c r="J9" i="190"/>
  <c r="I13" i="190"/>
  <c r="J13" i="190" s="1"/>
  <c r="L21" i="190" s="1"/>
  <c r="I12" i="190"/>
  <c r="J12" i="190" s="1"/>
  <c r="L19" i="190" s="1"/>
  <c r="J10" i="189"/>
  <c r="K14" i="189"/>
  <c r="L14" i="189" s="1"/>
  <c r="F14" i="188"/>
  <c r="G14" i="188" s="1"/>
  <c r="J10" i="188"/>
  <c r="G10" i="188"/>
  <c r="H10" i="188"/>
  <c r="H14" i="188" s="1"/>
  <c r="I14" i="188" s="1"/>
  <c r="E13" i="170"/>
  <c r="I8" i="189"/>
  <c r="J8" i="189" s="1"/>
  <c r="K8" i="189"/>
  <c r="L8" i="189" s="1"/>
  <c r="G8" i="189"/>
  <c r="H8" i="188"/>
  <c r="I8" i="188" s="1"/>
  <c r="H7" i="170"/>
  <c r="G7" i="170"/>
  <c r="F8" i="188"/>
  <c r="I9" i="189"/>
  <c r="K9" i="189"/>
  <c r="G9" i="189"/>
  <c r="F12" i="189"/>
  <c r="G12" i="189" s="1"/>
  <c r="F13" i="189"/>
  <c r="G13" i="189" s="1"/>
  <c r="I12" i="170"/>
  <c r="G12" i="170"/>
  <c r="H11" i="188"/>
  <c r="I11" i="188" s="1"/>
  <c r="G11" i="188"/>
  <c r="J11" i="188"/>
  <c r="AB22" i="141"/>
  <c r="G23" i="136"/>
  <c r="AA22" i="141"/>
  <c r="I23" i="136"/>
  <c r="AB8" i="141"/>
  <c r="AA8" i="141"/>
  <c r="G9" i="136"/>
  <c r="AB82" i="141"/>
  <c r="AA82" i="141"/>
  <c r="N46" i="77"/>
  <c r="K9" i="170"/>
  <c r="J9" i="170" s="1"/>
  <c r="P85" i="131"/>
  <c r="AA34" i="141"/>
  <c r="O93" i="131"/>
  <c r="O94" i="131"/>
  <c r="G94" i="131"/>
  <c r="P98" i="131"/>
  <c r="M101" i="131"/>
  <c r="D35" i="136"/>
  <c r="I35" i="136" s="1"/>
  <c r="G102" i="136"/>
  <c r="G87" i="131"/>
  <c r="D93" i="131"/>
  <c r="H44" i="77"/>
  <c r="N44" i="77" s="1"/>
  <c r="G46" i="77"/>
  <c r="L40" i="77"/>
  <c r="K7" i="170"/>
  <c r="J7" i="170" s="1"/>
  <c r="E8" i="177"/>
  <c r="I7" i="170"/>
  <c r="E10" i="177"/>
  <c r="I9" i="170"/>
  <c r="K12" i="170"/>
  <c r="J12" i="170" s="1"/>
  <c r="E14" i="170"/>
  <c r="AB93" i="141"/>
  <c r="I12" i="136"/>
  <c r="D58" i="136"/>
  <c r="I58" i="136" s="1"/>
  <c r="E11" i="177"/>
  <c r="F11" i="177" s="1"/>
  <c r="H9" i="170"/>
  <c r="G9" i="170"/>
  <c r="AA13" i="141"/>
  <c r="D33" i="136"/>
  <c r="I33" i="136" s="1"/>
  <c r="AA51" i="141"/>
  <c r="AA32" i="141"/>
  <c r="AA57" i="141"/>
  <c r="AA93" i="141"/>
  <c r="AA52" i="141"/>
  <c r="AB52" i="141"/>
  <c r="I50" i="136"/>
  <c r="I102" i="136"/>
  <c r="AB13" i="141"/>
  <c r="I64" i="136"/>
  <c r="I66" i="136"/>
  <c r="I71" i="136"/>
  <c r="I101" i="136"/>
  <c r="I51" i="136"/>
  <c r="AA62" i="141"/>
  <c r="B15" i="170"/>
  <c r="I75" i="136"/>
  <c r="I93" i="136"/>
  <c r="I100" i="136"/>
  <c r="AB33" i="141"/>
  <c r="AA23" i="141"/>
  <c r="I36" i="136"/>
  <c r="I47" i="136"/>
  <c r="I20" i="136"/>
  <c r="D52" i="136"/>
  <c r="G52" i="136" s="1"/>
  <c r="I79" i="136"/>
  <c r="AA61" i="141"/>
  <c r="AB61" i="141"/>
  <c r="G62" i="136"/>
  <c r="H63" i="136"/>
  <c r="AB101" i="141"/>
  <c r="AA101" i="141"/>
  <c r="I95" i="136"/>
  <c r="I87" i="136"/>
  <c r="I67" i="136"/>
  <c r="AA39" i="141"/>
  <c r="D40" i="136"/>
  <c r="I40" i="136" s="1"/>
  <c r="D24" i="136"/>
  <c r="I24" i="136" s="1"/>
  <c r="I25" i="136"/>
  <c r="I83" i="136"/>
  <c r="I63" i="136"/>
  <c r="I91" i="136"/>
  <c r="I14" i="136"/>
  <c r="I17" i="136"/>
  <c r="J9" i="136"/>
  <c r="I9" i="136" s="1"/>
  <c r="J62" i="136"/>
  <c r="I62" i="136" s="1"/>
  <c r="I18" i="136"/>
  <c r="I21" i="136"/>
  <c r="I39" i="136"/>
  <c r="I54" i="136"/>
  <c r="I46" i="136"/>
  <c r="I60" i="136"/>
  <c r="I78" i="136"/>
  <c r="I82" i="136"/>
  <c r="I80" i="136"/>
  <c r="I86" i="136"/>
  <c r="I19" i="136"/>
  <c r="I53" i="136"/>
  <c r="I29" i="136"/>
  <c r="I55" i="136"/>
  <c r="I65" i="136"/>
  <c r="I76" i="136"/>
  <c r="H16" i="136"/>
  <c r="J16" i="136"/>
  <c r="I16" i="136" s="1"/>
  <c r="H94" i="136"/>
  <c r="J94" i="136"/>
  <c r="I94" i="136" s="1"/>
  <c r="H10" i="136"/>
  <c r="J10" i="136"/>
  <c r="I10" i="136" s="1"/>
  <c r="H59" i="136"/>
  <c r="J59" i="136"/>
  <c r="I59" i="136" s="1"/>
  <c r="H98" i="136"/>
  <c r="J98" i="136"/>
  <c r="I98" i="136" s="1"/>
  <c r="H90" i="136"/>
  <c r="J90" i="136"/>
  <c r="I90" i="136" s="1"/>
  <c r="H37" i="136"/>
  <c r="J37" i="136"/>
  <c r="I37" i="136" s="1"/>
  <c r="H57" i="136"/>
  <c r="J57" i="136"/>
  <c r="I57" i="136" s="1"/>
  <c r="H11" i="136"/>
  <c r="J11" i="136"/>
  <c r="I11" i="136" s="1"/>
  <c r="F12" i="160"/>
  <c r="F22" i="160" s="1"/>
  <c r="E15" i="170"/>
  <c r="C9" i="170"/>
  <c r="C15" i="170" s="1"/>
  <c r="C12" i="170"/>
  <c r="M42" i="77"/>
  <c r="O92" i="131"/>
  <c r="O91" i="131"/>
  <c r="D15" i="170"/>
  <c r="F15" i="170"/>
  <c r="N39" i="77"/>
  <c r="AB65" i="141"/>
  <c r="AA65" i="141"/>
  <c r="AA64" i="141"/>
  <c r="AB64" i="141"/>
  <c r="AB62" i="141"/>
  <c r="AA69" i="141"/>
  <c r="D70" i="136"/>
  <c r="I70" i="136" s="1"/>
  <c r="D34" i="136"/>
  <c r="AA53" i="141"/>
  <c r="AB53" i="141"/>
  <c r="AA49" i="141"/>
  <c r="D38" i="136"/>
  <c r="H38" i="136" s="1"/>
  <c r="D103" i="136"/>
  <c r="G103" i="136" s="1"/>
  <c r="AB78" i="141"/>
  <c r="D26" i="136"/>
  <c r="AA102" i="141"/>
  <c r="AB49" i="141"/>
  <c r="D42" i="136"/>
  <c r="G42" i="136" s="1"/>
  <c r="AB41" i="141"/>
  <c r="AB70" i="141"/>
  <c r="AA70" i="141"/>
  <c r="G380" i="160"/>
  <c r="G378" i="160" s="1"/>
  <c r="I382" i="160"/>
  <c r="G46" i="136"/>
  <c r="AB85" i="141"/>
  <c r="K46" i="77"/>
  <c r="H71" i="136"/>
  <c r="AA78" i="141"/>
  <c r="G86" i="136"/>
  <c r="D74" i="136"/>
  <c r="F21" i="160"/>
  <c r="H29" i="136"/>
  <c r="D43" i="136"/>
  <c r="AB42" i="141"/>
  <c r="AB73" i="141"/>
  <c r="G55" i="136"/>
  <c r="AB25" i="141"/>
  <c r="AA77" i="141"/>
  <c r="AA29" i="141"/>
  <c r="H60" i="136"/>
  <c r="M104" i="135"/>
  <c r="G391" i="160"/>
  <c r="G67" i="136"/>
  <c r="AA37" i="141"/>
  <c r="G11" i="136"/>
  <c r="D22" i="136"/>
  <c r="G65" i="136"/>
  <c r="AA85" i="141"/>
  <c r="G78" i="136"/>
  <c r="AB77" i="141"/>
  <c r="AB28" i="141"/>
  <c r="AA28" i="141"/>
  <c r="D30" i="136"/>
  <c r="H30" i="136" s="1"/>
  <c r="H21" i="136"/>
  <c r="AA21" i="141"/>
  <c r="G94" i="136"/>
  <c r="G90" i="136"/>
  <c r="D44" i="147"/>
  <c r="H391" i="160"/>
  <c r="AA38" i="141"/>
  <c r="G76" i="136"/>
  <c r="F391" i="160"/>
  <c r="AB38" i="141"/>
  <c r="G39" i="136"/>
  <c r="G16" i="136"/>
  <c r="H53" i="136"/>
  <c r="H11" i="160"/>
  <c r="H36" i="136"/>
  <c r="H15" i="160"/>
  <c r="F378" i="160"/>
  <c r="F384" i="160" s="1"/>
  <c r="AA46" i="141"/>
  <c r="H47" i="136"/>
  <c r="AB46" i="141"/>
  <c r="H25" i="136"/>
  <c r="H83" i="136"/>
  <c r="G75" i="136"/>
  <c r="G50" i="136"/>
  <c r="G47" i="136"/>
  <c r="H82" i="136"/>
  <c r="H14" i="136"/>
  <c r="H20" i="136"/>
  <c r="H66" i="136"/>
  <c r="I20" i="160"/>
  <c r="H20" i="160"/>
  <c r="Q103" i="141"/>
  <c r="X103" i="141"/>
  <c r="AB103" i="141" s="1"/>
  <c r="H80" i="136"/>
  <c r="G95" i="136"/>
  <c r="G87" i="136"/>
  <c r="H32" i="136"/>
  <c r="G32" i="136"/>
  <c r="H91" i="136"/>
  <c r="G91" i="136"/>
  <c r="H17" i="136"/>
  <c r="G17" i="136"/>
  <c r="G98" i="136"/>
  <c r="E104" i="136"/>
  <c r="G10" i="136"/>
  <c r="H18" i="136"/>
  <c r="H19" i="136"/>
  <c r="G20" i="136"/>
  <c r="G71" i="136"/>
  <c r="H27" i="136"/>
  <c r="G27" i="136"/>
  <c r="H79" i="136"/>
  <c r="G79" i="136"/>
  <c r="H56" i="136"/>
  <c r="G56" i="136"/>
  <c r="H31" i="136"/>
  <c r="G31" i="136"/>
  <c r="F104" i="136"/>
  <c r="G80" i="136"/>
  <c r="H75" i="136"/>
  <c r="H50" i="136"/>
  <c r="G14" i="136"/>
  <c r="G82" i="136"/>
  <c r="G57" i="136"/>
  <c r="H67" i="136"/>
  <c r="G66" i="136"/>
  <c r="G59" i="136"/>
  <c r="G53" i="136"/>
  <c r="G12" i="136"/>
  <c r="H12" i="136"/>
  <c r="H100" i="136"/>
  <c r="G100" i="136"/>
  <c r="G25" i="136"/>
  <c r="G37" i="136"/>
  <c r="G83" i="136"/>
  <c r="H95" i="136"/>
  <c r="H87" i="136"/>
  <c r="H54" i="136"/>
  <c r="G36" i="136"/>
  <c r="AA91" i="141"/>
  <c r="AB91" i="141"/>
  <c r="D92" i="136"/>
  <c r="I92" i="136" s="1"/>
  <c r="Q41" i="131"/>
  <c r="Q49" i="131" s="1"/>
  <c r="AB95" i="141"/>
  <c r="D96" i="136"/>
  <c r="I96" i="136" s="1"/>
  <c r="AA95" i="141"/>
  <c r="D44" i="136"/>
  <c r="I44" i="136" s="1"/>
  <c r="AA43" i="141"/>
  <c r="AB43" i="141"/>
  <c r="D8" i="136"/>
  <c r="I8" i="136" s="1"/>
  <c r="AB7" i="141"/>
  <c r="AA7" i="141"/>
  <c r="AB48" i="141"/>
  <c r="D49" i="136"/>
  <c r="I49" i="136" s="1"/>
  <c r="AA48" i="141"/>
  <c r="D85" i="136"/>
  <c r="I85" i="136" s="1"/>
  <c r="AB84" i="141"/>
  <c r="AA84" i="141"/>
  <c r="AB60" i="141"/>
  <c r="AA60" i="141"/>
  <c r="D61" i="136"/>
  <c r="I61" i="136" s="1"/>
  <c r="D13" i="136"/>
  <c r="I13" i="136" s="1"/>
  <c r="AA12" i="141"/>
  <c r="AB12" i="141"/>
  <c r="G15" i="136"/>
  <c r="H15" i="136"/>
  <c r="AA83" i="141"/>
  <c r="D84" i="136"/>
  <c r="I84" i="136" s="1"/>
  <c r="AB83" i="141"/>
  <c r="AA47" i="141"/>
  <c r="AB47" i="141"/>
  <c r="D48" i="136"/>
  <c r="I48" i="136" s="1"/>
  <c r="AA44" i="141"/>
  <c r="AB44" i="141"/>
  <c r="D45" i="136"/>
  <c r="I45" i="136" s="1"/>
  <c r="H383" i="160"/>
  <c r="H378" i="160" s="1"/>
  <c r="H384" i="160" s="1"/>
  <c r="I383" i="160"/>
  <c r="D72" i="136"/>
  <c r="I72" i="136" s="1"/>
  <c r="AA71" i="141"/>
  <c r="AB71" i="141"/>
  <c r="AA72" i="141"/>
  <c r="D73" i="136"/>
  <c r="I73" i="136" s="1"/>
  <c r="AB72" i="141"/>
  <c r="C6" i="160"/>
  <c r="D81" i="136"/>
  <c r="I81" i="136" s="1"/>
  <c r="AB80" i="141"/>
  <c r="AA80" i="141"/>
  <c r="G101" i="136"/>
  <c r="H101" i="136"/>
  <c r="D89" i="136"/>
  <c r="I89" i="136" s="1"/>
  <c r="AA88" i="141"/>
  <c r="AB88" i="141"/>
  <c r="D88" i="136"/>
  <c r="I88" i="136" s="1"/>
  <c r="AB87" i="141"/>
  <c r="AA87" i="141"/>
  <c r="AB96" i="141"/>
  <c r="D97" i="136"/>
  <c r="I97" i="136" s="1"/>
  <c r="AA96" i="141"/>
  <c r="AB76" i="141"/>
  <c r="D77" i="136"/>
  <c r="I77" i="136" s="1"/>
  <c r="AA76" i="141"/>
  <c r="D41" i="136"/>
  <c r="I41" i="136" s="1"/>
  <c r="AB40" i="141"/>
  <c r="AA40" i="141"/>
  <c r="H93" i="136"/>
  <c r="G93" i="136"/>
  <c r="AB68" i="141"/>
  <c r="D69" i="136"/>
  <c r="I69" i="136" s="1"/>
  <c r="AA68" i="141"/>
  <c r="K99" i="131"/>
  <c r="K115" i="131"/>
  <c r="K100" i="131"/>
  <c r="M96" i="131"/>
  <c r="M102" i="131" s="1"/>
  <c r="E18" i="160"/>
  <c r="C17" i="160"/>
  <c r="M83" i="131"/>
  <c r="M84" i="131"/>
  <c r="E8" i="160"/>
  <c r="H9" i="160"/>
  <c r="H8" i="160" s="1"/>
  <c r="H23" i="160" s="1"/>
  <c r="D9" i="160"/>
  <c r="D8" i="160" s="1"/>
  <c r="J90" i="131"/>
  <c r="G7" i="160"/>
  <c r="G12" i="160" s="1"/>
  <c r="F8" i="170"/>
  <c r="F13" i="170" s="1"/>
  <c r="G16" i="160"/>
  <c r="G21" i="160" s="1"/>
  <c r="I6" i="160"/>
  <c r="H6" i="160"/>
  <c r="G92" i="131"/>
  <c r="G91" i="131"/>
  <c r="I15" i="160"/>
  <c r="H64" i="136"/>
  <c r="G64" i="136"/>
  <c r="G51" i="136"/>
  <c r="H51" i="136"/>
  <c r="L10" i="190" l="1"/>
  <c r="K14" i="190"/>
  <c r="L14" i="190" s="1"/>
  <c r="I15" i="170"/>
  <c r="G15" i="170"/>
  <c r="H15" i="170"/>
  <c r="K10" i="188"/>
  <c r="J14" i="188"/>
  <c r="K14" i="188" s="1"/>
  <c r="I10" i="188"/>
  <c r="J8" i="188"/>
  <c r="K8" i="188" s="1"/>
  <c r="G8" i="188"/>
  <c r="L9" i="189"/>
  <c r="K12" i="189"/>
  <c r="L12" i="189" s="1"/>
  <c r="K13" i="189"/>
  <c r="L13" i="189" s="1"/>
  <c r="H9" i="188"/>
  <c r="H8" i="170"/>
  <c r="H13" i="170" s="1"/>
  <c r="F9" i="188"/>
  <c r="G8" i="170"/>
  <c r="G13" i="170" s="1"/>
  <c r="J9" i="189"/>
  <c r="I13" i="189"/>
  <c r="J13" i="189" s="1"/>
  <c r="I12" i="189"/>
  <c r="J12" i="189" s="1"/>
  <c r="K11" i="188"/>
  <c r="H35" i="136"/>
  <c r="G35" i="136"/>
  <c r="G33" i="136"/>
  <c r="H33" i="136"/>
  <c r="P101" i="131"/>
  <c r="P90" i="131"/>
  <c r="J93" i="131"/>
  <c r="H58" i="136"/>
  <c r="G58" i="136"/>
  <c r="P87" i="131"/>
  <c r="G93" i="131"/>
  <c r="J46" i="77"/>
  <c r="M46" i="77" s="1"/>
  <c r="L46" i="77"/>
  <c r="E9" i="177"/>
  <c r="I8" i="170"/>
  <c r="K15" i="170"/>
  <c r="J15" i="170" s="1"/>
  <c r="K8" i="170"/>
  <c r="J8" i="170" s="1"/>
  <c r="J20" i="170"/>
  <c r="H40" i="136"/>
  <c r="G40" i="136"/>
  <c r="F8" i="177"/>
  <c r="J43" i="77"/>
  <c r="J41" i="77"/>
  <c r="H52" i="136"/>
  <c r="H24" i="136"/>
  <c r="G24" i="136"/>
  <c r="G70" i="136"/>
  <c r="H70" i="136"/>
  <c r="I52" i="136"/>
  <c r="I103" i="136"/>
  <c r="I42" i="136"/>
  <c r="J104" i="136"/>
  <c r="G43" i="136"/>
  <c r="I43" i="136"/>
  <c r="H34" i="136"/>
  <c r="I34" i="136"/>
  <c r="G38" i="136"/>
  <c r="I38" i="136"/>
  <c r="H22" i="136"/>
  <c r="I22" i="136"/>
  <c r="G74" i="136"/>
  <c r="I74" i="136"/>
  <c r="I30" i="136"/>
  <c r="H26" i="136"/>
  <c r="I26" i="136"/>
  <c r="F10" i="177"/>
  <c r="C7" i="170"/>
  <c r="F14" i="170"/>
  <c r="G26" i="136"/>
  <c r="G34" i="136"/>
  <c r="H42" i="136"/>
  <c r="H103" i="136"/>
  <c r="G30" i="136"/>
  <c r="I380" i="160"/>
  <c r="H74" i="136"/>
  <c r="H43" i="136"/>
  <c r="G22" i="136"/>
  <c r="P74" i="131"/>
  <c r="P77" i="131" s="1"/>
  <c r="AA103" i="141"/>
  <c r="H73" i="136"/>
  <c r="G73" i="136"/>
  <c r="H72" i="136"/>
  <c r="G72" i="136"/>
  <c r="G61" i="136"/>
  <c r="H61" i="136"/>
  <c r="G44" i="136"/>
  <c r="H44" i="136"/>
  <c r="G92" i="136"/>
  <c r="H92" i="136"/>
  <c r="G69" i="136"/>
  <c r="H69" i="136"/>
  <c r="H77" i="136"/>
  <c r="G77" i="136"/>
  <c r="H81" i="136"/>
  <c r="G81" i="136"/>
  <c r="B14" i="170"/>
  <c r="B13" i="170"/>
  <c r="G45" i="136"/>
  <c r="H45" i="136"/>
  <c r="H13" i="136"/>
  <c r="G13" i="136"/>
  <c r="G97" i="136"/>
  <c r="H97" i="136"/>
  <c r="G88" i="136"/>
  <c r="H88" i="136"/>
  <c r="D6" i="160"/>
  <c r="C12" i="160"/>
  <c r="C22" i="160" s="1"/>
  <c r="H48" i="136"/>
  <c r="G48" i="136"/>
  <c r="G84" i="136"/>
  <c r="H84" i="136"/>
  <c r="G96" i="136"/>
  <c r="H96" i="136"/>
  <c r="D104" i="136"/>
  <c r="G41" i="136"/>
  <c r="H41" i="136"/>
  <c r="H89" i="136"/>
  <c r="G89" i="136"/>
  <c r="I378" i="160"/>
  <c r="G384" i="160"/>
  <c r="I384" i="160" s="1"/>
  <c r="H85" i="136"/>
  <c r="G85" i="136"/>
  <c r="G49" i="136"/>
  <c r="H49" i="136"/>
  <c r="H8" i="136"/>
  <c r="G8" i="136"/>
  <c r="D23" i="160"/>
  <c r="H18" i="160"/>
  <c r="H17" i="160" s="1"/>
  <c r="E17" i="160"/>
  <c r="I18" i="160"/>
  <c r="M100" i="131"/>
  <c r="P96" i="131"/>
  <c r="P102" i="131" s="1"/>
  <c r="M115" i="131"/>
  <c r="M99" i="131"/>
  <c r="E23" i="160"/>
  <c r="I23" i="160" s="1"/>
  <c r="I28" i="160" s="1"/>
  <c r="I8" i="160"/>
  <c r="C40" i="160"/>
  <c r="E19" i="147"/>
  <c r="E44" i="147" s="1"/>
  <c r="E45" i="147" s="1"/>
  <c r="I13" i="170"/>
  <c r="G22" i="160"/>
  <c r="I9" i="188" l="1"/>
  <c r="H13" i="188"/>
  <c r="I13" i="188" s="1"/>
  <c r="H12" i="188"/>
  <c r="I12" i="188" s="1"/>
  <c r="J9" i="188"/>
  <c r="G9" i="188"/>
  <c r="F12" i="188"/>
  <c r="G12" i="188" s="1"/>
  <c r="F13" i="188"/>
  <c r="G13" i="188" s="1"/>
  <c r="K14" i="170"/>
  <c r="J14" i="170" s="1"/>
  <c r="G14" i="170"/>
  <c r="H14" i="170"/>
  <c r="P93" i="131"/>
  <c r="L39" i="77"/>
  <c r="M39" i="77"/>
  <c r="M40" i="77"/>
  <c r="K13" i="170"/>
  <c r="J13" i="170" s="1"/>
  <c r="I14" i="170"/>
  <c r="J45" i="77"/>
  <c r="H104" i="136"/>
  <c r="I104" i="136"/>
  <c r="E12" i="177"/>
  <c r="G104" i="136"/>
  <c r="E40" i="160"/>
  <c r="H40" i="160"/>
  <c r="G40" i="160"/>
  <c r="F40" i="160"/>
  <c r="P99" i="131"/>
  <c r="P100" i="131"/>
  <c r="I17" i="160"/>
  <c r="E20" i="147"/>
  <c r="E26" i="147" s="1"/>
  <c r="K9" i="188" l="1"/>
  <c r="J13" i="188"/>
  <c r="K13" i="188" s="1"/>
  <c r="J12" i="188"/>
  <c r="K12" i="188" s="1"/>
  <c r="J44" i="77"/>
  <c r="H72" i="131"/>
  <c r="H78" i="131" s="1"/>
  <c r="H75" i="131" l="1"/>
  <c r="J76" i="131"/>
  <c r="P72" i="131"/>
  <c r="P78" i="131" s="1"/>
  <c r="J75" i="131"/>
  <c r="H76" i="131"/>
  <c r="P76" i="131" l="1"/>
  <c r="P75" i="131"/>
  <c r="Q56" i="131"/>
  <c r="Q57" i="131" l="1"/>
  <c r="Q65" i="131" s="1"/>
  <c r="H84" i="131" l="1"/>
  <c r="H88" i="131" l="1"/>
  <c r="H94" i="131" s="1"/>
  <c r="H83" i="131"/>
  <c r="H91" i="131" l="1"/>
  <c r="H92" i="131"/>
  <c r="I84" i="131"/>
  <c r="I83" i="131" l="1"/>
  <c r="Q24" i="131"/>
  <c r="I88" i="131"/>
  <c r="I94" i="131" s="1"/>
  <c r="B30" i="131"/>
  <c r="P84" i="131" l="1"/>
  <c r="E7" i="160"/>
  <c r="D7" i="160" s="1"/>
  <c r="D12" i="160" s="1"/>
  <c r="D22" i="160" s="1"/>
  <c r="C16" i="160"/>
  <c r="C21" i="160" s="1"/>
  <c r="D8" i="170"/>
  <c r="C9" i="177" s="1"/>
  <c r="J84" i="131"/>
  <c r="J83" i="131"/>
  <c r="J88" i="131"/>
  <c r="J94" i="131" s="1"/>
  <c r="I92" i="131"/>
  <c r="I91" i="131"/>
  <c r="R80" i="131"/>
  <c r="E12" i="160" l="1"/>
  <c r="H7" i="160"/>
  <c r="H12" i="160" s="1"/>
  <c r="H22" i="160" s="1"/>
  <c r="I7" i="160"/>
  <c r="C38" i="160"/>
  <c r="G38" i="160" s="1"/>
  <c r="P83" i="131"/>
  <c r="B19" i="147"/>
  <c r="B20" i="147" s="1"/>
  <c r="B26" i="147" s="1"/>
  <c r="D14" i="170"/>
  <c r="E16" i="160"/>
  <c r="I16" i="160" s="1"/>
  <c r="D9" i="177"/>
  <c r="D12" i="177" s="1"/>
  <c r="C12" i="177"/>
  <c r="F12" i="177" s="1"/>
  <c r="F9" i="177"/>
  <c r="C8" i="170"/>
  <c r="H38" i="160"/>
  <c r="E38" i="160"/>
  <c r="F38" i="160"/>
  <c r="J92" i="131"/>
  <c r="P88" i="131"/>
  <c r="P94" i="131" s="1"/>
  <c r="J91" i="131"/>
  <c r="I12" i="160"/>
  <c r="I26" i="160" s="1"/>
  <c r="E22" i="160"/>
  <c r="I22" i="160" s="1"/>
  <c r="I27" i="160" s="1"/>
  <c r="C36" i="160"/>
  <c r="B44" i="147" l="1"/>
  <c r="B45" i="147" s="1"/>
  <c r="F19" i="147"/>
  <c r="F20" i="147" s="1"/>
  <c r="F26" i="147" s="1"/>
  <c r="J18" i="170"/>
  <c r="N14" i="170"/>
  <c r="J19" i="170"/>
  <c r="H16" i="160"/>
  <c r="H21" i="160" s="1"/>
  <c r="E21" i="160"/>
  <c r="I21" i="160" s="1"/>
  <c r="C14" i="170"/>
  <c r="P92" i="131"/>
  <c r="P91" i="131"/>
  <c r="G36" i="160"/>
  <c r="H36" i="160"/>
  <c r="E36" i="160"/>
  <c r="F36" i="160"/>
  <c r="I47" i="170" l="1"/>
  <c r="I44" i="170"/>
</calcChain>
</file>

<file path=xl/sharedStrings.xml><?xml version="1.0" encoding="utf-8"?>
<sst xmlns="http://schemas.openxmlformats.org/spreadsheetml/2006/main" count="4422" uniqueCount="1029">
  <si>
    <t>ลำดับ</t>
  </si>
  <si>
    <t>หน่วยงาน</t>
  </si>
  <si>
    <t>(บาท)</t>
  </si>
  <si>
    <t>รวมงบประมาณ</t>
  </si>
  <si>
    <t>เงินเดือน</t>
  </si>
  <si>
    <t>ค่าจ้างประจำ</t>
  </si>
  <si>
    <t>ค่าตอบแทน</t>
  </si>
  <si>
    <t>พนักงานราชการ</t>
  </si>
  <si>
    <t>ใช้สอยและวัสดุ</t>
  </si>
  <si>
    <t>สาธารณูปโภค</t>
  </si>
  <si>
    <t>รวม</t>
  </si>
  <si>
    <t>ครุภัณฑ์</t>
  </si>
  <si>
    <t>ที่ดิน สิ่งก่อสร้าง</t>
  </si>
  <si>
    <t>งบบุคลากร</t>
  </si>
  <si>
    <t>งบดำเนินงาน</t>
  </si>
  <si>
    <t>งบลงทุน</t>
  </si>
  <si>
    <t>งบรายจ่ายอื่น</t>
  </si>
  <si>
    <t>เบิกจ่าย</t>
  </si>
  <si>
    <t>บ้านกรุณา</t>
  </si>
  <si>
    <t>ปทุมธานี</t>
  </si>
  <si>
    <t>อยุธยา</t>
  </si>
  <si>
    <t>ชลบุรี</t>
  </si>
  <si>
    <t>ระยอง</t>
  </si>
  <si>
    <t>นครราชสีมา</t>
  </si>
  <si>
    <t>บุรีรัมย์</t>
  </si>
  <si>
    <t>สุรินทร์</t>
  </si>
  <si>
    <t>อุบลราชธานี</t>
  </si>
  <si>
    <t>อำนาจเจริญ</t>
  </si>
  <si>
    <t>ขอนแก่น</t>
  </si>
  <si>
    <t>ร้อยเอ็ด</t>
  </si>
  <si>
    <t>นครพนม</t>
  </si>
  <si>
    <t>เชียงใหม่</t>
  </si>
  <si>
    <t>ลำปาง</t>
  </si>
  <si>
    <t>นครสวรรค์</t>
  </si>
  <si>
    <t>สุโขทัย</t>
  </si>
  <si>
    <t>พิษณุโลก</t>
  </si>
  <si>
    <t>ราชบุรี</t>
  </si>
  <si>
    <t>กาญจนบุรี</t>
  </si>
  <si>
    <t>สุพรรณบุรี</t>
  </si>
  <si>
    <t>สตูล</t>
  </si>
  <si>
    <t>ยะลา</t>
  </si>
  <si>
    <t>ชัยภูมิ</t>
  </si>
  <si>
    <t>กำแพงเพชร</t>
  </si>
  <si>
    <t>ลพบุรี</t>
  </si>
  <si>
    <t>เชียงราย</t>
  </si>
  <si>
    <t>เลย</t>
  </si>
  <si>
    <t>สกลนคร</t>
  </si>
  <si>
    <t>น่าน</t>
  </si>
  <si>
    <t>สมุทรสงคราม</t>
  </si>
  <si>
    <t>กระบี่</t>
  </si>
  <si>
    <t>พัทลุง</t>
  </si>
  <si>
    <t>ปราจีนบุรี</t>
  </si>
  <si>
    <t>พะเยา</t>
  </si>
  <si>
    <t>แม่ฮ่องสอน</t>
  </si>
  <si>
    <t>ระนอง</t>
  </si>
  <si>
    <t>ชุมพร</t>
  </si>
  <si>
    <t>แผนงบประมาณ/ผลผลิต/รายการ</t>
  </si>
  <si>
    <t>กรมพินิจและคุ้มครองเด็กและเยาวชน   กระทรวงยุติธรรม</t>
  </si>
  <si>
    <t>รายการ</t>
  </si>
  <si>
    <t>งบประมาณที่ได้รับ</t>
  </si>
  <si>
    <t>คงเหลือ</t>
  </si>
  <si>
    <t>การเบิกจ่าย</t>
  </si>
  <si>
    <t xml:space="preserve">คงเหลือ </t>
  </si>
  <si>
    <t>หนองคาย</t>
  </si>
  <si>
    <t xml:space="preserve"> งบลงทุน</t>
  </si>
  <si>
    <t>คิดเป็นร้อยละ</t>
  </si>
  <si>
    <t>ได้รับจัดสรร</t>
  </si>
  <si>
    <t>งบอุดหนุน</t>
  </si>
  <si>
    <t xml:space="preserve">                         ไตรมาส  ที่  2</t>
  </si>
  <si>
    <t xml:space="preserve">                         ไตรมาส  ที่  3</t>
  </si>
  <si>
    <t xml:space="preserve">                         ไตรมาส  ที่  4</t>
  </si>
  <si>
    <t>(หักยอดเบิกจ่าย)</t>
  </si>
  <si>
    <t>บ้านปรานี</t>
  </si>
  <si>
    <t xml:space="preserve">                           ไตรมาส  ที่  1</t>
  </si>
  <si>
    <t>รวมทั้งสิ้น</t>
  </si>
  <si>
    <t>บ้านมุทิตา</t>
  </si>
  <si>
    <t>ใบสั่งซื้อ/สั่งจ้าง (PO)</t>
  </si>
  <si>
    <t>คงเหลือจากเบิกจ่าย</t>
  </si>
  <si>
    <t>Po</t>
  </si>
  <si>
    <t>ร้อยละ     20.00</t>
  </si>
  <si>
    <t>กรมพินิจและคุ้มครองเด็กและเยาวชน</t>
  </si>
  <si>
    <t>ร้อยละ</t>
  </si>
  <si>
    <t>รวมที่ดินและสิ่งก่อสร้าง</t>
  </si>
  <si>
    <t>ร้อยละ     93.00</t>
  </si>
  <si>
    <t>ร้อยละ     10.00</t>
  </si>
  <si>
    <t>ร้อยละ     72.00</t>
  </si>
  <si>
    <t>บึงกาฬ</t>
  </si>
  <si>
    <t>ร้อยละ     42.00</t>
  </si>
  <si>
    <t>ร้อยละ     67.00</t>
  </si>
  <si>
    <t>ตั้งแต่วันที่ 1 ตุลาคม 2554 - วันที่ 31 ธันวาคม 2554</t>
  </si>
  <si>
    <t>ตั้งแต่วันที่ 1 มกราคม 2555 - วันที่ 31 มีนาคม 2555</t>
  </si>
  <si>
    <t>ตั้งแต่วันที่ 1 เมษายน 2555 - วันที่ 30 มิถุนายน 2555</t>
  </si>
  <si>
    <t>ตั้งแต่วันที่ 1 กรกฎาคม 2555 - วันที่ 30 กันยายน 2555</t>
  </si>
  <si>
    <t>ร้อยละ     23.00</t>
  </si>
  <si>
    <t>ร้อยละ     43.00</t>
  </si>
  <si>
    <t>***</t>
  </si>
  <si>
    <t xml:space="preserve">เงินกันไว้เบิกเหลื่อมปี พ.ศ. 2556  เป็นเงินจำนวน 121,520,316.68  บาท แต่มี Po ที่มีมูลค่าต่ำกว่า 10,815.56.- บาท ที่งบประมาณพับไป ในระบบ GFMIS จึงทำให้ยอดเงินกันฯ แสดงในรายงานนี้เป็นเงินจำนวน 121,531,132.24 บาท  </t>
  </si>
  <si>
    <t>ร้อยละของงบประมาณ</t>
  </si>
  <si>
    <t>(หักเบิกจ่าย+ใบ PO)</t>
  </si>
  <si>
    <t>(4)</t>
  </si>
  <si>
    <t>รวมงบลงทุนทั้งสิ้น</t>
  </si>
  <si>
    <t>สิรินธร</t>
  </si>
  <si>
    <t>งบปีผูกพัน</t>
  </si>
  <si>
    <t>งบปีเดียว</t>
  </si>
  <si>
    <t>ใบสั่งซื้อสั่งจ้าง (PO)</t>
  </si>
  <si>
    <t>เบิกจ่ายแล้ว</t>
  </si>
  <si>
    <t>ของการเบิกจ่าย</t>
  </si>
  <si>
    <t>ส่วนกลาง</t>
  </si>
  <si>
    <t>สพ.</t>
  </si>
  <si>
    <t>กรุงเทพ</t>
  </si>
  <si>
    <t>ศฝ.</t>
  </si>
  <si>
    <t>บ้านอุเบกขา</t>
  </si>
  <si>
    <t>เขต 1 ระยอง</t>
  </si>
  <si>
    <t>เขต 2 ราชบุรี</t>
  </si>
  <si>
    <t>เขต 3 นครราชสีมา</t>
  </si>
  <si>
    <t>เขต 4 ขอนแก่น</t>
  </si>
  <si>
    <t>เขต 5 อุบลราชธานี</t>
  </si>
  <si>
    <t>เขต 6 นครสวรรค์</t>
  </si>
  <si>
    <t>เขต 7 เชียงใหม่</t>
  </si>
  <si>
    <t>เขต 8 สุราษฎร์ธานี</t>
  </si>
  <si>
    <t>เขต 9 สงขลา</t>
  </si>
  <si>
    <t>สมุทรปราการ</t>
  </si>
  <si>
    <t>นนทบุรี</t>
  </si>
  <si>
    <t>อ่างทอง</t>
  </si>
  <si>
    <t>สิงห์บุรี</t>
  </si>
  <si>
    <t>สระบุรี</t>
  </si>
  <si>
    <t>จันทบุรี</t>
  </si>
  <si>
    <t>ฉะเชิงเทรา</t>
  </si>
  <si>
    <t>อุดรธานี</t>
  </si>
  <si>
    <t>ลำพูน</t>
  </si>
  <si>
    <t>เพชรบูรณ์</t>
  </si>
  <si>
    <t>นครปฐม</t>
  </si>
  <si>
    <t>สมุทรสาคร</t>
  </si>
  <si>
    <t>เพชรบุรี</t>
  </si>
  <si>
    <t>นครศรีธรรมราช</t>
  </si>
  <si>
    <t>ภูเก็ต</t>
  </si>
  <si>
    <t>สุราษฎร์ธานี</t>
  </si>
  <si>
    <t>สงขลา</t>
  </si>
  <si>
    <t>ตรัง</t>
  </si>
  <si>
    <t>ปัตตานี</t>
  </si>
  <si>
    <t>นราธิวาส</t>
  </si>
  <si>
    <t>หนองบัวลำภู</t>
  </si>
  <si>
    <t>ตราด</t>
  </si>
  <si>
    <t>แพร่</t>
  </si>
  <si>
    <t>สระแก้ว</t>
  </si>
  <si>
    <t>กาฬสินธุ์</t>
  </si>
  <si>
    <t>มุกดาหาร</t>
  </si>
  <si>
    <t>อุตรดิตถ์</t>
  </si>
  <si>
    <t>อุทัยธานี</t>
  </si>
  <si>
    <t>ประจวบคีรีขันธุ์</t>
  </si>
  <si>
    <t>ชัยนาท</t>
  </si>
  <si>
    <t>นครนายก</t>
  </si>
  <si>
    <t>ยโสธร</t>
  </si>
  <si>
    <t>มหาสารคาม</t>
  </si>
  <si>
    <t>ตาก</t>
  </si>
  <si>
    <t>พิจิตร</t>
  </si>
  <si>
    <t>พังงา</t>
  </si>
  <si>
    <t>บ้านบึง</t>
  </si>
  <si>
    <t>บ้านกาญจนภิเษก</t>
  </si>
  <si>
    <t>กรมพินิจ ฯ  ภาพรวม</t>
  </si>
  <si>
    <t>หมายเหตุ</t>
  </si>
  <si>
    <t>ใบสั่งซื้อสั่งจ้าง</t>
  </si>
  <si>
    <t>ที่ดินและสิ่งก่อสร้าง</t>
  </si>
  <si>
    <t>ลำ</t>
  </si>
  <si>
    <t>ดับ</t>
  </si>
  <si>
    <t>ของยอดเบิกจ่าย</t>
  </si>
  <si>
    <t>ไตรมาส 1</t>
  </si>
  <si>
    <t>ไตรมาส 2</t>
  </si>
  <si>
    <t>ไตรมาส 3</t>
  </si>
  <si>
    <t>ไตรมาส 4</t>
  </si>
  <si>
    <t>1. สำนักงานปลัดกระทรวงยุติธรรม</t>
  </si>
  <si>
    <t>2. กรมคุ้มครองสิทธิและเสรีภาพ</t>
  </si>
  <si>
    <t>รหัสงบประมาณ</t>
  </si>
  <si>
    <t>ศรีสะเกษ</t>
  </si>
  <si>
    <t>***หมายเหตุ กรมพินิจฯ ได้ตัดโอนงบประมาณงบดำเนินงานไปตั้งจ่ายให้กับกรมโยธาธิการและผังเมือง เป็นเงินจำนวน 67,630.- บาท ในลักษณะงบประมาณเบิกแทนกัน</t>
  </si>
  <si>
    <t xml:space="preserve"> </t>
  </si>
  <si>
    <t>จัดสรร</t>
  </si>
  <si>
    <t>สำรอง</t>
  </si>
  <si>
    <t>ยอด GFMIS</t>
  </si>
  <si>
    <t xml:space="preserve">เบิกแทนกัน </t>
  </si>
  <si>
    <t>รวม เบิกแทนกัน</t>
  </si>
  <si>
    <t>ในตารางจ่ายจริง</t>
  </si>
  <si>
    <t>ผลต่าง</t>
  </si>
  <si>
    <t>แผนงานบูรณาการป้องกัน ปราบปราม</t>
  </si>
  <si>
    <t xml:space="preserve">กรมพินิจ ฯ </t>
  </si>
  <si>
    <t xml:space="preserve">ศูนย์ฝึก ฯ </t>
  </si>
  <si>
    <t>ศูนย์ฝึก ฯ เขต 1</t>
  </si>
  <si>
    <t>ศูนย์ฝึก ฯ เขต 2</t>
  </si>
  <si>
    <t>ศูนย์ฝึก ฯ เขต 3</t>
  </si>
  <si>
    <t>ศูนย์ฝึก ฯ เขต 4</t>
  </si>
  <si>
    <t>ศูนย์ฝึก ฯ เขต 5</t>
  </si>
  <si>
    <t>ศูนย์ฝึก ฯ เขต 6</t>
  </si>
  <si>
    <t>ศูนย์ฝึก ฯ เขต 7</t>
  </si>
  <si>
    <t>ศูนย์ฝึก ฯ เขต 11</t>
  </si>
  <si>
    <t>สถานพินิจ ฯ</t>
  </si>
  <si>
    <t>ประจวบคีรีขันธ์</t>
  </si>
  <si>
    <t>ศูนย์ฝึก ฯ เขต 8</t>
  </si>
  <si>
    <t>ศูนย์ฝึก ฯ เขต 9</t>
  </si>
  <si>
    <t>*หมายเหตุ</t>
  </si>
  <si>
    <t>วงเงินที่ได้รับจัดสรร คือ วงเงินงบประมาณคงเหลือสุทธิที่กรมได้ตัดโอนงบประมาณเหลือจ่ายกลับมาตั้งจ่ายที่ส่วนกลาง</t>
  </si>
  <si>
    <t>งบประมาณสุทธิ</t>
  </si>
  <si>
    <t>หมวด/รายการ</t>
  </si>
  <si>
    <t>โอนเพิ่ม/ปรับลด</t>
  </si>
  <si>
    <t xml:space="preserve">   -ครุภัณฑ์</t>
  </si>
  <si>
    <t>* หมายเหตุ ยอดเบิกจ่ายของหน่วยงานในสังกัด อาจมีความคลาดเคลื่อนเนื่องจากตอนเรียกรายงานใน GFMIS ระดับหน่วยงาน ระบบประมวลผลช้า</t>
  </si>
  <si>
    <t xml:space="preserve">   -ที่ดิน/สิ่งก่อสร้าง</t>
  </si>
  <si>
    <t>งบประมาณ60ยกยอด</t>
  </si>
  <si>
    <t>เบิกแทนกันยกยอด</t>
  </si>
  <si>
    <t>สรุปเงินงบยกยอด</t>
  </si>
  <si>
    <t>กรมบัญชีกลางยกยอดมาให้</t>
  </si>
  <si>
    <t>แผนงานพื้นฐานด้านความมั่นคง</t>
  </si>
  <si>
    <t>รวมงบสุทธิ</t>
  </si>
  <si>
    <t>กรุงเทพมหานคร</t>
  </si>
  <si>
    <t>บ้านกาญจนาภิเษก</t>
  </si>
  <si>
    <t>คงเหลือเงินงบ ปี 62</t>
  </si>
  <si>
    <t>แผนงานบูรณาการขับเคลื่อน</t>
  </si>
  <si>
    <t>การแก้ไขปัญหาจังหวัดชายแดนภาคใต้</t>
  </si>
  <si>
    <t xml:space="preserve"> และบำบัดรักษาผู้ติดยาเสพติด</t>
  </si>
  <si>
    <t>ผู้ติดยาเสพติด</t>
  </si>
  <si>
    <t>โครงการสร้างภูมิคุ้มกันและ</t>
  </si>
  <si>
    <t>ป้องกันยาเสพติด</t>
  </si>
  <si>
    <t>แผนงานบุคลากรภาครัฐ</t>
  </si>
  <si>
    <t>รายการค่าใช้จ่ายบุคลากรภาครัฐ</t>
  </si>
  <si>
    <t>การใช้ยาเสพติด</t>
  </si>
  <si>
    <t>กระบวนการยุติธรรมทางเลือก</t>
  </si>
  <si>
    <t>กระบวนการยุติธรรม</t>
  </si>
  <si>
    <t>แผนงานพื้นฐานด้านการปรับสมดุล</t>
  </si>
  <si>
    <t>และพัฒนาระบบบริหารจัดการภาครัฐ</t>
  </si>
  <si>
    <t>แผนงานพื้นฐานด้าน</t>
  </si>
  <si>
    <t>การปรับสมดุลและพัฒนา</t>
  </si>
  <si>
    <t>ระบบบริหารจัดการภาครัฐ</t>
  </si>
  <si>
    <t>สรุปรายละเอียดการเบิกจ่ายเงินงบประมาณประจำปีงบประมาณ พ.ศ. 2562</t>
  </si>
  <si>
    <t xml:space="preserve">ได้รับจัดสรรใน GF </t>
  </si>
  <si>
    <t>2) ได้รับจัดสรรจริงตามระบบ GFMIS</t>
  </si>
  <si>
    <t xml:space="preserve">หมายเหตุ </t>
  </si>
  <si>
    <t>เงินงบประมาณเบิกแทนกัน</t>
  </si>
  <si>
    <t>ได้รับจัดสรรจากส่วนราชการ / รายการ</t>
  </si>
  <si>
    <t>รอบเดือนกันยายน 2561</t>
  </si>
  <si>
    <t xml:space="preserve">รายการโครงการคืนคนดีสู่สังคม (ค่าจ้างงานผู้พ้นโทษ) </t>
  </si>
  <si>
    <t>1) ได้รับจัดสรรตาม พรบ.</t>
  </si>
  <si>
    <t>2.  ปัจจุบันกรมพินิจฯ ได้จัดสรรงบประมาณ งบรายจ่ายอื่น ไปตั้งจ่ายให้กับหน่วยงานในสังกัด เพียง 2 รายการ จาก 13 รายการ</t>
  </si>
  <si>
    <t>ตามพระราชบัญญัติงบประมาณรายจ่ายประจำปีงบประมาณ พ.ศ. 2562</t>
  </si>
  <si>
    <t>รายการต่ำกว่า 1 ล้าน</t>
  </si>
  <si>
    <t>รายการสูงกว่า 1 ล้าน</t>
  </si>
  <si>
    <t>ปัจจุบันกรมพินิจฯ ได้รับจัดสรรงบประมาณ 100% เรียบร้อยแล้ว</t>
  </si>
  <si>
    <t xml:space="preserve">1) กรมคุมประพฤติ </t>
  </si>
  <si>
    <t>ประเภทรายจ่าย</t>
  </si>
  <si>
    <t>ปีงบประมาณ พ.ศ. 2562</t>
  </si>
  <si>
    <t>ไตรมาสที่ 1</t>
  </si>
  <si>
    <t>ไตรมาสที่ 2</t>
  </si>
  <si>
    <t>ไตรมาสที่ 3</t>
  </si>
  <si>
    <t>ไตรมาสที่ 4</t>
  </si>
  <si>
    <t>ภาพรวม (สะสม)</t>
  </si>
  <si>
    <t>รายจ่ายประจำ (สะสม)</t>
  </si>
  <si>
    <t>รายจ่ายลงทุน (สะสม)</t>
  </si>
  <si>
    <t>เป้าหมายการใช้จ่ายงบประมาณปีงบประมาณ พ.ศ. 2562 (ไม่รวมงบกลาง)</t>
  </si>
  <si>
    <t>วงเงิน (บาท)</t>
  </si>
  <si>
    <t>สรุปผลการเบิกจ่าย</t>
  </si>
  <si>
    <t>เป้าหมายการเบิกจ่าย ณ สิ้นไตรมาสที่ 1</t>
  </si>
  <si>
    <t>คิดเป็นร้อยละ 32</t>
  </si>
  <si>
    <t>แต่ ณ สิ้นไตรมาสที่ 1 กรมพินิจฯ เบิกจ่ายได้เพียง ร้อยละ 21.15</t>
  </si>
  <si>
    <t>ต่ำกว่าเป้าหมายร้อยละ 10.85</t>
  </si>
  <si>
    <t xml:space="preserve">ณ วันที่ 28 มกราคม 2562 กรมพินิจฯ เบิกจ่ายได้เพียง ร้อยละ </t>
  </si>
  <si>
    <t>การขยายเวลาเบิกจ่ายเงิน และเงินกันไว้เบิกเหลื่อมปี</t>
  </si>
  <si>
    <t>งบบุคลากร (ตามที่กรมได้จัดสรรให้จริง ในระบบ GFMIS)</t>
  </si>
  <si>
    <t>งบดำเนินงาน (ตามที่กรมได้จัดสรรให้จริง ในระบบ GFMIS )</t>
  </si>
  <si>
    <t>งบรายจ่ายอื่น (ตามที่กรมได้จัดสรรให้จริง ในระบบ GFMIS )</t>
  </si>
  <si>
    <t>ภาพรวม (ตามที่กรมได้จัดสรรให้จริง ในระบบ GFMIS )</t>
  </si>
  <si>
    <t xml:space="preserve">ภาพรวม </t>
  </si>
  <si>
    <t>รายจ่ายประจำ</t>
  </si>
  <si>
    <t>รายจ่ายลงทุน</t>
  </si>
  <si>
    <t>รวมทั้งสิ้น/ภาพรวม</t>
  </si>
  <si>
    <t>(สะสม)</t>
  </si>
  <si>
    <t>สูง/ต่ำกว่าเป้าหมาย</t>
  </si>
  <si>
    <t>1.1 ค่าจ้างงานผู้พ้นโทษ</t>
  </si>
  <si>
    <t>วงเงิน</t>
  </si>
  <si>
    <r>
      <t>1.2 ค่าใช้จ่ายในการสัมมนาและฝึกอบรม</t>
    </r>
    <r>
      <rPr>
        <b/>
        <sz val="16"/>
        <color indexed="8"/>
        <rFont val="TH SarabunPSK"/>
        <family val="2"/>
      </rPr>
      <t xml:space="preserve"> </t>
    </r>
  </si>
  <si>
    <t>ค่าจ้างงานเยาวชน</t>
  </si>
  <si>
    <t>ค่าใช้จ่ายในการสัมมนาและฝึกอบรม</t>
  </si>
  <si>
    <t>สรุปรวมทั้งสิ้น</t>
  </si>
  <si>
    <t>ของหน่วยงานในสังกัด</t>
  </si>
  <si>
    <t>งบลงทุน (ตามที่กรมได้จัดสรรให้จริง ในระบบ GFMIS )</t>
  </si>
  <si>
    <t>ค่าอาหารเด็กและเยาวชน</t>
  </si>
  <si>
    <t>ค่า รปภ.</t>
  </si>
  <si>
    <t>รวมงบรายจ่ายอื่น</t>
  </si>
  <si>
    <t>เบิกจ่ายเรียบร้อยแล้ว</t>
  </si>
  <si>
    <t>การขยายเวลาเบิกจ่ายเงิน และเงินกันไว้เบิกเหลื่อมปี (รอบเดือนกันยายน 2562)</t>
  </si>
  <si>
    <t>เงินงบประมาณปี พ.ศ. 2561 (ขยายเวลาเบิกจ่าย)</t>
  </si>
  <si>
    <t>ก่อสร้างสถานพินิจฯจังหวัดฉะเชิงเทรา</t>
  </si>
  <si>
    <t>ก่อสร้างสถานพินิจฯจังหวัดพะเยา</t>
  </si>
  <si>
    <t>เงินงบประมาณปี พ.ศ. 2562 (กันเงินไว้เบิกเหลื่อมปี)</t>
  </si>
  <si>
    <t>รายการครุภัณฑ์</t>
  </si>
  <si>
    <t>รายการที่ดินและสิ่งก่อสร้าง</t>
  </si>
  <si>
    <t>สรุปขยายเวลาเบิกจ่าย และเงินกันไว้เบิกเหลื่อมปี รวมทั้งสิ้น</t>
  </si>
  <si>
    <t>สรุปรายละเอียดการเบิกจ่ายเงินงบประมาณประจำปีงบประมาณ พ.ศ. 2562 ไปพลางก่อน</t>
  </si>
  <si>
    <t>เป้าหมายการใช้จ่ายงบประมาณ ประจำปีงบประมาณ พ.ศ. 2562 ไปพลางก่อน</t>
  </si>
  <si>
    <t>รวมเป็นเงินจำนวน 16,866,000.- บาท จึงถูกพับไป ตาม พรบ. วิธีงบประมาณ พ.ศ. 2561 และหลักเกณฑ์/เงื่อนไขการกันเงินไว้เบิกเหลื่อมปี</t>
  </si>
  <si>
    <t>รายงานการเบิกจ่ายเงินงบประมาณเบิกแทนกัน ประจำปีงบประมาณ พ.ศ. 2562 ไปพลางก่อน</t>
  </si>
  <si>
    <t>คิดเป็นร้อยละของการเบิกจ่าย</t>
  </si>
  <si>
    <t>คิดเป็นร้อยละของการเบิกจ่ายรวมใบสั่งซื้อสั่งจ้าง</t>
  </si>
  <si>
    <t>กรมคุมประพฤติ</t>
  </si>
  <si>
    <t>โครงการคืนคนดีสู่สังคม</t>
  </si>
  <si>
    <t xml:space="preserve">*หมายเหตุ : ปัจจุบันกรมพินิจฯ ได้จัดสรรงบประมาณประจำปีงบประมาณ พ.ศ. 2562 ไปพลางก่อน (ในเบื้องต้น) เป็นเงินจำนวน 990,689,600.- บาท </t>
  </si>
  <si>
    <t xml:space="preserve">ได้รับจัดสรรใน GFMIS </t>
  </si>
  <si>
    <t>ประจำเดือนตุลาคม2562</t>
  </si>
  <si>
    <t>ประจำเดือนพฤศจิกายน2562</t>
  </si>
  <si>
    <t>งบประจำปี พ.ศ. 2562</t>
  </si>
  <si>
    <t>สรุปการจัดส่งรายงานการเงิน</t>
  </si>
  <si>
    <t>ณ วันที่ 2 มกราคม 63</t>
  </si>
  <si>
    <t xml:space="preserve">ให้กลุ่มงานคลัง </t>
  </si>
  <si>
    <t>งบประจำปี พ.ศ. 2562 (แต่งบเดือน ตั้งแต่เดือนเมษายน - กันยายน 2562 ยังไม่ส่งให้กลุ่มงานคลัง)</t>
  </si>
  <si>
    <r>
      <rPr>
        <b/>
        <u/>
        <sz val="18"/>
        <color indexed="8"/>
        <rFont val="TH SarabunPSK"/>
        <family val="2"/>
      </rPr>
      <t>หมายเหตุ</t>
    </r>
    <r>
      <rPr>
        <sz val="16"/>
        <color indexed="8"/>
        <rFont val="TH SarabunPSK"/>
        <family val="2"/>
      </rPr>
      <t xml:space="preserve"> งบประมาณปี พ.ศ. 2562 มีรายการก่อสร้างศูนย์ฝึกฯ สงขลา เป็นจำนวนเงิน 12,866,000.- บาท และรายการก่อสร้างอาคารชุดฯ สถานพินิจฯ นนทบุรี </t>
    </r>
  </si>
  <si>
    <r>
      <t xml:space="preserve">เป็นจำนวนเงิน 4,000,000.- บาท ไม่สามารถก่อหนี้ผูกพันได้ทันภายในปีงบประมาณ 2562 จึงไม่สามารถกันเงินไว้เบิกเหลื่อมปีได้ </t>
    </r>
    <r>
      <rPr>
        <b/>
        <sz val="16"/>
        <color indexed="8"/>
        <rFont val="TH SarabunPSK"/>
        <family val="2"/>
      </rPr>
      <t>ดังนั้น</t>
    </r>
    <r>
      <rPr>
        <sz val="16"/>
        <color indexed="8"/>
        <rFont val="TH SarabunPSK"/>
        <family val="2"/>
      </rPr>
      <t xml:space="preserve"> รายการก่อสร้าง ทั้ง 2 รายการ </t>
    </r>
  </si>
  <si>
    <t>ได้รับจัดสรรตาม พรบ.</t>
  </si>
  <si>
    <t>1600603728700002</t>
  </si>
  <si>
    <t>แผนงานยุทธศาสตร์พัฒนา</t>
  </si>
  <si>
    <t>กฏหมายและกระบวนการยุติธรรม</t>
  </si>
  <si>
    <t>ค่าใช้จ่ายในการดำเนินโครงการเพิ่มประสิทธิภาพกระบวนการยุติธรรมและแก้ไขฟื้นฟูเด็กและเยาวชนที่มีความเสี่ยงหรือเข้าไปเกี่ยวข้องกับสถานการณ์ความไม่มั่นคงในพื้นที่จังหวัดชายแดนภาคใต้</t>
  </si>
  <si>
    <t>1600605711700001</t>
  </si>
  <si>
    <t>ค่าใช้จ่ายในการพัฒนาเครือข่ายความร่วมมือในการพิทักษ์คุ้มครองสิทธิและสวัสดิภาพเด็กเยาวชนในสถานพินิจฯ</t>
  </si>
  <si>
    <t>ชื่อรายการ</t>
  </si>
  <si>
    <t>เพิ่ม / ลด</t>
  </si>
  <si>
    <t>งบประมาณ</t>
  </si>
  <si>
    <t>1600656702410010</t>
  </si>
  <si>
    <t>1600656703410002</t>
  </si>
  <si>
    <t>1600656703410003</t>
  </si>
  <si>
    <t>1600656703410009</t>
  </si>
  <si>
    <t>1600656703410019</t>
  </si>
  <si>
    <t>1600656702420002</t>
  </si>
  <si>
    <t>1600656702420004</t>
  </si>
  <si>
    <t>1600656702420005</t>
  </si>
  <si>
    <t>1600656702420006</t>
  </si>
  <si>
    <t>1600656702420007</t>
  </si>
  <si>
    <t>1600656703420001</t>
  </si>
  <si>
    <t>1600656702420003</t>
  </si>
  <si>
    <t>1600656703420002</t>
  </si>
  <si>
    <t>( 7 + 8 )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</si>
  <si>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</si>
  <si>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</si>
  <si>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</si>
  <si>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</si>
  <si>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</si>
  <si>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</si>
  <si>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</si>
  <si>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</si>
  <si>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</si>
  <si>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</si>
  <si>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</si>
  <si>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</si>
  <si>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</si>
  <si>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ต่ำกว่าเป้าหมาย</t>
  </si>
  <si>
    <t xml:space="preserve">*หมายเหตุ  เงินงบประมาณดังกล่าว ประกอบด้วย งบประมาณปี พ.ศ. 2562 ไปพลางก่อน + งบประมาณปี พ.ศ. 2563 </t>
  </si>
  <si>
    <t>และปัจจุบันอยู่ระหว่างรอกรมบัญชีกลางดำเนินการ Mappingงบประมาณ จาก ปี พ.ศ. 2562 ไปพลางก่อน ไปเป็น ปี พ.ศ. 2563</t>
  </si>
  <si>
    <t>ปรับปรุงเพิ่มเติมงานอาคารของศูนย์ฝึกฯ จังหวัดยะลา</t>
  </si>
  <si>
    <t>1600656702410027</t>
  </si>
  <si>
    <t xml:space="preserve">                     2) งบรายจ่ายอื่น มีรายการที่ถูกตัดโอนงบประมาณโดยนำเข้า พ.ร.บ. โอน 2563 เป็นเงินจำนวน 3,557,200- บาท</t>
  </si>
  <si>
    <t>รายการสูงกว่า 2 ล้าน</t>
  </si>
  <si>
    <t>รายการต่ำกว่า 2 ล้าน</t>
  </si>
  <si>
    <t>1600656702410029</t>
  </si>
  <si>
    <t>ก่อหนี้+เบิกจ่าย รายการสูงกว่า 1 ล้าน</t>
  </si>
  <si>
    <t>ก่อหนี้+เบิกจ่าย รายการต่ำกว่า 1 ล้าน</t>
  </si>
  <si>
    <t>ก่อหนี้+เบิกจ่าย รายการต่ำกว่า 2ล้าน</t>
  </si>
  <si>
    <t>ก่อหนี้+เบิกจ่าย รายการสูงกว่า 2 ล้าน</t>
  </si>
  <si>
    <t>ก่อหนี้+เบิกจ่ายแล้วทั้งหมด</t>
  </si>
  <si>
    <t>เบิกจ่ายแล้วทั้งหมด</t>
  </si>
  <si>
    <t>สถานพินิจฯ จังหวัดปัตตานี</t>
  </si>
  <si>
    <t>ศูนย์ฝึกฯ เขต 9</t>
  </si>
  <si>
    <t>รวมเป็นเงินจำนวนทั้งสิ้น</t>
  </si>
  <si>
    <t>ก่อหนี้+เบิกจ่าย รายการต่ำกว่า 10 ล้าน</t>
  </si>
  <si>
    <t>รายการที่ดินและสิ่งก่อสร้างต่ำกว่า 10 ล้าน</t>
  </si>
  <si>
    <t>รายการที่ดินและสิ่งก่อสร้างสูงกว่า 10 ล้าน</t>
  </si>
  <si>
    <t xml:space="preserve">                     3) มีการโอนเปลี่ยนแปลงงบประมาณ จากงบรายจ่ายอื่น ไปตั้งจ่ายเป็นงบลงทุน เป็นเงินจำนวน 99,276.- บาท เพื่อจัดซื้อครุภัณฑ์การเกษตร ของโครงการ DJOP Smart Farm</t>
  </si>
  <si>
    <t xml:space="preserve">                    5) มีการโอนเปลี่ยนแปลงงบประมาณ จากรายจ่ายอื่น ไปตั้งจ่ายเป็นงบดำเนินงาน เป็นเงินจำนวน 5,700,400.- บาท เพื่อจัดซื้อวัสดุเครื่องแต่งกายเด็กและเยาวชน</t>
  </si>
  <si>
    <t xml:space="preserve">                     4) มีการโอนเปลี่ยนแปลงงบประมาณ จากงบดำเนินงาน ไปตั้งจ่ายเป็นงบรายจ่ายอื่น เป็นเงินจำนวน 5,700,400.- บาท เป็นรายการค่าจ้างที่ปรึกษา และได้ยกเลิกรายการแล้ว</t>
  </si>
  <si>
    <t>ชื่อหน่วยงาน</t>
  </si>
  <si>
    <t>รหัสหน่วยงาน</t>
  </si>
  <si>
    <t>เลขที่ PO</t>
  </si>
  <si>
    <t>เป็นเงินจำนวน</t>
  </si>
  <si>
    <t>ชื่อรายการใน GF</t>
  </si>
  <si>
    <t>ศูนย์ฝึกฯ เขต 1</t>
  </si>
  <si>
    <t>งานปรับปรุงเขตพื้นที่ศูนย์ฝึก</t>
  </si>
  <si>
    <t>บริษัท เพฟดิเวลล็อป</t>
  </si>
  <si>
    <t>05.06.2020</t>
  </si>
  <si>
    <t>05.10.2020</t>
  </si>
  <si>
    <t>งานก่อสร้าง:ระบบประป</t>
  </si>
  <si>
    <t>ศูนย์ฝึกฯ เขต 2</t>
  </si>
  <si>
    <t>บริษัท ชินาภัค คอนกร</t>
  </si>
  <si>
    <t>27.05.2020</t>
  </si>
  <si>
    <t>23.11.2020</t>
  </si>
  <si>
    <t>บริการการจัดการ:การก</t>
  </si>
  <si>
    <t>ศูนย์ฝึกฯ เขต 3</t>
  </si>
  <si>
    <t>บริษัท อะโรส  รีโนเว</t>
  </si>
  <si>
    <t>28.05.2020</t>
  </si>
  <si>
    <t>02.07.2020</t>
  </si>
  <si>
    <t>บริการจัดการ:อุตสาหก</t>
  </si>
  <si>
    <t>ศูนย์ฝึกฯ เขต 4</t>
  </si>
  <si>
    <t>บริษัท ลูกหลวงเรียลค</t>
  </si>
  <si>
    <t>24.08.2020</t>
  </si>
  <si>
    <t>สิ่งก่อสร้างเกี่ยวกั</t>
  </si>
  <si>
    <t>31.08.2020</t>
  </si>
  <si>
    <t>25.09.2020</t>
  </si>
  <si>
    <t>30.09.2020</t>
  </si>
  <si>
    <t>หจก. บำรุงโยธากิจ</t>
  </si>
  <si>
    <t>29.05.2020</t>
  </si>
  <si>
    <t>25.11.2020</t>
  </si>
  <si>
    <t>โครงการเพิ่มประสิทธิภาพฯศูนย์ฝึกฯ จังหวัดยะลา</t>
  </si>
  <si>
    <t>ศูนย์ฝึกฯ จังหวัดอยุธยา</t>
  </si>
  <si>
    <t>บริษัท ช ธาม จำกัด</t>
  </si>
  <si>
    <t>11.08.2020</t>
  </si>
  <si>
    <t>บริการซ่อมแซมปรับปรุ</t>
  </si>
  <si>
    <t>ห้างหุ้นส่วนจำกัดไวย</t>
  </si>
  <si>
    <t>ซีเมนต์</t>
  </si>
  <si>
    <t>สถานพินิจฯ กรุงเทพฯ</t>
  </si>
  <si>
    <t>ค่าเช่าเครือข่าย</t>
  </si>
  <si>
    <t>บริษัท กสท.โทรคมนาคม</t>
  </si>
  <si>
    <t>08.05.2020</t>
  </si>
  <si>
    <t>(ยกเลิก)บริการอินเตอ</t>
  </si>
  <si>
    <t>สถานพินิจฯ จังหวัดเลย</t>
  </si>
  <si>
    <t>หจก.อู่คุณสัญญา</t>
  </si>
  <si>
    <t>02.09.2020</t>
  </si>
  <si>
    <t>19.10.2020</t>
  </si>
  <si>
    <t>(ยกเลิก)บริการการบำร</t>
  </si>
  <si>
    <t>13.08.2020</t>
  </si>
  <si>
    <t>ห้างหุ้นส่วนจำกัด เก</t>
  </si>
  <si>
    <t>12.06.2020</t>
  </si>
  <si>
    <t>07.07.2021</t>
  </si>
  <si>
    <t>บริการตกแต่ง:ภายในอา</t>
  </si>
  <si>
    <t>สถานพินิจฯ จังหวัดสกลนคร</t>
  </si>
  <si>
    <t>โครงการก่อสร้างโรงครัว</t>
  </si>
  <si>
    <t>หจก ยิ่งเจริญชำนาญกิ</t>
  </si>
  <si>
    <t>21.05.2020</t>
  </si>
  <si>
    <t>27.11.2020</t>
  </si>
  <si>
    <t>โรงอาหาร</t>
  </si>
  <si>
    <t>สถานพินิจฯ จังหวัดอุบลราชธานี</t>
  </si>
  <si>
    <t>ธิราภรณ์ โดยนางธิราภ</t>
  </si>
  <si>
    <t>29.10.2019</t>
  </si>
  <si>
    <t>มันฝรั่งปรุงรส ข้าว</t>
  </si>
  <si>
    <t>ก่อสร้างสถานพินิจฯ จังหวัดฉะเชิงเทรา</t>
  </si>
  <si>
    <t>บริษัท โกลเดน ไลน์ ค</t>
  </si>
  <si>
    <t>05.05.2020</t>
  </si>
  <si>
    <t>07.05.2020</t>
  </si>
  <si>
    <t>(ยกเลิก)การก่อสร้างอ</t>
  </si>
  <si>
    <t>ก่อสร้างสถานพินิจฯ จังหวัดชุมพร</t>
  </si>
  <si>
    <t>กิจการร่วมค้าบริษัทเ</t>
  </si>
  <si>
    <t>17.05.2021</t>
  </si>
  <si>
    <t>ก่อสร้างสถานพินิจฯ จังหวัดแม่ฮ่องสอน</t>
  </si>
  <si>
    <t>บริษัท บ้านแก้ว เอ็น</t>
  </si>
  <si>
    <t>29.07.2020</t>
  </si>
  <si>
    <t>13.08.2021</t>
  </si>
  <si>
    <t>ก่อสร้างสถานพินิจฯ จังหวัดนนทบุรี</t>
  </si>
  <si>
    <t>บริษัท เอ.ซี.เอ็นจิเ</t>
  </si>
  <si>
    <t>03.01.2022</t>
  </si>
  <si>
    <t>องค์การสงเคราะห์ทหาร</t>
  </si>
  <si>
    <t>04.02.2020</t>
  </si>
  <si>
    <t>บริการพนักงานรักษาคว</t>
  </si>
  <si>
    <t>เครื่องถ่ายเอกสาร</t>
  </si>
  <si>
    <t>บริษัท ซีดีจี ซิสเต็</t>
  </si>
  <si>
    <t>12.11.2019</t>
  </si>
  <si>
    <t>เครื่องแม่ข่ายสำหรับ</t>
  </si>
  <si>
    <t>บริษัท แอดวานซ์ ไวร์</t>
  </si>
  <si>
    <t>20.11.2019</t>
  </si>
  <si>
    <t>20.11.2020</t>
  </si>
  <si>
    <t>บริการที่เกี่ยวข้องก</t>
  </si>
  <si>
    <t>28.04.2020</t>
  </si>
  <si>
    <t>โครงการจัดซื้อกล้องโทรทัศน์วงจรปิด</t>
  </si>
  <si>
    <t>บริษัท แอดวานซ์ เน็ต</t>
  </si>
  <si>
    <t>26.06.2020</t>
  </si>
  <si>
    <t>24.10.2020</t>
  </si>
  <si>
    <t>กล้องรักษาความปลอดภั</t>
  </si>
  <si>
    <t>ค่าสายรัดข้อมือ</t>
  </si>
  <si>
    <t>ห้างหุ้นส่วนจำกัด เอ</t>
  </si>
  <si>
    <t>01.07.2020</t>
  </si>
  <si>
    <t>14.10.2020</t>
  </si>
  <si>
    <t>สายรัด</t>
  </si>
  <si>
    <t>บริษัท ทองกมล 999 จำ</t>
  </si>
  <si>
    <t>31.07.2020</t>
  </si>
  <si>
    <t>วัสดุเพื่อการประชาสั</t>
  </si>
  <si>
    <t>บริษัท อินทิเกรเทด แ</t>
  </si>
  <si>
    <t>บริการให้คำปรึกษาทาง</t>
  </si>
  <si>
    <t>เค่าเช่าเครื่องถ่ายเอกสาร</t>
  </si>
  <si>
    <t>บจก พีเอสไอ เซลส์ แอ</t>
  </si>
  <si>
    <t>26.08.2020</t>
  </si>
  <si>
    <t>24.03.2021</t>
  </si>
  <si>
    <t>มหาวิทยาลัยสงขลานคริ</t>
  </si>
  <si>
    <t>10.10.2020</t>
  </si>
  <si>
    <t>บริษัท อัลฟ่า ทรีออน</t>
  </si>
  <si>
    <t>17.09.2020</t>
  </si>
  <si>
    <t>01.11.2020</t>
  </si>
  <si>
    <t>วัสดุสิ้นเปลืองต่างๆ</t>
  </si>
  <si>
    <t>ห้างหุ้นส่วนจำกัด ลา</t>
  </si>
  <si>
    <t>28.09.2020</t>
  </si>
  <si>
    <t>02.11.2020</t>
  </si>
  <si>
    <t>เครื่องกระตุ้นหัวใจภ</t>
  </si>
  <si>
    <t>ค่าเครื่องแต่งกายเด็กและเยาวชน</t>
  </si>
  <si>
    <t>26.01.2021</t>
  </si>
  <si>
    <t>เครื่องแบบ</t>
  </si>
  <si>
    <t>บ. ดีคอร์ซิสเต็ม อิน</t>
  </si>
  <si>
    <t>บริการเขียนโปรแกรมระ</t>
  </si>
  <si>
    <t>ค่าเช่ารถยนต์ราชการ</t>
  </si>
  <si>
    <t>บริษัท ทรู ลีสซิ่ง จ</t>
  </si>
  <si>
    <t>พาหนะให้เช่า</t>
  </si>
  <si>
    <t>ก่อสร้างสถานพินิจฯ จังหวัดพะเยา</t>
  </si>
  <si>
    <t>หจก. เธียรสวัสดิ์ คอน</t>
  </si>
  <si>
    <t>01.10.2016</t>
  </si>
  <si>
    <t>03.03.2020</t>
  </si>
  <si>
    <t>ก่อสร้างสถานพินิจฯ จังหวัดสุรินทร์</t>
  </si>
  <si>
    <t>บริษัท สินรัตนันต์</t>
  </si>
  <si>
    <t>01.10.2019</t>
  </si>
  <si>
    <t>19.01.2021</t>
  </si>
  <si>
    <t>ก่อสร้างศูนย์ฝึกฯ จังหวัดสงขลา</t>
  </si>
  <si>
    <t>หจก</t>
  </si>
  <si>
    <t>24.03.2022</t>
  </si>
  <si>
    <t>1600656702000000</t>
  </si>
  <si>
    <t>1600656702120002</t>
  </si>
  <si>
    <t>1600656703000000</t>
  </si>
  <si>
    <t>1600656703110454</t>
  </si>
  <si>
    <t>โครงการพัฒนาระบบการประเมินผล (กบค.)</t>
  </si>
  <si>
    <t>1600656703110619</t>
  </si>
  <si>
    <t>เครื่องกระตุ้นไฟฟ้าหัวใจ</t>
  </si>
  <si>
    <t>ค่าเครื่องตรวจสารเสพติด</t>
  </si>
  <si>
    <t>ค่าจ้างที่ปรึกษาโครงการสร้างการรับรู้และความเข้าใจในเรื่องกระบวนการยุติธรรมฯ</t>
  </si>
  <si>
    <t>ค่าจัดจ้างผลิตวารสารกรมพินิจฯ</t>
  </si>
  <si>
    <t>ค่าเช่าใช้บริการสัญญาณเครือข่าย</t>
  </si>
  <si>
    <t>ค่าบำรุงรักษาระบบคอมพิวเตอร์เครือข่าย</t>
  </si>
  <si>
    <t>ค่าซ่อมแซมรถยนต์</t>
  </si>
  <si>
    <t>แหล่งของเงิน</t>
  </si>
  <si>
    <t>ชื่อคู่สัญญา</t>
  </si>
  <si>
    <t>วันที่ทำเอกสาร</t>
  </si>
  <si>
    <t>วันสิ้นสุด</t>
  </si>
  <si>
    <t>ค่าซ่อมแซมห้องน้ำ</t>
  </si>
  <si>
    <t>ค่าวัสดุโครงการ</t>
  </si>
  <si>
    <t>ณ วันที่ 1 ตุลาคม 2563</t>
  </si>
  <si>
    <t>รวมงบดำเนินงาน</t>
  </si>
  <si>
    <t>รวมงบลงทุน</t>
  </si>
  <si>
    <t>ณ ปัจจุบัน</t>
  </si>
  <si>
    <t>คงเหลือสุทธิ</t>
  </si>
  <si>
    <t>คิดเป็น</t>
  </si>
  <si>
    <t>โครงการงานปรับปรุงซ่อมแซมฯ</t>
  </si>
  <si>
    <t>โครงการจัดทำแผนการกำหนดตำแหน่ง และการประเมินฯ</t>
  </si>
  <si>
    <t>สรุปรายละเอียดการกันไว้เบิกเหลื่อมปีงบประมาณ พ.ศ. 2563</t>
  </si>
  <si>
    <r>
      <t>หมายเหตุ</t>
    </r>
    <r>
      <rPr>
        <b/>
        <sz val="26"/>
        <rFont val="TH SarabunPSK"/>
        <family val="2"/>
      </rPr>
      <t xml:space="preserve">   : 1. เป้าหมายการเบิกจ่ายเงินงบประมาณรายจ่ายประจำปี  พ.ศ.  2555 ตามมติคณะรัฐมนตรี  ภาพรวม  ณ  สิ้นปีงบประมาณ  พ.ศ.  2555  ร้อยละ  93.00 </t>
    </r>
    <r>
      <rPr>
        <b/>
        <u/>
        <sz val="26"/>
        <rFont val="TH SarabunPSK"/>
        <family val="2"/>
      </rPr>
      <t>ซึ่งเป้าหมายอัตราการเบิกสะสม ณ สิ้นเดือนกันยายน 2555  คิดเป็นร้อยละ 93.00</t>
    </r>
  </si>
  <si>
    <r>
      <t xml:space="preserve">                    2. เป้าหมายการเบิกจ่ายงบประมาณรายจ่ายลงทุน  ณ  สิ้นปีงบประมาณ  พ.ศ.  2555  ร้อยละ  72.00  ของวงเงินงบประมาณรายจ่ายลงทุน  </t>
    </r>
    <r>
      <rPr>
        <b/>
        <u/>
        <sz val="26"/>
        <rFont val="TH SarabunPSK"/>
        <family val="2"/>
      </rPr>
      <t>ซึ่งเป้าหมายอัตราการเบิกสะสม ณ สิ้นเดือนกันยายน 2555  คิดเป็นร้อยละ 72.00</t>
    </r>
  </si>
  <si>
    <t>รายละเอียดงบประมาณรายจ่ายประจำปีงบประมาณ  พ.ศ.  2564</t>
  </si>
  <si>
    <t>โครงการเสริมสร้างภูมิคุ้มกัน</t>
  </si>
  <si>
    <t>เพื่อสันติสุขในพื้นที่จังหวัด</t>
  </si>
  <si>
    <t>ชายแดนภาคใต้</t>
  </si>
  <si>
    <t>รหัสงบ 1600604028700001</t>
  </si>
  <si>
    <t>รหัสงบ 1600604028700002</t>
  </si>
  <si>
    <t>โครงการบำบัดรักษาผู้เสพ</t>
  </si>
  <si>
    <t>รหัสงบ 1600606011700001</t>
  </si>
  <si>
    <t>รหัสงบ 1600606017700001-3</t>
  </si>
  <si>
    <t>ผลผลิต : จำแนกเด็กและ</t>
  </si>
  <si>
    <t>เยาวชนในสถานพินิจเกี่ยวกับ</t>
  </si>
  <si>
    <t>รหัสงบ 1600613007000000</t>
  </si>
  <si>
    <t>ปฏิรูปกฎหมายและพัฒนา</t>
  </si>
  <si>
    <t>รหัสงบ 1600614009000000</t>
  </si>
  <si>
    <t>รหัสงบ 1600658014000000</t>
  </si>
  <si>
    <t>รหัสงบ 1600660002000000</t>
  </si>
  <si>
    <t>1600604028700001</t>
  </si>
  <si>
    <t>1600604028700002</t>
  </si>
  <si>
    <t>1600606011700001</t>
  </si>
  <si>
    <t>1600606017700001</t>
  </si>
  <si>
    <t>1600606017700002</t>
  </si>
  <si>
    <t>1600606017700003</t>
  </si>
  <si>
    <t>1600631016700003</t>
  </si>
  <si>
    <t>ค่าใช้จ่ายในการเพิ่มประสิทธิภาพการบำบัดทางจิตวิทยาในเด็กและเยาวชนที่มีปัญหาสุขภาพจิตหรือปัญหาซับซ้อนรุนแรง</t>
  </si>
  <si>
    <t>1600660003700001</t>
  </si>
  <si>
    <t>1600660003700002</t>
  </si>
  <si>
    <t>1600660003700003</t>
  </si>
  <si>
    <t>(3)</t>
  </si>
  <si>
    <t>1600660002410001</t>
  </si>
  <si>
    <t>1600660002410002</t>
  </si>
  <si>
    <t>1600660002410003</t>
  </si>
  <si>
    <t>1600660002410004</t>
  </si>
  <si>
    <t>1600660002410005</t>
  </si>
  <si>
    <t>1600660002410006</t>
  </si>
  <si>
    <t>1600660002410007</t>
  </si>
  <si>
    <t>1600660002410008</t>
  </si>
  <si>
    <t>1600660002410009</t>
  </si>
  <si>
    <t>1600660002410010</t>
  </si>
  <si>
    <t>1600660003410001</t>
  </si>
  <si>
    <t>1600660003410002</t>
  </si>
  <si>
    <t>1600660003410003</t>
  </si>
  <si>
    <t>1600660002420001</t>
  </si>
  <si>
    <t>1600660002420002</t>
  </si>
  <si>
    <t>1600660002420003</t>
  </si>
  <si>
    <t>1600660002420004</t>
  </si>
  <si>
    <t>1600660002420005</t>
  </si>
  <si>
    <t>1600660002420006</t>
  </si>
  <si>
    <t>1600660003420001</t>
  </si>
  <si>
    <t>1600660003420002</t>
  </si>
  <si>
    <t>ที่</t>
  </si>
  <si>
    <t xml:space="preserve">ก่อสร้างอาคารชุดที่พักอาศัยข้าราชการ ขนาด 18 ยูนิต สถานพินิจฯจังหวัดนนทบุรี </t>
  </si>
  <si>
    <t>ก่อสร้างสถานพินิจฯ จังหวัดสุรินทร์(ที่มีสถานแรกรับเด็กและเยาวชน) พร้อมส่วนประกอบ</t>
  </si>
  <si>
    <t>ก่อสร้างสถานพินิจฯจังหวัดฉะเชิงเทรา (ที่มีสถานแรกรับเด็กและเยาวชน) พร้อมส่วนประกอบ</t>
  </si>
  <si>
    <t xml:space="preserve">ก่อสร้างศูนย์แรกรับฯบ้านเมตตาพร้อมส่วนประกอบ (เพิ่มเติม) </t>
  </si>
  <si>
    <t>โครงการบ้านพักข้าราชการ (บ้านหลวง) สถานพินิจฯจังหวัดแม่ฮ่องสอน</t>
  </si>
  <si>
    <t xml:space="preserve">โครงการเพิ่มประสิทธิภาพเพื่อการดูแลเด็กและเยาวชนสำหรับศูนย์ฝึกฯจังหวัดยะลา </t>
  </si>
  <si>
    <t>ก่อสร้างศูนย์ฝึกฯ จังหวัดสงขลาพร้อมส่วนประกอบ</t>
  </si>
  <si>
    <t xml:space="preserve">ก่อสร้างสถานพินิจฯจังหวัดชุมพร(ที่มีสถานแรกรับเด็กและเยาวชน)  พร้อมส่วนประกอบ และอาคารชุดที่พักอาศัยข้าราชการขนาด 18 ยูนิต </t>
  </si>
  <si>
    <t>ของ</t>
  </si>
  <si>
    <t>ค่าก่อสร้างงบประมาณผูกผัน รายการเดิม ( 8 รายการ)</t>
  </si>
  <si>
    <t>ในระบบ GFMIS</t>
  </si>
  <si>
    <t>รหัสงบ 1600660003000000</t>
  </si>
  <si>
    <t>กรมพินิจและคุ้มครองเด็กและเยาวชน  กระทรวงยุติธรรม</t>
  </si>
  <si>
    <t xml:space="preserve">กรมพินิจฯ </t>
  </si>
  <si>
    <t>และ/หรือ สิ้นสุดสัญญา</t>
  </si>
  <si>
    <t>สิ้นสุดวันที่  21 มิถุนายน 65</t>
  </si>
  <si>
    <t>สิ้นสุดวันที่ 3 มกราคม 65</t>
  </si>
  <si>
    <t>สิ้นสุดวันที่ 13 สิงหาคม 64</t>
  </si>
  <si>
    <t>สิ้นสุดวันที่ 17 พฤษภาคม 64</t>
  </si>
  <si>
    <t>สิ้นสุดวันที่ 29 ธันวาคม 63</t>
  </si>
  <si>
    <t>สิ้นสุดวันที่ 22 มกราคม 64</t>
  </si>
  <si>
    <t>สิ้นสุดวันที่ 24 มีนาคม 65</t>
  </si>
  <si>
    <t>สิ้นสุดวันที่ 24 มีนาคม 64</t>
  </si>
  <si>
    <t>สิ้นสุดวันที่ 26 มกราคม 64</t>
  </si>
  <si>
    <t>สิ้นสุดวันที่ 22 กุมภาพันธ์ 64</t>
  </si>
  <si>
    <t>สิ้นสุดวันที่ 24 ธันวาคม 63</t>
  </si>
  <si>
    <t>หมายเหตุ : สถานะปัจจุบัน</t>
  </si>
  <si>
    <t>รายการโครงการคืนคนดีสู่สังคม</t>
  </si>
  <si>
    <t>รายการโครงการคืนคนดีสู่สังคัม</t>
  </si>
  <si>
    <t>ค่าจ้างงานผู้พ้นโทษ</t>
  </si>
  <si>
    <t>หมวด</t>
  </si>
  <si>
    <t>5 = 1 - 4</t>
  </si>
  <si>
    <t>ตาม พรบ.</t>
  </si>
  <si>
    <t>ร้อยละเบิกจ่าย</t>
  </si>
  <si>
    <t>6 = 1 - 3 - 4</t>
  </si>
  <si>
    <t xml:space="preserve">PO </t>
  </si>
  <si>
    <t xml:space="preserve">หมายเหตุ  ปัจจุบันได้จัดสรรงบประมาณไปตั้งจ่ายให้แก่หน่วยงานในสังกัดเรียบร้อยแล้ว โดยมีการอนุมัติจ้างงงานตั้งแต่วันที่ 16 พฤศจิกายน 2563 เป็นต้นไป </t>
  </si>
  <si>
    <t>ของการเบิกจ่าย+PO</t>
  </si>
  <si>
    <t>การเบิกจ่าย+PO</t>
  </si>
  <si>
    <t>หน่วยงานทำ Po ซ้ำ จึงส่งผลทำให้เสียงบประมาณดังกล่าวไป</t>
  </si>
  <si>
    <t>1600660003700005</t>
  </si>
  <si>
    <t>ค่าใช้จ่ายเกี่ยวกับการดำเนินงานในกิจกรรมการป้องกัน บำบัด แก้ไข ฟื้นฟูสมรรถภาพเด็กและเยาวชนที่เกี่ยวข้องกับยาและสารเสพติด</t>
  </si>
  <si>
    <t>ค่าใช้จ่ายในการรณรงค์ป้องกันและแก้ไขปัญหายาเสพติดในสถานพินิจและศูนย์ฝึกและอบรม</t>
  </si>
  <si>
    <t>โครงการการบำบัดแก้ไขฟื้นฟูเด็กและเยาวชนเฉพาะรายแบบไร้รอยต่อ (IRC)</t>
  </si>
  <si>
    <t>ค่าใช้จ่ายในการสัมมนาและฝึกอาชีพ</t>
  </si>
  <si>
    <t>1)</t>
  </si>
  <si>
    <t>2)</t>
  </si>
  <si>
    <t>1600660002410011</t>
  </si>
  <si>
    <t>1600660002410012</t>
  </si>
  <si>
    <t>1600660002410013</t>
  </si>
  <si>
    <t>หรือ PO</t>
  </si>
  <si>
    <t>สิ้นสุดวันที่ 7 มิถุนายน 2564</t>
  </si>
  <si>
    <t>1600660002410014</t>
  </si>
  <si>
    <t>1600660002410015</t>
  </si>
  <si>
    <t>2) มีการโอนเปลี่ยนแปลงงบประมาณ จากงบดำเนินงาน ไปตั้งจ่ายเป็นงบลงทุน เป็นเงินจำนวน 2,834,599.- บาท</t>
  </si>
  <si>
    <t>เป้าหมายการเบิกจ่าย</t>
  </si>
  <si>
    <t>ปรับปรุงเพิ่มเติมงานอาคารของ      ศูนย์ฝึกฯ จังหวัดยะลา</t>
  </si>
  <si>
    <t>3) มีการโอนเปลี่ยนแปลงงบประมาณ จากงบดำเนินงาน ไปตั้งจ่ายเป็นงบลงทุน เป็นเงินจำนวน 2,834,599.- บาท</t>
  </si>
  <si>
    <t>3) สำนักงบประมาณ ได้จัดสรรเงินงบประมาณรายการก่อสร้างสถานพินิจฯ จังหวัดฉะเชิงเทรา มาตั้งจ่ายให้เพิ่มเติม เป็นเงินจำนวน 2,386,400.- บาท (เพื่อเบิกจ่ายให้ผู้รับจ้างที่มีการส่งมอบงานในบางส่วนเรียบร้อยแล้ว )</t>
  </si>
  <si>
    <t>5) ใช้วงเงินงบประมาณตาม พรบ. และหลังโอนเปลี่ยนแปลงงบประมาณ เป็นฐานในการคำนวณ</t>
  </si>
  <si>
    <t>หมายเหตุ ต่ำกว่า / สูงกว่า เป้าหมาย</t>
  </si>
  <si>
    <t>สิ้นสุดวันที่ 23 พฤศจิกายน 63 ปัจจุบันงานก่อสร้างยังไม่แล้วเสร็จ</t>
  </si>
  <si>
    <t>สิ้นสุดวันที่  25 กันยายน 63 และ ปัจจุบันงานก่อสร้างยังไม่แล้วเสร็จ</t>
  </si>
  <si>
    <t>สิ้นสุดสัญญา วันที่ 17 พฤษภาคม 2564</t>
  </si>
  <si>
    <t>สิ้นสุดสัญญา วันที่ 3 มกราคม 2565</t>
  </si>
  <si>
    <t>สิ้นสุดสัญญา วันที่ 14 มิถุนายน 2564</t>
  </si>
  <si>
    <t>สิ้นสุดสัญญา วันที่ 28 มกราคม 2564</t>
  </si>
  <si>
    <t>สิ้นสุดสัญญา วันที่ 22 เมษายน 2565</t>
  </si>
  <si>
    <t>สิ้นสุดสัญญา วันที่ 13 สิงหาคม 2564</t>
  </si>
  <si>
    <t>สิ้นสุดสัญญา วันที่ 24 มีนาคม 2565</t>
  </si>
  <si>
    <t>รายการเดิม ที่ได้รับจัดสรรตาม พรบ. งบประมาณ</t>
  </si>
  <si>
    <t>2. ครุภัณฑ์รายการใหม่ ซึ่งเป็นรายการโอนเปลี่ยนแปลงจากเงินเหลือจ่ายจากการจัดซื้อจัดจ้าง ไปตั้งจ่ายเป็นรายการใหม่ และปัจจุบันอยู่ระหว่างขั้นตอนการจัดซื้อจัดจ้าง</t>
  </si>
  <si>
    <t xml:space="preserve">1. ครุภัณฑ์รายการเดิม ที่หน่วยงานหมดความจำเป็น และอยู่ระหว่างขออนุมัติโอนเปลี่ยนแปลงไปเป็นรายการใหม่ </t>
  </si>
  <si>
    <t>5. ที่ดินและสิ่งก่อสร้าง ที่ยังไม่ก่อหนี้ผูกพัน (ซึ่งเป็นรายการใหม่ ที่ได้โอนเปลี่ยนแปลงงบประมาณจากเงินเหลือจ่ายจากการจัดซื้อจัดจ้างไปตั้งจ่ายเป็นรายการใหม่) และปัจจุบันอยู่ระหว่างดำเนินการจัดจ้าง</t>
  </si>
  <si>
    <t>3. ครุภัณฑ์เงินเหลือจ่ายจากการจัดซื้อจัดจ้าง และ   อยู่ระหว่างขออนุมัติโอนเปลี่ยนแปลงไปตั้งจ่ายเป็นรายการใหม่</t>
  </si>
  <si>
    <t>6. ที่ดินและสิ่งก่อสร้าง ที่ยังไม่ก่อหนี้ผูกพัน (ซึ่งเป็นเงิบประมาณเหลือจ่ายจากการจัดซื้อจัดจ้าง และปัจจุบันอยู่ระหว่างขออนุมัติโอนเปลี่ยนแปลง         ไปตั้งจ่ายเป็นรายการใหม่)</t>
  </si>
  <si>
    <t>รายละเอียดงบประมาณ งบปีเดียวที่มียอดคงเหลือสุทธิ ได้แก่</t>
  </si>
  <si>
    <t>*หมายเหตุ     1) กรมพินิจฯ ได้รับงบประมาณตามพรบ. เป็นเงินจำนวน 195,714,800.- บาท แต่เบื้องต้นได้รับจัดสรรงบประมาณในระบบ GFMIS เป็นเงินจำนวน 88,481,100.- บาท หรือคิดเป็น ร้อยละ 45.21 ของวงเงินที่ได้รับจัดสรรตาม พรบ.</t>
  </si>
  <si>
    <t>4. ที่ดินและสิ่งก่อสร้าง ที่ยังไม่ก่อหนี้ผูกพัน (รายการเดิมที่ได้รับจัดสรรตาม พรบ. งบประมาณ) และปัจจุบันอยู่ระหว่างการปรับ/แก้ไข แบบรูปรายการ</t>
  </si>
  <si>
    <t xml:space="preserve">4) มีการโอนเปลี่ยนแปลงงบประมาณ จากงบลงทุน ไปตั้งจ่ายเป็นงบรายจ่ายอื่น(PMQA4.0) เป็นเงินจำนวน 400,000.- บาท </t>
  </si>
  <si>
    <t>ของการเบิกจ่าย +</t>
  </si>
  <si>
    <t>เงินกันไว้เบิก</t>
  </si>
  <si>
    <t>พ.ศ. 2563</t>
  </si>
  <si>
    <t>งบประมาณปี 2563 พับไป</t>
  </si>
  <si>
    <t xml:space="preserve">เหลื่อมปี </t>
  </si>
  <si>
    <t>สิ้นสุดสัญญา วันที่ 21 มิถุนายน 2565 และเบื้องต้นอยู่ระหว่างขออนุมัติเบิกจ่ายเงินอีก    เป็นเงินจำนวน 1,054,054.- บาท (จากเงินปี 63 = 582,768.- บาท ปี 64 = 471,286.- บาท)</t>
  </si>
  <si>
    <t>ตาม พรบ</t>
  </si>
  <si>
    <t>งบประมาณปี พ.ศ. 2564</t>
  </si>
  <si>
    <t>สรุปงบประมาณ</t>
  </si>
  <si>
    <t>ที่ยังไม่ได้รับจัดสรร</t>
  </si>
  <si>
    <t>จากสำนักงบประมาณ</t>
  </si>
  <si>
    <t xml:space="preserve"> GFMIS ณ ปัจจุบัน</t>
  </si>
  <si>
    <t>งบประมาณที่ได้รับใน</t>
  </si>
  <si>
    <t>คงเหลือ ณ ปัจจุบัน</t>
  </si>
  <si>
    <t>โครงการบ้านพักข้าราชการ (บ้านหลวง)สถานพินิจฯ จังหวัดแม่ฮ่องสอน</t>
  </si>
  <si>
    <t>ก่อสร้างก่อสร้างอาคารชุดที่พักอาศัยข้าราชการฯสถานพินิจฯ จังหวัดนนทบุรี</t>
  </si>
  <si>
    <t>สิ้นสุดวันที่ 10 พฤษภาคม 64 และเดิมมีการกันเงินฯ เป็นเงินจำนวน 5,772,752.96 บาท แต่ต่อมามีการปรับลดยอด PO    ไปเป็น 5,505,412.65 บาท จึงส่งผลให้มีวงเงินคงเหลือ 267,340.31 บาท (หรือเป็นงบประมาณพับไป 267,340.31 บาท)</t>
  </si>
  <si>
    <t xml:space="preserve">3) มีการโอนเปลี่ยนแปลงงบประมาณ จากงบลงทุน ไปตั้งจ่ายเป็นงบรายจ่ายอื่น(PMQA 4.0) เป็นเงินจำนวน 400,000.- บาท </t>
  </si>
  <si>
    <t>ใช้วงเงินงบประมาณในระบบ GFMIS เป็นฐานในการคำนวณ</t>
  </si>
  <si>
    <t>งบประจำ</t>
  </si>
  <si>
    <t xml:space="preserve">เบิกจ่ายเรียบร้อยแล้ว </t>
  </si>
  <si>
    <t>1600660002410032</t>
  </si>
  <si>
    <t>ก่อสร้างห้องพยาบาลเด็กและเยาวชน สถานพินิจฯ จังหวัดนนทบุรี</t>
  </si>
  <si>
    <t>1600660003700008</t>
  </si>
  <si>
    <t>เป้าหมายการใช้จ่ายงบประมาณ ประจำปีงบประมาณ พ.ศ. 2564 ตามมติคณะรัฐมนตรี</t>
  </si>
  <si>
    <t>2) มีการโอนเปลี่ยนแปลงงบประมาณ จากงบดำเนินงาน ไปตั้งจ่ายเป็นงบรายจ่ายอื่น (ค่าจ้างที่ปรึกษา 4 โครงการ) เป็นเงินจำนวน 5,015,000.- บาท</t>
  </si>
  <si>
    <t>3) มีการโอนเปลี่ยนแปลงงบประมาณ จากงบลงทุน  ไปตั้งจ่ายเป็นงบรายจ่ายอื่น(รายการPMQA 4.0 ) เป็นเงินจำนวน 400,000.- บาท</t>
  </si>
  <si>
    <t>หรือโอนเปลี่ยนแปลงฯ</t>
  </si>
  <si>
    <t xml:space="preserve"> ตาม พรบ.</t>
  </si>
  <si>
    <t>ร้อยละของ</t>
  </si>
  <si>
    <t xml:space="preserve">การเบิกจ่าย </t>
  </si>
  <si>
    <t xml:space="preserve"> + PO</t>
  </si>
  <si>
    <t>ค่าเช่าเครื่องถ่ายเอกสาร</t>
  </si>
  <si>
    <t>สิ้นสุดวันที่ 11 สิงหาคม 65</t>
  </si>
  <si>
    <t>สิ้นสุดวันที่ 21 ธันวาคม 64</t>
  </si>
  <si>
    <t>สิ้นสุดวันที่ 10 พฤษภาคม 64 และปัจจุบันได้เบิกจ่ายเสร็จเรียร้อยแล้ว และมีเงินเหลือจ่ายที่ต้องพับไป เป็นเงินจำนวน 988,573.81 บาท</t>
  </si>
  <si>
    <t>หน่วยงานทำ Po ซ้ำ จึงส่งผลทำให้เป็นงบประมาณพับไป</t>
  </si>
  <si>
    <t>7015270833/ 7015636946</t>
  </si>
  <si>
    <t>1600660003410025</t>
  </si>
  <si>
    <t>1600660003410026</t>
  </si>
  <si>
    <t>1600660003410027</t>
  </si>
  <si>
    <t xml:space="preserve">ติดตั้งผ้าม่านมู่ลี่ ของสถานพินิจฯ จังหวัดสุรินทร์
</t>
  </si>
  <si>
    <t xml:space="preserve">ปรับปรุงอาคารหอนอนเด็กและเยาวชน ของสถานพินิจฯ จังหวัดสุรินทร์
</t>
  </si>
  <si>
    <t xml:space="preserve">ปรับปรุงประตูทางเข้าออกอาคารตึกอำนวยการ ของสถานพินิจฯ จังหวัดตาก
</t>
  </si>
  <si>
    <t xml:space="preserve">   2) ใช้วงเงินงบประมาณหลังโอนเปลี่ยนแปลงงบประมาณ หรือได้รับสุทธิ เป็นฐานในการคำนวณ</t>
  </si>
  <si>
    <r>
      <t xml:space="preserve">สิ้นสุดวันที่  25 กันยายน 63 และ ปัจจุบันงานก่อสร้างยังไม่แล้วเสร็จ </t>
    </r>
    <r>
      <rPr>
        <b/>
        <u val="singleAccounting"/>
        <sz val="18"/>
        <color theme="1"/>
        <rFont val="TH SarabunPSK"/>
        <family val="2"/>
      </rPr>
      <t>(ผู้รับจ้างทิ้งงาน)</t>
    </r>
  </si>
  <si>
    <t>1600660002410036</t>
  </si>
  <si>
    <t>ลานกีฬาคอนกรีตของศูนย์ฝึกฯ บ้านบึง</t>
  </si>
  <si>
    <t xml:space="preserve">        1.1) มีการโอนเปลี่ยนแปลงงบประมาณ จากงบดำเนินงาน  มาตั้งจ่ายเป็น งบรายจ่ายอื่น (ค่าจ้างที่ปรึกษา จำนวน 4 โครงการ ตั้งแต่ลำดับ 14 -16 และ 18) เป็นเงินจำนวน 5,015,000.- บาท</t>
  </si>
  <si>
    <t>1600660003410028</t>
  </si>
  <si>
    <t>1600660003410029</t>
  </si>
  <si>
    <t xml:space="preserve">ปรับปรุงหลังคาอาคารอำนวยการศูนย์ฝึกฯ บ้านบึง ของศูนย์ฝึกฯ บ้านบึง </t>
  </si>
  <si>
    <t xml:space="preserve">โครงการงานรั้วเหล็กโปร่งรอบลานสนามกีฬา ของศูนย์ฝึกฯ บ้านบึง </t>
  </si>
  <si>
    <t xml:space="preserve">        1.2) มีการโอนเปลี่ยนแปลงงบประมาณ จากงบลงทุน  มาตั้งจ่ายเป็นงบรายจ่ายอื่น(รายการ PMQA 4.0 หรือรายการลำดับที่ 17) เป็นเงินจำนวน 400,000.- บาท โอนเปลี่ยนแปลงกลับไปตั้งจ่ายเป็นงบดำเนินงาน</t>
  </si>
  <si>
    <t xml:space="preserve">        โอนเปลี่ยนแปลงกลับไปตั้งจ่ายเป็นงบดำเนินงาน เป็นเงินจำนวน 10,500.- บาท  คงเหลือ 5,004,500.- บาท</t>
  </si>
  <si>
    <t xml:space="preserve">          เป็นเงินจำนวน 1,000 บาท คงเหลือ 399,000.- บาท</t>
  </si>
  <si>
    <t>สิ้นสุดวันที่ 10 พฤษภาคม 64 และปัจจุบันได้เบิกจ่ายเสร็จเรียบร้อยแล้ว และมีเงินเหลือจ่ายที่ต้องพับไป เป็นเงินจำนวน 988,573.81 บาท งบประมาณพับไป</t>
  </si>
  <si>
    <t>สิ้นสุดวันที่ 24 มีนาคม 65 งบประมาณพับไป</t>
  </si>
  <si>
    <t>สิ้นสุดวันที่ 11 สิงหาคม 65 งบประมาณพับไป</t>
  </si>
  <si>
    <t>สิ้นสุดวันที่ 3 มกราคม 65 งบประมาณพับไป</t>
  </si>
  <si>
    <r>
      <t xml:space="preserve">สิ้นสุดวันที่  25 กันยายน 63 และ ปัจจุบันงานก่อสร้างยังไม่แล้วเสร็จ </t>
    </r>
    <r>
      <rPr>
        <b/>
        <u val="singleAccounting"/>
        <sz val="18"/>
        <color theme="1"/>
        <rFont val="TH SarabunPSK"/>
        <family val="2"/>
      </rPr>
      <t>(ผู้รับจ้างทิ้งงาน) งบประมาณพับไป</t>
    </r>
  </si>
  <si>
    <t>สรุปรายละเอียดการกันไว้เบิกเหลื่อมปีงบประมาณ พ.ศ. 2564</t>
  </si>
  <si>
    <t>2) มีการโอนเปลี่ยนแปลงงบประมาณ จากงบดำเนินงาน ไปตั้งจ่ายเป็นงบรายจ่ายอื่น (ค่าจ้างที่ปรึกษา 4 โครงการ) เป็นเงินจำนวน 5,403,500.- บาท</t>
  </si>
  <si>
    <t>30.09.2021</t>
  </si>
  <si>
    <t>30.11.2021</t>
  </si>
  <si>
    <t>28.10.2021</t>
  </si>
  <si>
    <t>26.10.2021</t>
  </si>
  <si>
    <t>31.08.2021</t>
  </si>
  <si>
    <t>18.10.2021</t>
  </si>
  <si>
    <t>03.10.2021</t>
  </si>
  <si>
    <t>27.01.2022</t>
  </si>
  <si>
    <t>10.10.2021</t>
  </si>
  <si>
    <t>21.10.2021</t>
  </si>
  <si>
    <t>08.07.2021</t>
  </si>
  <si>
    <t>26.03.2022</t>
  </si>
  <si>
    <t>26.09.2021</t>
  </si>
  <si>
    <t>17.11.2021</t>
  </si>
  <si>
    <t>17.02.2022</t>
  </si>
  <si>
    <t>19.03.2022</t>
  </si>
  <si>
    <t>21.01.2022</t>
  </si>
  <si>
    <t>28.12.2021</t>
  </si>
  <si>
    <t>25.09.2021</t>
  </si>
  <si>
    <t>22.04.2022</t>
  </si>
  <si>
    <t>07.06.2021</t>
  </si>
  <si>
    <t>21.06.2022</t>
  </si>
  <si>
    <t>19.09.2021</t>
  </si>
  <si>
    <t>26.11.2021</t>
  </si>
  <si>
    <t>01.11.2021</t>
  </si>
  <si>
    <t>22.10.2021</t>
  </si>
  <si>
    <t>16.10.2021</t>
  </si>
  <si>
    <t>04.10.2021</t>
  </si>
  <si>
    <t>23.09.2021</t>
  </si>
  <si>
    <t>19.10.2021</t>
  </si>
  <si>
    <t>15.10.2021</t>
  </si>
  <si>
    <t>27.03.2022</t>
  </si>
  <si>
    <t>กรมพินิจฯ ส่วนกลาง</t>
  </si>
  <si>
    <t>สถานพินิจฯ จังหวัดแม่ฮ่องสอน</t>
  </si>
  <si>
    <t>สถานพินิจฯ จังหวัดสุรินทร์</t>
  </si>
  <si>
    <t>ศูนย์ฝึกฯ บ้านกรุณา</t>
  </si>
  <si>
    <t>สถานพินิจฯ จังหวัดสมุทรปราการ</t>
  </si>
  <si>
    <t>สถานพินิจฯ จังหวัดนนทบุรี</t>
  </si>
  <si>
    <t>สถานพินิจฯ จังหวัดตาก</t>
  </si>
  <si>
    <t>ศูนย์ฝึกฯ บ้านบึง</t>
  </si>
  <si>
    <t>ค่าเช่าเครื่องถ่ายเอกสาร (กองคลัง)</t>
  </si>
  <si>
    <t>ค่าเช่าเครื่องถ่ายเอกสาร (กพส)</t>
  </si>
  <si>
    <t>ค่าบำรุงรักษาระบบคอมพิวเตอร์</t>
  </si>
  <si>
    <t>โครงการจัดทำข้อมูลความปลอดภัย</t>
  </si>
  <si>
    <t>จัดจ้างที่ปรึกษาบำรุงรักษาระบบราชการ</t>
  </si>
  <si>
    <t>ค่าจ้างเหมาย้ายเครื่องคอมแม่ข่ายฯ</t>
  </si>
  <si>
    <t>ค่าจัดจ้างผลิตสื่อวีดีทัศน์ 70 ปี</t>
  </si>
  <si>
    <t>ค่าจัดจ้างพิมพ์วัสดุแบบพิมพ์</t>
  </si>
  <si>
    <t>ค่าจัดซื้อกระดาษ</t>
  </si>
  <si>
    <t>ผลิตสื่อการเรียนรู้</t>
  </si>
  <si>
    <t>จัดจ้างคู่มือเพื่อเสริมสร้างความเข้าใจ</t>
  </si>
  <si>
    <t>จัดซื้อชุดตรวจสารเสพติด</t>
  </si>
  <si>
    <t>ผลิตเกมออกไปข้างนอก</t>
  </si>
  <si>
    <t>จัดทำใบประกาศเกียรติคุณ</t>
  </si>
  <si>
    <t>จัดจ้างทำโล่ สำหรับกรรมการสงเคราะห์</t>
  </si>
  <si>
    <t>โครงการจัดทำระบบประเมินและจัดเก็บข้อมูลการตรวจสอบภายในด้วยอิเล็กทรอนิกส์ ประจำปีงบประมาณ พ.ศ. 2564</t>
  </si>
  <si>
    <t>1600660003110467</t>
  </si>
  <si>
    <t>โครงการพัฒนาระบบรายงานแสดงข้อมูลงบประมาณรายจ่ายประจำปีของกรมพินิจฯ ประจำปีงบประมาณ พ.ศ. 2564</t>
  </si>
  <si>
    <t>1600660003110464</t>
  </si>
  <si>
    <t>1600660003110463</t>
  </si>
  <si>
    <t>โครงการปรับปรุงระบบคำของบประมาณครุภัณฑ์/สิ่งก่อสร้าง</t>
  </si>
  <si>
    <t>1600660003110465</t>
  </si>
  <si>
    <t>โครงการพัฒนาระบบเบิกจ่ายพัสดุแบบออนไลน์</t>
  </si>
  <si>
    <t>เครื่องวัดออกซิเจนปลายนิ้ว ของกรมพินิจฯ (ส่วนกลาง)</t>
  </si>
  <si>
    <t>1600660003110267</t>
  </si>
  <si>
    <t>เครื่องรับส่งวิทยุสี่อสาร</t>
  </si>
  <si>
    <t>1600660003110492</t>
  </si>
  <si>
    <t>บอร์ดนิทรรศการ 70 ปี</t>
  </si>
  <si>
    <t>1600660002110045 / 1600660002110147/ 1600660003110117</t>
  </si>
  <si>
    <t>1600660003110314 / 160066000311315</t>
  </si>
  <si>
    <t>ถังออกซิเจน พร้อมอุปกรณ์ ศฝ.เขต 2</t>
  </si>
  <si>
    <t>1600660003110387</t>
  </si>
  <si>
    <t>1600660003110254</t>
  </si>
  <si>
    <t>โครงการจัดทำระบบคำของบประมาณประเภทลงทุน</t>
  </si>
  <si>
    <t>ค่าเครื่องแต่งกาย</t>
  </si>
  <si>
    <t>1600660002000000</t>
  </si>
  <si>
    <t>ค่าจัดซื้อเครื่องแบบประจำวันฯ</t>
  </si>
  <si>
    <t>1600613007000000</t>
  </si>
  <si>
    <t>1600660003000000</t>
  </si>
  <si>
    <t>โครงการจัดทำฐานข้อมูลและระบบครุภัณฑ์</t>
  </si>
  <si>
    <t>2.1 ค่าก่อสร้างศูนย์ฝึกฯ จังหวัดสงขลา</t>
  </si>
  <si>
    <t>2.2 ค่าก่อสร้างสถานพินิจฯ จังหวัดชุมพร</t>
  </si>
  <si>
    <t>2.2 ค่าก่อสร้างอาคารชุดที่พักฯ สถานพินิจฯ จังหวัดนนทบุรี</t>
  </si>
  <si>
    <t>2.2 ค่าปรับปรุงเขตพื้นที่ศูนย์ฝึกฯ เขต 4</t>
  </si>
  <si>
    <t>2.1 รายการครุภัณฑ์</t>
  </si>
  <si>
    <t>2.1 รายการที่ดินและสิ่งก่อสร้าง</t>
  </si>
  <si>
    <t>ค่าไส้กรองเครื่องกรองน้ำ</t>
  </si>
  <si>
    <t xml:space="preserve">สิ้นสุดวันที่ 24 มีนาคม 64 </t>
  </si>
  <si>
    <t xml:space="preserve">รวมงบรายจ่ายอื่น ของกรมพินิจฯ </t>
  </si>
  <si>
    <t>รวมงบรายจ่ายอื่นทั้งสิ้น</t>
  </si>
  <si>
    <t>ค่าจ้างที่ปรึกษาโครงการพัฒนาแบบประเมินความเสี่ยง และความจำเป็นในการบำบัดฟื้นฟูเด็กและเยาวชนในสถานพินิจฯ  (สถาบันวิจัยและพัฒนา)</t>
  </si>
  <si>
    <t>ผลิตหนังสือทำเนียบกรรมการสงเคราะห์</t>
  </si>
  <si>
    <t>ค่าใช้จ่ายในการรณรงค์ป้องกันและแก้ไขปัญหายาเสพติด (TO BE NUMBER ONE)</t>
  </si>
  <si>
    <t>งบประมาณตาม พรบ. ปี 65</t>
  </si>
  <si>
    <t>เงินประจำงวด ปี 65</t>
  </si>
  <si>
    <t xml:space="preserve">สรุปรายละเอียดการเบิกจ่ายเงินงบประมาณประจำปีงบประมาณ พ.ศ. 2565  ในระบบ GFMIS </t>
  </si>
  <si>
    <t>สรุปรายละเอียดการเบิกจ่ายเงินงบประมาณประจำปีงบประมาณ พ.ศ. 2565</t>
  </si>
  <si>
    <t>ศักยภาพคนตลอดช่วงชีวิต</t>
  </si>
  <si>
    <t>โครงการพัฒนาเด็กและเยาวชนดี</t>
  </si>
  <si>
    <t>เพื่อสังคม</t>
  </si>
  <si>
    <t>รหัสงบ 1600631030700001</t>
  </si>
  <si>
    <t>บำบัด ฟื้นฟู เด็กและเยาวชน</t>
  </si>
  <si>
    <t>รหัสงบ 1600658029700001-3</t>
  </si>
  <si>
    <t>1. โครงการส่งเสริมและพัฒนา</t>
  </si>
  <si>
    <t>2. โครงการพัฒนาระบบการแก้ไข</t>
  </si>
  <si>
    <t>ผลผลิตที่ 1 เด็ก เยาวชนและ</t>
  </si>
  <si>
    <t>ผู้เยาว์ได้รับการคุ้มครองดูแล</t>
  </si>
  <si>
    <t>ผลผลิตที่ 2 เด็กและเยาวชน</t>
  </si>
  <si>
    <t>ได้รับการพัฒนาพฤตินิสัย</t>
  </si>
  <si>
    <t>เงินจัดสรร ปี 65</t>
  </si>
  <si>
    <t>ร้อยละของเงินจัดสรร</t>
  </si>
  <si>
    <t>6 = 1-3-4</t>
  </si>
  <si>
    <t>PO+เบิกจ่าย</t>
  </si>
  <si>
    <t>ผู้รับจ้างทิ้งงาน</t>
  </si>
  <si>
    <t>5 = 1-4</t>
  </si>
  <si>
    <t>1600660003420003</t>
  </si>
  <si>
    <t>โครงการเพิ่มประสิทธิภาพเพื่อการดูแลเด็กและเยาวชนสำหรับศูนย์ฝึกฯ จังหวัดยะลา</t>
  </si>
  <si>
    <t>ก่อสร้างอาคารชุดที่พักอาศัยข้าราชการ ขนาด 18 ยูนิตสำหรับศูนย์ฝึกฯ เขต 1 จังหวัดระยอง (งานใหม่)</t>
  </si>
  <si>
    <t>3.1</t>
  </si>
  <si>
    <t>3.2</t>
  </si>
  <si>
    <t>3.3</t>
  </si>
  <si>
    <t>3.4</t>
  </si>
  <si>
    <t>3.5</t>
  </si>
  <si>
    <t>3.6</t>
  </si>
  <si>
    <t>3.7</t>
  </si>
  <si>
    <t xml:space="preserve">*หมายเหตุ :   กรมพินิจฯ ได้รับจัดสรรงบประมาณปี 2565 ตาม พรบ. เป็นเงินจำนวน 1,969,681,900.- บาท </t>
  </si>
  <si>
    <r>
      <rPr>
        <b/>
        <u/>
        <sz val="18"/>
        <rFont val="TH SarabunPSK"/>
        <family val="2"/>
      </rPr>
      <t>แต่</t>
    </r>
    <r>
      <rPr>
        <b/>
        <sz val="18"/>
        <rFont val="TH SarabunPSK"/>
        <family val="2"/>
      </rPr>
      <t xml:space="preserve"> เบื้องต้นได้รับจัดสรรในระบบ GFMIS เป็นเงินจำนวน 978,219,100.- บาท  คงเหลือยังไม่รับจัดสรรอีก เป็นเงินจำนวน 991,462,800.- บาท</t>
    </r>
  </si>
  <si>
    <t>ค่าปรับปรุงอาคารที่ทำการ/ค่าปรับปรุงอาคารที่พักอาศัย และสิ่งก่อสร้างประกอบที่มีราคาต่อหน่วยต่ำกว่า 10 ล้าน และค่าก่อสร้างอื่นๆ (งบประมาณปีเดียว) (18 รายการ)</t>
  </si>
  <si>
    <t>ค่าใช้จ่ายในการดำเนินกิจกรรมเสริมสร้างประสิทธิภาพงานยุติธรรม เพื่อการสร้างความเป็นธรรมในจังหวัดชายแดนภาคใต้</t>
  </si>
  <si>
    <t>ค่าใช้จ่ายในการป้องกันเด็กและเยาวชนกลุ่มเสี่ยงต่อการใช้ยาเสพติดในสถานพินิจและศูนย์ฝึกและอบรม</t>
  </si>
  <si>
    <t>1600631030700001</t>
  </si>
  <si>
    <t>ค่าใช้จ่ายในการพัฒนาเด็กและเยาวชนดีเพื่อสังคม</t>
  </si>
  <si>
    <t>1600658029700001</t>
  </si>
  <si>
    <t>ค่าใช้จ่ายในการพัฒนาระบบการแก้ไข บำบัด ฟื้นฟู เด็กและเยาวชน</t>
  </si>
  <si>
    <t>1600658029700002</t>
  </si>
  <si>
    <t>ค่าใช้จ่ายในการสร้างปัญญาพัฒนาอาชีพสำหรับเด็กและเยาวชนในกระบวนการยุติธรรม</t>
  </si>
  <si>
    <t>1600658029700003</t>
  </si>
  <si>
    <t>ค่าใช้จ่ายโครงการพัฒนาการบำบัด แก้ไข ฟื้นฟูและพัฒนาพฤตินิสัยเด็กและเยาวชนโดยการจัดการศึกษา ฝึกวิชาชีพการพัฒนากาย/จิตใจและการเตรียมความพร้อมก่อนปล่อย</t>
  </si>
  <si>
    <t>(PO)</t>
  </si>
  <si>
    <r>
      <t xml:space="preserve">        </t>
    </r>
    <r>
      <rPr>
        <b/>
        <u/>
        <sz val="16"/>
        <rFont val="TH SarabunPSK"/>
        <family val="2"/>
      </rPr>
      <t>ดังนั้น</t>
    </r>
    <r>
      <rPr>
        <b/>
        <sz val="16"/>
        <rFont val="TH SarabunPSK"/>
        <family val="2"/>
      </rPr>
      <t xml:space="preserve"> งบรายจ่ายอื่น ได้รับจัดสรรสุทธิ เป็นเงินจำนวนทั้งสิ้น 37,148,400.- บาท  รายละเอียดดังนี้</t>
    </r>
  </si>
  <si>
    <t>รายละเอียดงบประมาณรายจ่ายประจำปีงบประมาณ  พ.ศ.  2565</t>
  </si>
  <si>
    <r>
      <t xml:space="preserve">ค่าก่อสร้างงบประมาณผูกผัน </t>
    </r>
    <r>
      <rPr>
        <sz val="16"/>
        <rFont val="TH SarabunPSK"/>
        <family val="2"/>
      </rPr>
      <t>(7 รายการ)</t>
    </r>
  </si>
  <si>
    <t>*หมายเหตุ      ใช้วงเงินงบประมาณตาม พรบ. เป็นฐานในการคำนวณ</t>
  </si>
  <si>
    <t>งานก่อสร้างอาคารห้องประชุมขนาดเล็ก ศูนย์ฝึกและอบรมเด็กและเยาวชนเขต 2 จังหวัดราชบุรี</t>
  </si>
  <si>
    <r>
      <rPr>
        <b/>
        <sz val="22"/>
        <color theme="0"/>
        <rFont val="TH SarabunPSK"/>
        <family val="2"/>
      </rPr>
      <t xml:space="preserve">*หมายเหตุ : </t>
    </r>
    <r>
      <rPr>
        <b/>
        <sz val="22"/>
        <color theme="1"/>
        <rFont val="TH SarabunPSK"/>
        <family val="2"/>
      </rPr>
      <t xml:space="preserve">  2. ใช้วงเงินงบประมาณตาม พรบ. เป็นฐานในการคำนวณ</t>
    </r>
  </si>
  <si>
    <r>
      <t xml:space="preserve">*หมายเหตุ :   1. กรมพินิจฯ ได้รับงบประมาณ ตาม พรบ. เป็นเงินจำนวน 1,969,681,900.- บาท </t>
    </r>
    <r>
      <rPr>
        <b/>
        <u/>
        <sz val="22"/>
        <color theme="1"/>
        <rFont val="TH SarabunPSK"/>
        <family val="2"/>
      </rPr>
      <t>แต่</t>
    </r>
    <r>
      <rPr>
        <b/>
        <sz val="22"/>
        <color theme="1"/>
        <rFont val="TH SarabunPSK"/>
        <family val="2"/>
      </rPr>
      <t xml:space="preserve"> ปัจจุบันได้รับจัดสรรในเบื้องต้น(ในระบบ GFMIS)</t>
    </r>
  </si>
  <si>
    <t>คงเหลือจาก PO+ เบิกจ่าย</t>
  </si>
  <si>
    <t>ก่อสร้างอาคารชุดที่พักอาศัยข้าราชการ ขนาด 18 ยูนิตสถานพินิจฯ จังหวัดสกลนคร      (งานใหม่)</t>
  </si>
  <si>
    <t>ต่อเติมห้องพักเด็กและเยาวชนสถานพินิจฯ จังหวัดสระบุรี</t>
  </si>
  <si>
    <t>ก่อสร้างอาคารอเนกประสงค์สถานพินิจฯ จังหวัดอุบลราชธานี</t>
  </si>
  <si>
    <t>ก่อสร้างอาคารอเนกประสงค์สถานพินิจฯ จังหวัดพิษณุโลก</t>
  </si>
  <si>
    <t>ซ่อมแซมอาคาร สถานพินิจฯ จังหวัดนครศรีธรรมราช</t>
  </si>
  <si>
    <t>งานติดตั้งถังเก็บน้ำดีและติดตั้งปั้มน้ำ สถานพินิจฯ จังหวัดภูเก็ต</t>
  </si>
  <si>
    <t>ปรับปรุงรั้วตาข่ายถักลานตากผ้า สถานพินิจฯ จังหวัดสงขลา</t>
  </si>
  <si>
    <t>งานเหล็กกันตกอาคารหอนอน/อาคารวิชาชีพ สถานพินิจฯ กรุงเทพ</t>
  </si>
  <si>
    <t>งานซ่อมแซมหลังคาและฝ้าเพดานโรงครัว สถานพินิจฯ กรุงเทพ</t>
  </si>
  <si>
    <t>ติดตั้งตาข่ายกั้นนกและกันสาดสถานพินิจฯ จังหวัดนนทบุรี</t>
  </si>
  <si>
    <t>โครงการปรับปรุงอาคารชุดที่พักอาศัยข้าราชการ 18 ยูนิตและก่อสร้างรั้วกำแพงกันดินพร้อมถมดินรอบอาคาร สถานพินิจฯ จังหวัดร้อยเอ็ด</t>
  </si>
  <si>
    <t>ก่อสร้างรั้วบ้านพักข้าราชการ สถานพินิจฯ จังหวัดนครศรีธรรมราช</t>
  </si>
  <si>
    <t>ก่อสร้างรั้วบ้านพักข้าราชการ สถานพินิจฯ จังหวัดเชียงราย</t>
  </si>
  <si>
    <t>ปรับปรุงซ่อมแซมห้องน้ำในเรือนนอนชาย สถานพินิจฯ จังหวัดบุรีรัมย์</t>
  </si>
  <si>
    <t>งานรื้อถอนโรงอาบน้ำ (อาคารเดิม) สถานพินิจฯ จังหวัดบุรีรัมย์</t>
  </si>
  <si>
    <t>ปรับปรุงซ่อมแซมอาคารหอนอนเด็กและเยาวชน ศูนย์ฝึกฯ เขต10 จังหวัดพังงา</t>
  </si>
  <si>
    <t>จัดจ้างรื้อหน้าต่างบานเกร็ดและทำหน้าต่างบานเลื่อนอลูมิเนียม ศูนย์ฝึกฯ สิรินธร</t>
  </si>
  <si>
    <t xml:space="preserve">ก่อสร้างสถานพินิจฯ จังหวัดชุมพร(ที่มีสถานแรกรับเด็กและเยาวชน) พร้อมส่วนประกอบ และอาคารชุดที่พักอาศัยข้าราชการขนาด 18ยูนิต </t>
  </si>
  <si>
    <t xml:space="preserve">ก่อสร้างสถานพินิจฯ จังหวัดฉะเชิงเทรา (ที่มีสถานแรกรับเด็กและเยาวชน) พร้อมส่วนประกอบ </t>
  </si>
  <si>
    <t>ก่อสร้างศูนย์แรกรับฯ บ้านเมตตา เขตบางนา กรุงเทพมหานคร พร้อมส่วนประกอบ</t>
  </si>
  <si>
    <t>ก่อสร้างศูนย์ฝึกฯ จังหวัดสงขลา พร้อมส่วนประกอบ</t>
  </si>
  <si>
    <t>เงินเหลือจ่ายจากการจัดจ้าง</t>
  </si>
  <si>
    <t xml:space="preserve">ก่อสร้างสถานพินิจฯจังหวัดชุมพร(ที่มีสถานแรกรับเด็กและเยาวชน)  พร้อมส่วนประกอบ และอาคารชุดที่พักอาศัยข้าราชการ ขนาด  18 ยูนิต </t>
  </si>
  <si>
    <t>สรุปรายละเอียดเงินงบประมาณปี พ.ศ. 2563 ที่ต้องถูกพับไปโดยผลของกฎหมาย ตามพระราชบัญญัติวิธีการงบประมาณ พ.ศ. 2561</t>
  </si>
  <si>
    <t>ค่าจ้างเหมาย้ายระบบสารสนเทศฯ</t>
  </si>
  <si>
    <t xml:space="preserve">*หมายเหตุ ใช้วงเงินงบประมาณตาม พรบ. เป็นฐานในการคำนวณ  </t>
  </si>
  <si>
    <t xml:space="preserve">กรมพินิจฯ ตัดโอนงบประมาณให้แก่       กรมสุขภาพจิต </t>
  </si>
  <si>
    <t xml:space="preserve">                    เป็นเงินจำนวน 993,916,800.- บาท  หรือคิดเป็นร้อยละ 50.46</t>
  </si>
  <si>
    <t xml:space="preserve">สรุปสถานะการใช้จ่ายเงินงบประมาณประจำปีงบประมาณ พ.ศ. 2565 ในระบบ GFMIS     </t>
  </si>
  <si>
    <t>สรุปสถานะการใช้จ่ายเงินงบประมาณประจำปี พ.ศ. 2565 ในระบบ GFMIS (ตามที่กรมได้จัดสรรให้จริง ในระบบ GFMIS )</t>
  </si>
  <si>
    <t>งบประมาณปี พ.ศ. 2565 ยังไม่ได้รับจัดสรรในระบบ GFMIS</t>
  </si>
  <si>
    <t xml:space="preserve">    ครุภัณฑ์</t>
  </si>
  <si>
    <t>โครงการจัดซื้อเครื่องคอมพิวเตอร์แบบพกพา (iPad wifi) สำหรับสนับสนุนสถานการณ์   โควิด</t>
  </si>
  <si>
    <t>กล้องวงจรปิด พร้อมอุปกรณ์สำหรับห้อง แยกกัก ศฝ.บ้านกรุณา และกล้องวงจรปิด พร้อมอุปกรณ์สำหรับจัดตั้ง รพ.สนาม (ระบบ WiFi) ศฝ.บ้านกรุณา</t>
  </si>
  <si>
    <t xml:space="preserve">ปรับปรุงซ่อมแซมระบบบำบัดน้ำเสียจากอาคารสำนักงานและหอนอนเด็กและเยาวชน สถานพินิจฯ จังหวัดสมุทรปราการ </t>
  </si>
  <si>
    <t>กรมพินิจฯ ได้จัดสรรงบประมาณงบรายจ่ายอื่น ไปตั้งจ่ายให้แก่กรมสุขภาพจิต  ในลักษณะงบประมาณ      แทนกัน</t>
  </si>
  <si>
    <t>ค่าเช่ารถยนต์ราชการ (พับรอบมีนาคม2564 เป็นเงินจำนวน 267,340.31 บาท  และรอบกันยายน เป็นเงินจำนวน 721,233.50.- บาท)</t>
  </si>
  <si>
    <t>กรมพินิจและคุ้มครองเด็กและเยาวชน กระทรวงยุติธรรม</t>
  </si>
  <si>
    <t>1600660003410030</t>
  </si>
  <si>
    <t>1600660003410031</t>
  </si>
  <si>
    <t>ปรับปรุงและซ่อมแซมห้องบำบัด สถานพินิจฯ จังหวัดพระนครศรีอยุธยา</t>
  </si>
  <si>
    <t>ปรับปรุงอาคารหอนอนชายสถานแรกรับเด็กและเยาวชน สถานพินิจฯ จังหวัดฉะเชิงเทรา</t>
  </si>
  <si>
    <t>เป็นรายการโอนเปลี่ยนแปลง  เมื่อวันที่ 30 พ.ย. 64</t>
  </si>
  <si>
    <t>งบประมาณปี พ.ศ. 2565       ยังไม่ได้รับจัดสรรในระบบ GFMIS</t>
  </si>
  <si>
    <r>
      <t xml:space="preserve">ค่าใช้จ่ายในการรณรงค์ป้องกันและแก้ไขปัญหายาเสพติด TO BE NUMBER ONE </t>
    </r>
    <r>
      <rPr>
        <b/>
        <sz val="16"/>
        <rFont val="TH SarabunPSK"/>
        <family val="2"/>
      </rPr>
      <t>(ตัดโอนงบประมาณให้กรมสุขภาพจิต)</t>
    </r>
  </si>
  <si>
    <t>กรมพินิจฯ ได้จัดสรรงบประมาณให้หน่วยงานในสังกัด เมื่อวันที่ 30 พฤศจิกายน 2564 เพื่อรองรับเป็นค่าใช้จ่ายในการจ้างงานเยาวชนภายใต้โครงการคืนคนดีสู่สังคม</t>
  </si>
  <si>
    <t>3.1 งบรายจ่ายอื่น กรมพินิจฯ ดำเนินการ</t>
  </si>
  <si>
    <r>
      <t>3.2 งบรายจ่ายอื่น กรมพินิจฯ ตัดโอนงบประมาณให้</t>
    </r>
    <r>
      <rPr>
        <u/>
        <sz val="18"/>
        <rFont val="TH SarabunPSK"/>
        <family val="2"/>
      </rPr>
      <t>กรมสุขภาพจิต ดำเนินการ (รายการโครงการ TO BE NUMBER ONE)</t>
    </r>
  </si>
  <si>
    <t>สรุปสถานะการใช้จ่ายเงินงบประมาณประจำปีงบประมาณ  พ.ศ. 2565 เงินงบประมาณแทนกันของกรมคุมประพฤติ</t>
  </si>
  <si>
    <t>หมายเหตุ  รายละเอียดประกอบตั้งแต่หน้าที่ 9 ถึง 13</t>
  </si>
  <si>
    <t>มีการโอนเปลี่ยนแปลงจากรายการเดิมไปตั้งจ่ายรายการใหม่ เป็นเงินจำนวน 1,794,432.92 บาท</t>
  </si>
  <si>
    <t>ยังไม่เบิกจ่าย</t>
  </si>
  <si>
    <t>ร้อยละคงเหลือ</t>
  </si>
  <si>
    <t>ต่องบประมาณ</t>
  </si>
  <si>
    <t>การใช้จ่าย (PO+เบิกจ่าย)</t>
  </si>
  <si>
    <t xml:space="preserve"> (1)</t>
  </si>
  <si>
    <t xml:space="preserve"> (2)</t>
  </si>
  <si>
    <t xml:space="preserve"> (3)</t>
  </si>
  <si>
    <t xml:space="preserve"> (4)=(3)x100)/(1)</t>
  </si>
  <si>
    <t xml:space="preserve"> (5)</t>
  </si>
  <si>
    <t xml:space="preserve"> (6)=(5)x100)/(1)</t>
  </si>
  <si>
    <t xml:space="preserve"> (7)=(1) - (3)</t>
  </si>
  <si>
    <t xml:space="preserve"> (8)=(7)x100)/(1)</t>
  </si>
  <si>
    <t>กรมสุขภาพจิต ดำเนินการ</t>
  </si>
  <si>
    <t>กรมพินิจฯ ดำเนินการ</t>
  </si>
  <si>
    <t>*หมายเหตุ 1) ใช้วงเงินงบประมาณตาม พรบ. เป็นฐานในการคำนวณ</t>
  </si>
  <si>
    <t>งบประมาณรายจ่ายประจำ</t>
  </si>
  <si>
    <t>งบประมาณรายจ่ายลงทุน</t>
  </si>
  <si>
    <t>รวมงบประมาณทั้งสิ้น</t>
  </si>
  <si>
    <t>3) สรุปรายละเอียดการเบิกจ่ายเงินงบประมาณประจำปีงบประมาณ พ.ศ. 2565 งบประมาณแทนกันของกรมคุมประพฤติ รายการโครงการคืนคนดีสู่สังคม</t>
  </si>
  <si>
    <t>ค่าเช่ารถยนต์ราชการ (พับไปรอบมีนาคม 2564 เป็นเงินจำนวน 267,340.31 บาท และพับไปรอบกันยายน 2564 เป็นเงินจำนวน 721,233.50 บาท)</t>
  </si>
  <si>
    <t>ค่าก่อสร้างศูนย์ฝึกฯ จังหวัดสงขลา</t>
  </si>
  <si>
    <t>ค่าก่อสร้างสถานพินิจฯ จังหวัดชุมพร</t>
  </si>
  <si>
    <t>ค่าก่อสร้างอาคารชุดที่พักฯ สถานพินิจฯ จังหวัดนนทบุรี</t>
  </si>
  <si>
    <t>ค่าปรับปรุงเขตพื้นที่ฯ ศูนย์ฝึกฯ เขต 4</t>
  </si>
  <si>
    <t>วงเงินที่พับไป (บาท)</t>
  </si>
  <si>
    <t>เงินเหลือจ่ายจากการจัดซื้อจัดจ้าง</t>
  </si>
  <si>
    <t>2) เงินกันไว้เบิกเหลื่อมปี (พ.ศ. 2564) (รายละเอียดแนบหน้าที่  8  ถึง 12 )</t>
  </si>
  <si>
    <t>1) งบประมาณรายจ่าย ประจำปีงบประมาณ พ.ศ. 2565 (รายละเอียดแนบหน้าที่  3 ถึง  7 )</t>
  </si>
  <si>
    <t>วงเงินงบประมาณที่ได้รับ</t>
  </si>
  <si>
    <r>
      <rPr>
        <b/>
        <sz val="18"/>
        <color theme="0"/>
        <rFont val="TH SarabunPSK"/>
        <family val="2"/>
      </rPr>
      <t>*หมายเหตุ</t>
    </r>
    <r>
      <rPr>
        <b/>
        <sz val="18"/>
        <rFont val="TH SarabunPSK"/>
        <family val="2"/>
      </rPr>
      <t xml:space="preserve"> 2) เงินกันไว้เบิกเหลื่อมปี กรณีกรมสุขภาพจิตดำเนินการ คือ กรมพินิจฯ ได้ตัดโอนงบประมาณในลักษณะงบประมาณแทนกัน(TO BE NO.1) ให้กรมสุขภาพจิต ดำเนินการโครงการ</t>
    </r>
  </si>
  <si>
    <t xml:space="preserve"> (6)=(3)+(5)</t>
  </si>
  <si>
    <t xml:space="preserve"> (7)=(6)x100)/(1)</t>
  </si>
  <si>
    <t xml:space="preserve"> (8)=(1) - (3)</t>
  </si>
  <si>
    <t xml:space="preserve"> (9)=(8)x100)/(1)</t>
  </si>
  <si>
    <t>การใช้จ่าย (เบิกจ่าย+PO)</t>
  </si>
  <si>
    <r>
      <rPr>
        <b/>
        <sz val="18"/>
        <color theme="0"/>
        <rFont val="TH SarabunPSK"/>
        <family val="2"/>
      </rPr>
      <t>*หมายเหตุ</t>
    </r>
    <r>
      <rPr>
        <b/>
        <sz val="18"/>
        <rFont val="TH SarabunPSK"/>
        <family val="2"/>
      </rPr>
      <t xml:space="preserve"> 3) เงินกันไว้เบิกเหลื่อมปี กรณีกรมสุขภาพจิตดำเนินการ คือ กรมพินิจฯ ได้ตัดโอนงบประมาณในลักษณะงบประมาณแทนกัน(TO BE NO.1) ให้กรมสุขภาพจิต ดำเนินการโครงการ</t>
    </r>
  </si>
  <si>
    <r>
      <rPr>
        <b/>
        <sz val="18"/>
        <color theme="0"/>
        <rFont val="TH SarabunPSK"/>
        <family val="2"/>
      </rPr>
      <t>*หมายเหตุ</t>
    </r>
    <r>
      <rPr>
        <b/>
        <sz val="18"/>
        <rFont val="TH SarabunPSK"/>
        <family val="2"/>
      </rPr>
      <t xml:space="preserve"> 2) กรมพินิจฯ ได้รับงบประมาณปี พ.ศ. 2565 ตาม พรบ. เป็นเงิน 1,969,681,900.- บาท </t>
    </r>
    <r>
      <rPr>
        <b/>
        <u/>
        <sz val="18"/>
        <rFont val="TH SarabunPSK"/>
        <family val="2"/>
      </rPr>
      <t>แต่ปัจจุบัน</t>
    </r>
    <r>
      <rPr>
        <b/>
        <sz val="18"/>
        <rFont val="TH SarabunPSK"/>
        <family val="2"/>
      </rPr>
      <t>ได้รับจัดสรรในระบบ GFMIS เป็นเงิน 993,916,800.- บาท หรือคิดเป็นร้อยละ 50.46</t>
    </r>
  </si>
  <si>
    <t>งานรื้อถอนอาคารส่วนราชการ(อาคารพักอาศัยเจ้าหน้าที่)ศูนย์ฝึกฯ เขต 1 จังหวัดระยอง (เดิมได้รับตาม พรบ. 1,931,900.- บาท ต่อมามีการโอนเปลี่ยนแปลงฯ ไปตั้งจ่ายเป็นรายการใหม่ ครุภัณฑ์</t>
  </si>
  <si>
    <t>ครุภัณฑ์ที่มีราคาต่อหน่วยต่ำกว่า 1 ล้านบาท ( 605 รายการ) (เดิมได้รับจัดสรรตาม พรบ.    เป็นเงินจำนวน 19,128,700.- บาท ต่อมาได้รับงบประมาณเพิ่มเติมจากการโอนเปลี่ยนแปลงงบประมาณ เป็นเงินจำนวน 1,296,985.-บาท)</t>
  </si>
  <si>
    <t>เงินเหลือจ่ายจากการจัดซื้อ   จัดจ้าง</t>
  </si>
  <si>
    <t>ครุภัณฑ์มากกว่า 5 แสน 4 รายการ</t>
  </si>
  <si>
    <t>ที่ดิน ต่ำกว่า 5 แสน 11 รายการ</t>
  </si>
  <si>
    <t>ที่ดิน มากกว่า 5 แสน 16 รายการ</t>
  </si>
  <si>
    <t>ครุภัณฑ์ต่ำกว่า 5 แสน 609 รายการ</t>
  </si>
  <si>
    <t>ที่ดิน</t>
  </si>
  <si>
    <t>โครงการโรงอาบน้ำแบบ 2 สถานพินิจฯ จังหวัดบุรีรัมย์</t>
  </si>
  <si>
    <t xml:space="preserve"> ใช้วงเงินงบประมาณในระบบ GFMIS เป็นฐานในการคำนวณ</t>
  </si>
  <si>
    <t>1) งบประมาณรายจ่ายประจำปีงบประมาณ พ.ศ. 2565 (รายละเอียดแนบหน้าที่  3 ถึง  7 )</t>
  </si>
  <si>
    <t>หรือ ค่าจ้างงานตั้งแต่เดือนธันวาคม 2564 ถึงเดือนมีนาคม 2565 (จำนวน 4 เดือน)</t>
  </si>
  <si>
    <t>เป้าหมายการเบิกจ่ายงบประมาณและการใช้จ่ายภาครัฐ ประจำปีงบประมาณ พ.ศ. 2565 ตามมติคณะรัฐมนตรี เมื่อวันที่ 21 ธันวาคม 2564</t>
  </si>
  <si>
    <t>ไตรมาส1</t>
  </si>
  <si>
    <t>ไตรมาส2</t>
  </si>
  <si>
    <t>ไตรมาส3</t>
  </si>
  <si>
    <t>ไตรมาส4</t>
  </si>
  <si>
    <t>เบิกจ่าย(สะสม)</t>
  </si>
  <si>
    <t>ใช้จ่าย(สะสม)</t>
  </si>
  <si>
    <t>รายจ่ายภาพรวม</t>
  </si>
  <si>
    <t>สรุป ต่ำกว่า / มากกว่า เป้าหมาย ณ ไตรมาส 2</t>
  </si>
  <si>
    <t>วันที่สิ้นสุดสัญญา</t>
  </si>
  <si>
    <t>ยังไม่ครบกำหนดตามสัญญา คาดว่าจะสามารถเบิกจ่ายได้ทันภายในเดือน มี.ค. 65</t>
  </si>
  <si>
    <t>ขอขยายเวลาส่งมอบ กำหนดการส่งมอบปลายเดือน ก.พ. 65 และคาดว่าจะเบิกจ่ายได้ทันภายในเดือน มี.ค. 65</t>
  </si>
  <si>
    <t xml:space="preserve">ยังไม่ครบกำหนดตามสัญญา </t>
  </si>
  <si>
    <t>ค่าจ้างที่ปรึกษาในการดำเนินโครงการ “การศึกษาและวิเคราะห์ข้อมูลเยาวชน Juvenile Profile Analytics (JPA)” (สำนักบริหาร)</t>
  </si>
  <si>
    <t>อยู่ระหว่างแก้ไขสัญญา (ลดค่าปรับ)  คาดว่าจะเบิกจ่ายได้ทันภายในเดือน กพ. 65</t>
  </si>
  <si>
    <t>กรมสุขภาพจิต       เป็นผู้ดำเนินการ</t>
  </si>
  <si>
    <t>อยู่ระหว่างการตรวจรับ และคาดว่าจะสามารถเบิกจ่ายได้ทันภายเดือน กพ. 65</t>
  </si>
  <si>
    <t>บริษัทขอขยายระยะเวลาการส่งมอบ คาดว่าจะสามารถเบิกจ่ายได้ทันภายในเดือน มี.ค. 65</t>
  </si>
  <si>
    <t>อยู่ระหว่างการส่งมอบตามสัญญา คาดว่าจะสามารถเบิกจ่ายได้ทันภายในเดือน กพ. 65</t>
  </si>
  <si>
    <t>อยู่ระหว่างการตรวจรับพัสดุ คาดว่าจะสามารถเบิกจ่ายได้ทันภายในเดือน กพ. 65</t>
  </si>
  <si>
    <t>ค่าก่อสร้างงบประมาณผูกผัน (7 รายการ)</t>
  </si>
  <si>
    <t xml:space="preserve"> งบลงทุน รายการที่ดินและสิ่งก่อสร้าง</t>
  </si>
  <si>
    <t>งบลงทุน รายการที่ดินและสิ่งก่อสร้าง</t>
  </si>
  <si>
    <t>สรุปรายละเอียดการเบิกจ่ายเงินงบประมาณรายจ่ายลงทุน</t>
  </si>
  <si>
    <t>2.1 ส่วนกลาง (กค. ดำเนินการ)</t>
  </si>
  <si>
    <t>2.2 หน่วยงานในสังกัด ดำเนินการ</t>
  </si>
  <si>
    <t>1) เงินกันไว้เบิกเหลื่อมปี (พ.ศ. 2564) (รายละเอียดแนบหน้าที่  2 ถึง 3 )</t>
  </si>
  <si>
    <t>รวมส่วนกลางดำเนินการ</t>
  </si>
  <si>
    <t>รวมหน่วยงานในสังกัดดำเนินการ</t>
  </si>
  <si>
    <t>2.1.1</t>
  </si>
  <si>
    <t>งบผูกผัน</t>
  </si>
  <si>
    <t>2.1.2</t>
  </si>
  <si>
    <t>งบปีเดียว (อยู่ระหว่างขออนุมัติโอนเปลี่ยนแปลงงบประมาณ)</t>
  </si>
  <si>
    <t>2.2.1</t>
  </si>
  <si>
    <t>2.2.2</t>
  </si>
  <si>
    <t>ค่าปรับปรุงอาคารที่ทำการ/ค่าปรับปรุงอาคารที่พักอาศัย และสิ่งก่อสร้างประกอบที่มีราคาต่อหน่วยต่ำกว่า 10 ล้าน และค่าก่อสร้างอื่นๆ (งบประมาณปีเดียว) (รายการเดิม  18 รายการ)</t>
  </si>
  <si>
    <t>งานรื้อถอนอาคารส่วนราชการ(อาคารพักอาศัยเจ้าหน้าที่)ศูนย์ฝึกฯ เขต 1 จังหวัดระยอง (เดิมได้รับตาม พรบ. 1,931,900.- บาท ต่อมามีการโอนเปลี่ยนแปลงฯ       ไปตั้งจ่ายเป็นรายการใหม่ ครุภัณฑ์</t>
  </si>
  <si>
    <t>สรุปเงินกันไว้เบิกเหลื่อมปีรวมทั้งสิ้น</t>
  </si>
  <si>
    <t>สรุปงบประมาณปี 2565 รวมทั้งสิ้น</t>
  </si>
  <si>
    <t>ตั้งแต่วันที่ 1  ตุลาคม 2564 ถึงวันที่ 31 มกราคม 2565</t>
  </si>
  <si>
    <t>ก่อสร้างอาคารชุดที่พักอาศัยข้าราชการ ขนาด 18 ยูนิตสถานพินิจฯ จังหวัดสกลนคร (งานใหม่)</t>
  </si>
  <si>
    <t xml:space="preserve">อยู่ระหว่างขออนุมัติโอนเปลี่ยนแปลงงบประมาณจากรายการเดิม ไปตั้งจ่ายเป็นรายการใหม่ </t>
  </si>
  <si>
    <t>2) งบประมาณรายจ่ายประจำปีงบประมาณ พ.ศ. 2565 (รายละเอียดแนบหน้าที่ 4 ถึง 6 )</t>
  </si>
  <si>
    <t>อยู่ระหว่างการพิจารณาความเหมาะสมราคา จากสำนักงบประมาณ</t>
  </si>
  <si>
    <t>28.04.2022</t>
  </si>
  <si>
    <t>17.05.2022</t>
  </si>
  <si>
    <t>21.12.2022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</si>
</sst>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(* #,##0.00_);_(* \(#,##0.00\);_(* &quot;-&quot;??_);_(@_)"/>
    <numFmt numFmtId="188" formatCode="_-* #,##0.0000_-;\-* #,##0.0000_-;_-* &quot;-&quot;??_-;_-@_-"/>
    <numFmt numFmtId="189" formatCode="_(* #,##0.0000_);_(* \(#,##0.0000\);_(* &quot;-&quot;??_);_(@_)"/>
    <numFmt numFmtId="190" formatCode="0.0"/>
    <numFmt numFmtId="191" formatCode="#,##0.00_);\(#,##0.00\)"/>
    <numFmt numFmtId="192" formatCode="#,##0.0"/>
    <numFmt numFmtId="193" formatCode="0.0000"/>
  </numFmts>
  <fonts count="12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Angsana New"/>
      <family val="1"/>
    </font>
    <font>
      <b/>
      <sz val="16"/>
      <name val="Angsana New"/>
      <family val="1"/>
    </font>
    <font>
      <b/>
      <sz val="20"/>
      <name val="AngsanaUPC"/>
      <family val="1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26"/>
      <name val="AngsanaUPC"/>
      <family val="1"/>
      <charset val="222"/>
    </font>
    <font>
      <b/>
      <sz val="20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22"/>
      <name val="AngsanaUPC"/>
      <family val="1"/>
    </font>
    <font>
      <sz val="18"/>
      <name val="TH SarabunPSK"/>
      <family val="2"/>
    </font>
    <font>
      <b/>
      <sz val="19"/>
      <name val="AngsanaUPC"/>
      <family val="1"/>
      <charset val="222"/>
    </font>
    <font>
      <b/>
      <sz val="19"/>
      <name val="AngsanaUPC"/>
      <family val="1"/>
    </font>
    <font>
      <b/>
      <sz val="18"/>
      <name val="AngsanaUPC"/>
      <family val="1"/>
      <charset val="222"/>
    </font>
    <font>
      <sz val="16"/>
      <name val="AngsanaUPC"/>
      <family val="1"/>
    </font>
    <font>
      <b/>
      <sz val="16"/>
      <name val="AngsanaUPC"/>
      <family val="1"/>
    </font>
    <font>
      <sz val="18"/>
      <name val="AngsanaUPC"/>
      <family val="1"/>
    </font>
    <font>
      <b/>
      <sz val="18"/>
      <name val="AngsanaUPC"/>
      <family val="1"/>
    </font>
    <font>
      <b/>
      <sz val="14"/>
      <name val="Cordia New"/>
      <family val="2"/>
    </font>
    <font>
      <b/>
      <sz val="14"/>
      <name val="Angsana New"/>
      <family val="1"/>
    </font>
    <font>
      <b/>
      <sz val="18"/>
      <name val="Cordia New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b/>
      <u/>
      <sz val="18"/>
      <color indexed="8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Angsana New"/>
      <family val="1"/>
    </font>
    <font>
      <b/>
      <sz val="16"/>
      <color rgb="FFFF0000"/>
      <name val="Angsana New"/>
      <family val="1"/>
    </font>
    <font>
      <sz val="18"/>
      <color rgb="FFFF0000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6"/>
      <color theme="1"/>
      <name val="TH SarabunPSK"/>
      <family val="2"/>
    </font>
    <font>
      <b/>
      <sz val="20"/>
      <color rgb="FFFF0000"/>
      <name val="TH SarabunPSK"/>
      <family val="2"/>
    </font>
    <font>
      <b/>
      <sz val="18"/>
      <color rgb="FFFF0000"/>
      <name val="TH SarabunPSK"/>
      <family val="2"/>
    </font>
    <font>
      <b/>
      <sz val="36"/>
      <color theme="1"/>
      <name val="TH SarabunPSK"/>
      <family val="2"/>
    </font>
    <font>
      <sz val="16"/>
      <color theme="1"/>
      <name val="Angsana New"/>
      <family val="1"/>
    </font>
    <font>
      <b/>
      <sz val="19"/>
      <color theme="1"/>
      <name val="TH SarabunPSK"/>
      <family val="2"/>
    </font>
    <font>
      <sz val="24"/>
      <color theme="1"/>
      <name val="TH SarabunPSK"/>
      <family val="2"/>
    </font>
    <font>
      <sz val="20"/>
      <color theme="1"/>
      <name val="TH SarabunPSK"/>
      <family val="2"/>
    </font>
    <font>
      <sz val="22"/>
      <color theme="1"/>
      <name val="TH SarabunPSK"/>
      <family val="2"/>
    </font>
    <font>
      <b/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24"/>
      <color theme="1"/>
      <name val="TH SarabunPSK"/>
      <family val="2"/>
    </font>
    <font>
      <b/>
      <sz val="22"/>
      <color theme="1"/>
      <name val="Angsana New"/>
      <family val="1"/>
    </font>
    <font>
      <sz val="18"/>
      <color theme="1"/>
      <name val="Angsana New"/>
      <family val="1"/>
    </font>
    <font>
      <sz val="18"/>
      <name val="AngsanaUPC"/>
      <family val="1"/>
      <charset val="222"/>
    </font>
    <font>
      <sz val="16"/>
      <color rgb="FFFF0000"/>
      <name val="Angsana New"/>
      <family val="1"/>
    </font>
    <font>
      <b/>
      <sz val="34"/>
      <name val="TH SarabunPSK"/>
      <family val="2"/>
    </font>
    <font>
      <b/>
      <sz val="36"/>
      <name val="TH SarabunPSK"/>
      <family val="2"/>
    </font>
    <font>
      <b/>
      <sz val="26"/>
      <name val="TH SarabunPSK"/>
      <family val="2"/>
    </font>
    <font>
      <b/>
      <u/>
      <sz val="26"/>
      <name val="TH SarabunPSK"/>
      <family val="2"/>
    </font>
    <font>
      <b/>
      <sz val="27"/>
      <name val="TH SarabunPSK"/>
      <family val="2"/>
    </font>
    <font>
      <sz val="22"/>
      <name val="TH SarabunPSK"/>
      <family val="2"/>
    </font>
    <font>
      <sz val="26"/>
      <name val="TH SarabunPSK"/>
      <family val="2"/>
    </font>
    <font>
      <b/>
      <sz val="26"/>
      <color theme="0"/>
      <name val="TH SarabunPSK"/>
      <family val="2"/>
    </font>
    <font>
      <b/>
      <sz val="40"/>
      <name val="TH SarabunPSK"/>
      <family val="2"/>
    </font>
    <font>
      <b/>
      <sz val="28"/>
      <name val="TH SarabunPSK"/>
      <family val="2"/>
    </font>
    <font>
      <sz val="28"/>
      <name val="TH SarabunPSK"/>
      <family val="2"/>
    </font>
    <font>
      <b/>
      <sz val="30"/>
      <name val="TH SarabunPSK"/>
      <family val="2"/>
    </font>
    <font>
      <sz val="30"/>
      <name val="TH SarabunPSK"/>
      <family val="2"/>
    </font>
    <font>
      <sz val="24"/>
      <name val="TH SarabunPSK"/>
      <family val="2"/>
    </font>
    <font>
      <sz val="16.5"/>
      <name val="TH SarabunPSK"/>
      <family val="2"/>
    </font>
    <font>
      <b/>
      <sz val="48"/>
      <name val="TH SarabunPSK"/>
      <family val="2"/>
    </font>
    <font>
      <b/>
      <sz val="46"/>
      <name val="TH SarabunPSK"/>
      <family val="2"/>
    </font>
    <font>
      <b/>
      <u/>
      <sz val="18"/>
      <name val="TH SarabunPSK"/>
      <family val="2"/>
    </font>
    <font>
      <sz val="22"/>
      <color theme="1"/>
      <name val="Angsana New"/>
      <family val="1"/>
    </font>
    <font>
      <b/>
      <sz val="20"/>
      <color theme="1"/>
      <name val="Angsana New"/>
      <family val="1"/>
    </font>
    <font>
      <b/>
      <sz val="18"/>
      <color theme="0"/>
      <name val="Angsana New"/>
      <family val="1"/>
    </font>
    <font>
      <sz val="20"/>
      <color theme="1"/>
      <name val="Angsana New"/>
      <family val="1"/>
    </font>
    <font>
      <b/>
      <sz val="24"/>
      <color theme="1"/>
      <name val="Angsana New"/>
      <family val="1"/>
    </font>
    <font>
      <b/>
      <sz val="18"/>
      <color rgb="FFFF0000"/>
      <name val="Angsana New"/>
      <family val="1"/>
    </font>
    <font>
      <b/>
      <sz val="18"/>
      <color theme="0" tint="-4.9989318521683403E-2"/>
      <name val="Angsana New"/>
      <family val="1"/>
    </font>
    <font>
      <b/>
      <sz val="19"/>
      <name val="TH SarabunPSK"/>
      <family val="2"/>
    </font>
    <font>
      <b/>
      <sz val="18"/>
      <color indexed="8"/>
      <name val="TH SarabunPSK"/>
      <family val="2"/>
    </font>
    <font>
      <b/>
      <sz val="26"/>
      <color rgb="FFFF0000"/>
      <name val="TH SarabunPSK"/>
      <family val="2"/>
    </font>
    <font>
      <b/>
      <sz val="16"/>
      <name val="TH SarabunPSK"/>
      <family val="2"/>
      <charset val="222"/>
    </font>
    <font>
      <b/>
      <sz val="16"/>
      <name val="Cordia New"/>
      <family val="2"/>
      <charset val="222"/>
    </font>
    <font>
      <sz val="8"/>
      <name val="Cordia New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b/>
      <u val="singleAccounting"/>
      <sz val="18"/>
      <color theme="1"/>
      <name val="TH SarabunPSK"/>
      <family val="2"/>
    </font>
    <font>
      <b/>
      <u/>
      <sz val="16"/>
      <name val="TH SarabunPSK"/>
      <family val="2"/>
    </font>
    <font>
      <u/>
      <sz val="18"/>
      <name val="TH SarabunPSK"/>
      <family val="2"/>
    </font>
    <font>
      <b/>
      <sz val="22"/>
      <color theme="0"/>
      <name val="TH SarabunPSK"/>
      <family val="2"/>
    </font>
    <font>
      <b/>
      <u/>
      <sz val="22"/>
      <color theme="1"/>
      <name val="TH SarabunPSK"/>
      <family val="2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8"/>
      <color theme="0"/>
      <name val="TH SarabunPSK"/>
      <family val="2"/>
    </font>
    <font>
      <b/>
      <sz val="17"/>
      <name val="TH SarabunPSK"/>
      <family val="2"/>
    </font>
    <font>
      <b/>
      <sz val="17"/>
      <color theme="1"/>
      <name val="TH SarabunPSK"/>
      <family val="2"/>
    </font>
    <font>
      <sz val="8"/>
      <name val="Cordia New"/>
      <charset val="222"/>
    </font>
  </fonts>
  <fills count="5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100" fillId="0" borderId="0" applyNumberFormat="0" applyFill="0" applyBorder="0" applyAlignment="0" applyProtection="0"/>
    <xf numFmtId="0" fontId="101" fillId="0" borderId="44" applyNumberFormat="0" applyFill="0" applyAlignment="0" applyProtection="0"/>
    <xf numFmtId="0" fontId="102" fillId="0" borderId="45" applyNumberFormat="0" applyFill="0" applyAlignment="0" applyProtection="0"/>
    <xf numFmtId="0" fontId="103" fillId="0" borderId="46" applyNumberFormat="0" applyFill="0" applyAlignment="0" applyProtection="0"/>
    <xf numFmtId="0" fontId="103" fillId="0" borderId="0" applyNumberFormat="0" applyFill="0" applyBorder="0" applyAlignment="0" applyProtection="0"/>
    <xf numFmtId="0" fontId="104" fillId="16" borderId="0" applyNumberFormat="0" applyBorder="0" applyAlignment="0" applyProtection="0"/>
    <xf numFmtId="0" fontId="105" fillId="17" borderId="0" applyNumberFormat="0" applyBorder="0" applyAlignment="0" applyProtection="0"/>
    <xf numFmtId="0" fontId="106" fillId="18" borderId="0" applyNumberFormat="0" applyBorder="0" applyAlignment="0" applyProtection="0"/>
    <xf numFmtId="0" fontId="107" fillId="19" borderId="47" applyNumberFormat="0" applyAlignment="0" applyProtection="0"/>
    <xf numFmtId="0" fontId="108" fillId="20" borderId="48" applyNumberFormat="0" applyAlignment="0" applyProtection="0"/>
    <xf numFmtId="0" fontId="109" fillId="20" borderId="47" applyNumberFormat="0" applyAlignment="0" applyProtection="0"/>
    <xf numFmtId="0" fontId="110" fillId="0" borderId="49" applyNumberFormat="0" applyFill="0" applyAlignment="0" applyProtection="0"/>
    <xf numFmtId="0" fontId="111" fillId="21" borderId="50" applyNumberFormat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52" applyNumberFormat="0" applyFill="0" applyAlignment="0" applyProtection="0"/>
    <xf numFmtId="0" fontId="11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1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1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1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1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1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0" fontId="1" fillId="22" borderId="51" applyNumberFormat="0" applyFont="0" applyAlignment="0" applyProtection="0"/>
  </cellStyleXfs>
  <cellXfs count="1444">
    <xf numFmtId="0" fontId="0" fillId="0" borderId="0" xfId="0"/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17" fillId="5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3" fontId="17" fillId="5" borderId="8" xfId="0" applyNumberFormat="1" applyFont="1" applyFill="1" applyBorder="1" applyAlignment="1">
      <alignment horizontal="center" vertical="center"/>
    </xf>
    <xf numFmtId="43" fontId="17" fillId="5" borderId="8" xfId="0" applyNumberFormat="1" applyFont="1" applyFill="1" applyBorder="1" applyAlignment="1">
      <alignment horizontal="center" vertical="center" shrinkToFit="1"/>
    </xf>
    <xf numFmtId="43" fontId="18" fillId="5" borderId="8" xfId="0" applyNumberFormat="1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43" fontId="17" fillId="5" borderId="3" xfId="0" applyNumberFormat="1" applyFont="1" applyFill="1" applyBorder="1" applyAlignment="1">
      <alignment horizontal="center" vertical="center"/>
    </xf>
    <xf numFmtId="43" fontId="18" fillId="5" borderId="3" xfId="0" applyNumberFormat="1" applyFont="1" applyFill="1" applyBorder="1" applyAlignment="1">
      <alignment horizontal="center" vertical="center"/>
    </xf>
    <xf numFmtId="0" fontId="9" fillId="0" borderId="0" xfId="0" applyFont="1" applyFill="1"/>
    <xf numFmtId="43" fontId="9" fillId="0" borderId="0" xfId="0" applyNumberFormat="1" applyFont="1" applyFill="1"/>
    <xf numFmtId="43" fontId="21" fillId="0" borderId="0" xfId="0" applyNumberFormat="1" applyFont="1" applyFill="1"/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vertical="center" shrinkToFit="1"/>
    </xf>
    <xf numFmtId="43" fontId="15" fillId="5" borderId="9" xfId="0" applyNumberFormat="1" applyFont="1" applyFill="1" applyBorder="1" applyAlignment="1">
      <alignment vertical="center" shrinkToFit="1"/>
    </xf>
    <xf numFmtId="39" fontId="15" fillId="5" borderId="9" xfId="0" applyNumberFormat="1" applyFont="1" applyFill="1" applyBorder="1" applyAlignment="1">
      <alignment vertical="center" shrinkToFit="1"/>
    </xf>
    <xf numFmtId="2" fontId="15" fillId="5" borderId="9" xfId="0" applyNumberFormat="1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 shrinkToFit="1"/>
    </xf>
    <xf numFmtId="43" fontId="22" fillId="0" borderId="1" xfId="0" applyNumberFormat="1" applyFont="1" applyFill="1" applyBorder="1" applyAlignment="1">
      <alignment vertical="center" shrinkToFit="1"/>
    </xf>
    <xf numFmtId="43" fontId="23" fillId="0" borderId="1" xfId="0" applyNumberFormat="1" applyFont="1" applyFill="1" applyBorder="1" applyAlignment="1">
      <alignment vertical="center" shrinkToFit="1"/>
    </xf>
    <xf numFmtId="2" fontId="23" fillId="0" borderId="1" xfId="0" applyNumberFormat="1" applyFont="1" applyFill="1" applyBorder="1" applyAlignment="1">
      <alignment horizontal="center" vertical="center" shrinkToFit="1"/>
    </xf>
    <xf numFmtId="0" fontId="24" fillId="0" borderId="0" xfId="0" applyFont="1"/>
    <xf numFmtId="0" fontId="18" fillId="5" borderId="10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 shrinkToFit="1"/>
    </xf>
    <xf numFmtId="0" fontId="23" fillId="0" borderId="5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 shrinkToFit="1"/>
    </xf>
    <xf numFmtId="0" fontId="21" fillId="0" borderId="0" xfId="0" applyFont="1" applyFill="1"/>
    <xf numFmtId="39" fontId="23" fillId="0" borderId="1" xfId="0" applyNumberFormat="1" applyFont="1" applyFill="1" applyBorder="1" applyAlignment="1">
      <alignment vertical="center" shrinkToFit="1"/>
    </xf>
    <xf numFmtId="0" fontId="26" fillId="0" borderId="8" xfId="0" applyFont="1" applyBorder="1" applyAlignment="1">
      <alignment horizontal="center"/>
    </xf>
    <xf numFmtId="43" fontId="26" fillId="0" borderId="8" xfId="1" applyNumberFormat="1" applyFont="1" applyBorder="1" applyAlignment="1">
      <alignment horizontal="center"/>
    </xf>
    <xf numFmtId="0" fontId="26" fillId="0" borderId="0" xfId="0" applyFont="1"/>
    <xf numFmtId="0" fontId="26" fillId="0" borderId="10" xfId="0" applyFont="1" applyBorder="1"/>
    <xf numFmtId="43" fontId="26" fillId="0" borderId="10" xfId="1" applyNumberFormat="1" applyFont="1" applyBorder="1"/>
    <xf numFmtId="43" fontId="26" fillId="0" borderId="11" xfId="1" applyNumberFormat="1" applyFont="1" applyBorder="1"/>
    <xf numFmtId="43" fontId="26" fillId="3" borderId="10" xfId="1" applyNumberFormat="1" applyFont="1" applyFill="1" applyBorder="1"/>
    <xf numFmtId="0" fontId="26" fillId="0" borderId="3" xfId="0" applyFont="1" applyBorder="1"/>
    <xf numFmtId="43" fontId="26" fillId="0" borderId="3" xfId="1" applyNumberFormat="1" applyFont="1" applyBorder="1"/>
    <xf numFmtId="43" fontId="26" fillId="0" borderId="0" xfId="1" applyNumberFormat="1" applyFont="1"/>
    <xf numFmtId="43" fontId="26" fillId="0" borderId="10" xfId="0" applyNumberFormat="1" applyFont="1" applyBorder="1"/>
    <xf numFmtId="43" fontId="26" fillId="3" borderId="1" xfId="1" applyNumberFormat="1" applyFont="1" applyFill="1" applyBorder="1"/>
    <xf numFmtId="43" fontId="26" fillId="2" borderId="1" xfId="1" applyFont="1" applyFill="1" applyBorder="1"/>
    <xf numFmtId="43" fontId="26" fillId="0" borderId="0" xfId="1" applyFont="1"/>
    <xf numFmtId="0" fontId="12" fillId="0" borderId="4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34" fillId="0" borderId="0" xfId="0" applyFont="1" applyFill="1" applyAlignment="1">
      <alignment vertical="center" shrinkToFit="1"/>
    </xf>
    <xf numFmtId="43" fontId="26" fillId="0" borderId="0" xfId="0" applyNumberFormat="1" applyFont="1"/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4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43" fontId="35" fillId="0" borderId="0" xfId="0" applyNumberFormat="1" applyFont="1" applyFill="1" applyAlignment="1">
      <alignment vertical="center"/>
    </xf>
    <xf numFmtId="0" fontId="37" fillId="0" borderId="0" xfId="0" applyFont="1" applyFill="1" applyAlignment="1">
      <alignment vertical="center" shrinkToFit="1"/>
    </xf>
    <xf numFmtId="0" fontId="36" fillId="0" borderId="0" xfId="0" applyFont="1" applyFill="1" applyAlignment="1">
      <alignment vertical="center" shrinkToFit="1"/>
    </xf>
    <xf numFmtId="43" fontId="26" fillId="0" borderId="1" xfId="1" applyNumberFormat="1" applyFont="1" applyBorder="1"/>
    <xf numFmtId="43" fontId="26" fillId="0" borderId="1" xfId="0" applyNumberFormat="1" applyFont="1" applyBorder="1"/>
    <xf numFmtId="43" fontId="38" fillId="0" borderId="0" xfId="1" applyFont="1" applyBorder="1" applyAlignment="1">
      <alignment horizontal="center"/>
    </xf>
    <xf numFmtId="0" fontId="37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shrinkToFit="1"/>
    </xf>
    <xf numFmtId="0" fontId="36" fillId="0" borderId="1" xfId="0" applyFont="1" applyFill="1" applyBorder="1" applyAlignment="1">
      <alignment vertical="center"/>
    </xf>
    <xf numFmtId="43" fontId="36" fillId="0" borderId="1" xfId="1" applyFont="1" applyFill="1" applyBorder="1" applyAlignment="1">
      <alignment vertical="center"/>
    </xf>
    <xf numFmtId="43" fontId="36" fillId="0" borderId="1" xfId="1" applyFont="1" applyFill="1" applyBorder="1" applyAlignment="1">
      <alignment vertical="center" shrinkToFit="1"/>
    </xf>
    <xf numFmtId="43" fontId="36" fillId="0" borderId="1" xfId="0" applyNumberFormat="1" applyFont="1" applyFill="1" applyBorder="1" applyAlignment="1">
      <alignment vertical="center"/>
    </xf>
    <xf numFmtId="0" fontId="37" fillId="0" borderId="1" xfId="0" applyFont="1" applyFill="1" applyBorder="1" applyAlignment="1">
      <alignment vertical="center"/>
    </xf>
    <xf numFmtId="43" fontId="37" fillId="0" borderId="1" xfId="1" applyFont="1" applyFill="1" applyBorder="1" applyAlignment="1">
      <alignment vertical="center"/>
    </xf>
    <xf numFmtId="43" fontId="37" fillId="0" borderId="1" xfId="0" applyNumberFormat="1" applyFont="1" applyFill="1" applyBorder="1" applyAlignment="1">
      <alignment vertical="center"/>
    </xf>
    <xf numFmtId="0" fontId="36" fillId="0" borderId="1" xfId="0" applyFont="1" applyFill="1" applyBorder="1" applyAlignment="1">
      <alignment vertical="center" shrinkToFit="1"/>
    </xf>
    <xf numFmtId="43" fontId="37" fillId="0" borderId="1" xfId="1" applyFont="1" applyFill="1" applyBorder="1" applyAlignment="1">
      <alignment vertical="center" shrinkToFit="1"/>
    </xf>
    <xf numFmtId="43" fontId="37" fillId="0" borderId="1" xfId="0" applyNumberFormat="1" applyFont="1" applyFill="1" applyBorder="1" applyAlignment="1">
      <alignment vertical="center" shrinkToFit="1"/>
    </xf>
    <xf numFmtId="0" fontId="40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43" fontId="34" fillId="0" borderId="0" xfId="0" applyNumberFormat="1" applyFont="1" applyFill="1" applyAlignment="1">
      <alignment vertical="center" shrinkToFit="1"/>
    </xf>
    <xf numFmtId="0" fontId="36" fillId="0" borderId="4" xfId="0" applyFont="1" applyFill="1" applyBorder="1" applyAlignment="1">
      <alignment vertical="center"/>
    </xf>
    <xf numFmtId="0" fontId="36" fillId="0" borderId="12" xfId="0" applyFont="1" applyFill="1" applyBorder="1" applyAlignment="1">
      <alignment vertical="center" shrinkToFit="1"/>
    </xf>
    <xf numFmtId="0" fontId="36" fillId="0" borderId="6" xfId="0" applyFont="1" applyFill="1" applyBorder="1" applyAlignment="1">
      <alignment vertical="center"/>
    </xf>
    <xf numFmtId="0" fontId="37" fillId="0" borderId="4" xfId="0" applyFont="1" applyFill="1" applyBorder="1" applyAlignment="1">
      <alignment vertical="center"/>
    </xf>
    <xf numFmtId="0" fontId="37" fillId="0" borderId="12" xfId="0" applyFont="1" applyFill="1" applyBorder="1" applyAlignment="1">
      <alignment vertical="center" shrinkToFit="1"/>
    </xf>
    <xf numFmtId="0" fontId="37" fillId="0" borderId="6" xfId="0" applyFont="1" applyFill="1" applyBorder="1" applyAlignment="1">
      <alignment vertical="center"/>
    </xf>
    <xf numFmtId="0" fontId="34" fillId="0" borderId="12" xfId="0" applyFont="1" applyFill="1" applyBorder="1" applyAlignment="1">
      <alignment vertical="center"/>
    </xf>
    <xf numFmtId="43" fontId="37" fillId="0" borderId="6" xfId="0" applyNumberFormat="1" applyFont="1" applyFill="1" applyBorder="1" applyAlignment="1">
      <alignment vertical="center"/>
    </xf>
    <xf numFmtId="0" fontId="42" fillId="0" borderId="1" xfId="0" applyNumberFormat="1" applyFont="1" applyFill="1" applyBorder="1" applyAlignment="1">
      <alignment vertical="center"/>
    </xf>
    <xf numFmtId="0" fontId="37" fillId="0" borderId="1" xfId="0" applyFont="1" applyFill="1" applyBorder="1" applyAlignment="1">
      <alignment horizontal="right" vertical="center" shrinkToFit="1"/>
    </xf>
    <xf numFmtId="0" fontId="42" fillId="0" borderId="0" xfId="0" applyFont="1" applyFill="1" applyAlignment="1">
      <alignment vertical="center"/>
    </xf>
    <xf numFmtId="0" fontId="42" fillId="0" borderId="0" xfId="1" applyNumberFormat="1" applyFont="1" applyFill="1" applyBorder="1" applyAlignment="1">
      <alignment horizontal="left" vertical="center"/>
    </xf>
    <xf numFmtId="43" fontId="42" fillId="0" borderId="0" xfId="1" applyFont="1" applyFill="1" applyBorder="1" applyAlignment="1">
      <alignment horizontal="left" vertical="center"/>
    </xf>
    <xf numFmtId="0" fontId="42" fillId="0" borderId="0" xfId="0" applyFont="1" applyFill="1" applyAlignment="1">
      <alignment vertical="center" shrinkToFit="1"/>
    </xf>
    <xf numFmtId="43" fontId="42" fillId="0" borderId="0" xfId="0" applyNumberFormat="1" applyFont="1" applyFill="1" applyAlignment="1">
      <alignment vertical="center" shrinkToFit="1"/>
    </xf>
    <xf numFmtId="4" fontId="42" fillId="0" borderId="0" xfId="0" applyNumberFormat="1" applyFont="1" applyFill="1" applyAlignment="1">
      <alignment vertical="center" shrinkToFit="1"/>
    </xf>
    <xf numFmtId="0" fontId="39" fillId="0" borderId="0" xfId="0" applyFont="1"/>
    <xf numFmtId="0" fontId="41" fillId="0" borderId="1" xfId="0" applyFont="1" applyFill="1" applyBorder="1" applyAlignment="1">
      <alignment vertical="center"/>
    </xf>
    <xf numFmtId="43" fontId="41" fillId="0" borderId="1" xfId="1" applyFont="1" applyFill="1" applyBorder="1" applyAlignment="1">
      <alignment vertical="center"/>
    </xf>
    <xf numFmtId="43" fontId="41" fillId="0" borderId="1" xfId="1" applyFont="1" applyFill="1" applyBorder="1" applyAlignment="1">
      <alignment vertical="center" shrinkToFit="1"/>
    </xf>
    <xf numFmtId="43" fontId="41" fillId="0" borderId="1" xfId="0" applyNumberFormat="1" applyFont="1" applyFill="1" applyBorder="1" applyAlignment="1">
      <alignment vertical="center"/>
    </xf>
    <xf numFmtId="43" fontId="41" fillId="0" borderId="1" xfId="1" applyFont="1" applyFill="1" applyBorder="1" applyAlignment="1">
      <alignment horizontal="left" vertical="center"/>
    </xf>
    <xf numFmtId="43" fontId="43" fillId="0" borderId="1" xfId="1" applyFont="1" applyFill="1" applyBorder="1" applyAlignment="1">
      <alignment vertical="center"/>
    </xf>
    <xf numFmtId="0" fontId="41" fillId="0" borderId="1" xfId="0" applyFont="1" applyFill="1" applyBorder="1" applyAlignment="1">
      <alignment vertical="center" shrinkToFit="1"/>
    </xf>
    <xf numFmtId="43" fontId="43" fillId="0" borderId="1" xfId="1" applyFont="1" applyFill="1" applyBorder="1" applyAlignment="1">
      <alignment vertical="center" shrinkToFit="1"/>
    </xf>
    <xf numFmtId="0" fontId="44" fillId="0" borderId="1" xfId="0" applyFont="1" applyFill="1" applyBorder="1" applyAlignment="1">
      <alignment vertical="center"/>
    </xf>
    <xf numFmtId="43" fontId="45" fillId="0" borderId="1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1" applyNumberFormat="1" applyFont="1" applyFill="1" applyBorder="1" applyAlignment="1">
      <alignment horizontal="left" vertical="center"/>
    </xf>
    <xf numFmtId="43" fontId="14" fillId="0" borderId="0" xfId="1" applyFont="1" applyFill="1" applyBorder="1" applyAlignment="1">
      <alignment horizontal="left" vertical="center"/>
    </xf>
    <xf numFmtId="43" fontId="25" fillId="0" borderId="0" xfId="1" applyFont="1" applyAlignment="1">
      <alignment horizontal="center"/>
    </xf>
    <xf numFmtId="0" fontId="12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43" fontId="14" fillId="0" borderId="0" xfId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43" fontId="13" fillId="0" borderId="0" xfId="1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9" fontId="13" fillId="0" borderId="8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right" vertical="center"/>
    </xf>
    <xf numFmtId="43" fontId="13" fillId="0" borderId="3" xfId="1" applyFont="1" applyFill="1" applyBorder="1" applyAlignment="1">
      <alignment horizontal="center" vertical="center"/>
    </xf>
    <xf numFmtId="43" fontId="14" fillId="0" borderId="0" xfId="1" applyFont="1" applyFill="1" applyBorder="1" applyAlignment="1">
      <alignment horizontal="right" vertical="top"/>
    </xf>
    <xf numFmtId="0" fontId="36" fillId="0" borderId="12" xfId="0" applyFont="1" applyFill="1" applyBorder="1" applyAlignment="1">
      <alignment vertical="center"/>
    </xf>
    <xf numFmtId="0" fontId="44" fillId="0" borderId="0" xfId="0" applyFont="1" applyFill="1" applyAlignment="1">
      <alignment vertical="center"/>
    </xf>
    <xf numFmtId="0" fontId="46" fillId="0" borderId="1" xfId="0" applyFont="1" applyFill="1" applyBorder="1" applyAlignment="1">
      <alignment horizontal="center" vertical="center" shrinkToFit="1"/>
    </xf>
    <xf numFmtId="0" fontId="47" fillId="0" borderId="0" xfId="0" applyFont="1" applyFill="1" applyAlignment="1">
      <alignment vertical="center" shrinkToFit="1"/>
    </xf>
    <xf numFmtId="43" fontId="47" fillId="0" borderId="0" xfId="0" applyNumberFormat="1" applyFont="1" applyFill="1" applyAlignment="1">
      <alignment vertical="center" shrinkToFit="1"/>
    </xf>
    <xf numFmtId="4" fontId="47" fillId="0" borderId="0" xfId="0" applyNumberFormat="1" applyFont="1" applyFill="1" applyAlignment="1">
      <alignment vertical="center" shrinkToFit="1"/>
    </xf>
    <xf numFmtId="0" fontId="43" fillId="0" borderId="1" xfId="0" applyFont="1" applyFill="1" applyBorder="1" applyAlignment="1">
      <alignment horizontal="center" vertical="center" shrinkToFit="1"/>
    </xf>
    <xf numFmtId="0" fontId="37" fillId="0" borderId="0" xfId="0" applyFont="1" applyFill="1" applyBorder="1" applyAlignment="1">
      <alignment horizontal="left" vertical="center"/>
    </xf>
    <xf numFmtId="0" fontId="11" fillId="0" borderId="0" xfId="1" applyNumberFormat="1" applyFont="1" applyFill="1" applyBorder="1" applyAlignment="1">
      <alignment horizontal="left" vertical="center"/>
    </xf>
    <xf numFmtId="43" fontId="11" fillId="0" borderId="0" xfId="1" applyFont="1" applyFill="1" applyBorder="1" applyAlignment="1">
      <alignment horizontal="left" vertical="center"/>
    </xf>
    <xf numFmtId="0" fontId="43" fillId="0" borderId="4" xfId="0" applyFont="1" applyFill="1" applyBorder="1" applyAlignment="1">
      <alignment horizontal="left" vertical="center" shrinkToFit="1"/>
    </xf>
    <xf numFmtId="0" fontId="43" fillId="0" borderId="6" xfId="0" applyFont="1" applyFill="1" applyBorder="1" applyAlignment="1">
      <alignment horizontal="center" vertical="center" shrinkToFit="1"/>
    </xf>
    <xf numFmtId="43" fontId="46" fillId="0" borderId="1" xfId="0" applyNumberFormat="1" applyFont="1" applyFill="1" applyBorder="1" applyAlignment="1">
      <alignment vertical="center" shrinkToFit="1"/>
    </xf>
    <xf numFmtId="43" fontId="36" fillId="0" borderId="1" xfId="0" applyNumberFormat="1" applyFont="1" applyFill="1" applyBorder="1" applyAlignment="1">
      <alignment horizontal="left" vertical="center" shrinkToFit="1"/>
    </xf>
    <xf numFmtId="0" fontId="43" fillId="0" borderId="1" xfId="0" applyFont="1" applyFill="1" applyBorder="1" applyAlignment="1">
      <alignment horizontal="left" vertical="center" shrinkToFit="1"/>
    </xf>
    <xf numFmtId="43" fontId="43" fillId="0" borderId="1" xfId="0" applyNumberFormat="1" applyFont="1" applyFill="1" applyBorder="1" applyAlignment="1">
      <alignment vertical="center"/>
    </xf>
    <xf numFmtId="0" fontId="36" fillId="0" borderId="5" xfId="0" applyFont="1" applyFill="1" applyBorder="1" applyAlignment="1">
      <alignment vertical="center"/>
    </xf>
    <xf numFmtId="43" fontId="36" fillId="0" borderId="8" xfId="1" applyFont="1" applyFill="1" applyBorder="1" applyAlignment="1">
      <alignment horizontal="left" vertical="center" shrinkToFit="1"/>
    </xf>
    <xf numFmtId="43" fontId="37" fillId="0" borderId="8" xfId="1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43" fillId="7" borderId="1" xfId="0" applyFont="1" applyFill="1" applyBorder="1" applyAlignment="1">
      <alignment horizontal="center" vertical="center"/>
    </xf>
    <xf numFmtId="0" fontId="43" fillId="7" borderId="1" xfId="0" applyFont="1" applyFill="1" applyBorder="1" applyAlignment="1">
      <alignment horizontal="center" vertical="center" shrinkToFit="1"/>
    </xf>
    <xf numFmtId="0" fontId="43" fillId="7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/>
    </xf>
    <xf numFmtId="43" fontId="19" fillId="8" borderId="18" xfId="1" applyNumberFormat="1" applyFont="1" applyFill="1" applyBorder="1" applyAlignment="1">
      <alignment vertical="center" shrinkToFit="1"/>
    </xf>
    <xf numFmtId="43" fontId="19" fillId="8" borderId="18" xfId="1" applyFont="1" applyFill="1" applyBorder="1" applyAlignment="1">
      <alignment horizontal="center" vertical="center" shrinkToFit="1"/>
    </xf>
    <xf numFmtId="43" fontId="19" fillId="8" borderId="19" xfId="1" applyNumberFormat="1" applyFont="1" applyFill="1" applyBorder="1" applyAlignment="1">
      <alignment vertical="center" shrinkToFit="1"/>
    </xf>
    <xf numFmtId="43" fontId="19" fillId="8" borderId="20" xfId="1" applyNumberFormat="1" applyFont="1" applyFill="1" applyBorder="1" applyAlignment="1">
      <alignment vertical="center" shrinkToFit="1"/>
    </xf>
    <xf numFmtId="43" fontId="36" fillId="0" borderId="0" xfId="0" applyNumberFormat="1" applyFont="1" applyFill="1" applyAlignment="1">
      <alignment vertical="center"/>
    </xf>
    <xf numFmtId="0" fontId="43" fillId="7" borderId="1" xfId="0" applyFont="1" applyFill="1" applyBorder="1" applyAlignment="1">
      <alignment horizontal="center" vertical="center" shrinkToFit="1"/>
    </xf>
    <xf numFmtId="0" fontId="49" fillId="7" borderId="1" xfId="0" applyFont="1" applyFill="1" applyBorder="1" applyAlignment="1">
      <alignment horizontal="center" vertical="center" shrinkToFit="1"/>
    </xf>
    <xf numFmtId="0" fontId="43" fillId="7" borderId="1" xfId="0" applyFont="1" applyFill="1" applyBorder="1" applyAlignment="1">
      <alignment horizontal="center" vertical="center" shrinkToFit="1"/>
    </xf>
    <xf numFmtId="0" fontId="43" fillId="7" borderId="1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vertical="center"/>
    </xf>
    <xf numFmtId="43" fontId="36" fillId="0" borderId="1" xfId="0" applyNumberFormat="1" applyFont="1" applyFill="1" applyBorder="1" applyAlignment="1">
      <alignment vertical="center" shrinkToFit="1"/>
    </xf>
    <xf numFmtId="0" fontId="12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left" vertical="center" wrapText="1"/>
    </xf>
    <xf numFmtId="0" fontId="43" fillId="0" borderId="1" xfId="1" applyNumberFormat="1" applyFont="1" applyFill="1" applyBorder="1" applyAlignment="1">
      <alignment horizontal="center" vertical="center" shrinkToFit="1"/>
    </xf>
    <xf numFmtId="43" fontId="49" fillId="0" borderId="1" xfId="0" applyNumberFormat="1" applyFont="1" applyFill="1" applyBorder="1" applyAlignment="1">
      <alignment horizontal="center" vertical="center" shrinkToFit="1"/>
    </xf>
    <xf numFmtId="0" fontId="37" fillId="0" borderId="5" xfId="0" applyFont="1" applyFill="1" applyBorder="1" applyAlignment="1">
      <alignment vertical="center"/>
    </xf>
    <xf numFmtId="0" fontId="37" fillId="0" borderId="7" xfId="0" applyFont="1" applyFill="1" applyBorder="1" applyAlignment="1">
      <alignment vertical="center"/>
    </xf>
    <xf numFmtId="0" fontId="37" fillId="0" borderId="7" xfId="0" applyFont="1" applyFill="1" applyBorder="1" applyAlignment="1">
      <alignment vertical="center" shrinkToFit="1"/>
    </xf>
    <xf numFmtId="0" fontId="37" fillId="0" borderId="8" xfId="0" applyFont="1" applyFill="1" applyBorder="1" applyAlignment="1">
      <alignment vertical="center"/>
    </xf>
    <xf numFmtId="0" fontId="37" fillId="0" borderId="13" xfId="0" applyFont="1" applyFill="1" applyBorder="1" applyAlignment="1">
      <alignment vertical="center"/>
    </xf>
    <xf numFmtId="43" fontId="37" fillId="0" borderId="21" xfId="0" applyNumberFormat="1" applyFont="1" applyFill="1" applyBorder="1" applyAlignment="1">
      <alignment vertical="center"/>
    </xf>
    <xf numFmtId="43" fontId="37" fillId="0" borderId="3" xfId="1" applyFont="1" applyFill="1" applyBorder="1" applyAlignment="1">
      <alignment vertical="center" shrinkToFit="1"/>
    </xf>
    <xf numFmtId="43" fontId="37" fillId="0" borderId="3" xfId="0" applyNumberFormat="1" applyFont="1" applyFill="1" applyBorder="1" applyAlignment="1">
      <alignment vertical="center"/>
    </xf>
    <xf numFmtId="43" fontId="37" fillId="0" borderId="3" xfId="1" applyFont="1" applyFill="1" applyBorder="1" applyAlignment="1">
      <alignment vertical="center"/>
    </xf>
    <xf numFmtId="0" fontId="43" fillId="0" borderId="1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vertical="center" shrinkToFit="1"/>
    </xf>
    <xf numFmtId="0" fontId="43" fillId="7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vertical="center" shrinkToFit="1"/>
    </xf>
    <xf numFmtId="0" fontId="23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shrinkToFit="1"/>
    </xf>
    <xf numFmtId="0" fontId="8" fillId="5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43" fillId="7" borderId="1" xfId="0" applyFont="1" applyFill="1" applyBorder="1" applyAlignment="1">
      <alignment horizontal="center" vertical="center" shrinkToFit="1"/>
    </xf>
    <xf numFmtId="0" fontId="49" fillId="0" borderId="1" xfId="1" applyNumberFormat="1" applyFont="1" applyFill="1" applyBorder="1" applyAlignment="1">
      <alignment horizontal="center" vertical="center" shrinkToFit="1"/>
    </xf>
    <xf numFmtId="43" fontId="51" fillId="0" borderId="1" xfId="0" applyNumberFormat="1" applyFont="1" applyFill="1" applyBorder="1" applyAlignment="1">
      <alignment vertical="center"/>
    </xf>
    <xf numFmtId="43" fontId="51" fillId="0" borderId="1" xfId="0" applyNumberFormat="1" applyFont="1" applyFill="1" applyBorder="1" applyAlignment="1">
      <alignment vertical="center" shrinkToFit="1"/>
    </xf>
    <xf numFmtId="0" fontId="43" fillId="7" borderId="1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left" vertical="center" shrinkToFit="1"/>
    </xf>
    <xf numFmtId="0" fontId="36" fillId="0" borderId="23" xfId="0" applyFont="1" applyFill="1" applyBorder="1" applyAlignment="1">
      <alignment vertical="center"/>
    </xf>
    <xf numFmtId="0" fontId="37" fillId="0" borderId="23" xfId="0" applyFont="1" applyFill="1" applyBorder="1" applyAlignment="1">
      <alignment vertical="center"/>
    </xf>
    <xf numFmtId="0" fontId="37" fillId="0" borderId="24" xfId="0" applyFont="1" applyFill="1" applyBorder="1" applyAlignment="1">
      <alignment vertical="center"/>
    </xf>
    <xf numFmtId="43" fontId="44" fillId="0" borderId="0" xfId="1" applyFont="1" applyFill="1" applyAlignment="1">
      <alignment vertical="center"/>
    </xf>
    <xf numFmtId="43" fontId="36" fillId="0" borderId="0" xfId="1" applyFont="1" applyFill="1" applyAlignment="1">
      <alignment vertical="center"/>
    </xf>
    <xf numFmtId="0" fontId="52" fillId="0" borderId="0" xfId="0" applyFont="1" applyFill="1" applyAlignment="1">
      <alignment vertical="center"/>
    </xf>
    <xf numFmtId="0" fontId="53" fillId="0" borderId="0" xfId="0" applyFont="1" applyFill="1" applyAlignment="1">
      <alignment vertical="center"/>
    </xf>
    <xf numFmtId="0" fontId="41" fillId="0" borderId="4" xfId="0" applyFont="1" applyFill="1" applyBorder="1" applyAlignment="1">
      <alignment vertical="center"/>
    </xf>
    <xf numFmtId="43" fontId="41" fillId="0" borderId="12" xfId="1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0" fontId="43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vertical="center" shrinkToFit="1"/>
    </xf>
    <xf numFmtId="43" fontId="41" fillId="0" borderId="1" xfId="0" applyNumberFormat="1" applyFont="1" applyFill="1" applyBorder="1" applyAlignment="1">
      <alignment horizontal="center" vertical="center"/>
    </xf>
    <xf numFmtId="43" fontId="45" fillId="0" borderId="1" xfId="0" applyNumberFormat="1" applyFont="1" applyFill="1" applyBorder="1" applyAlignment="1">
      <alignment horizontal="center" vertical="center"/>
    </xf>
    <xf numFmtId="4" fontId="50" fillId="0" borderId="1" xfId="0" applyNumberFormat="1" applyFont="1" applyBorder="1" applyAlignment="1">
      <alignment vertical="top"/>
    </xf>
    <xf numFmtId="0" fontId="41" fillId="0" borderId="6" xfId="0" applyFont="1" applyFill="1" applyBorder="1" applyAlignment="1">
      <alignment horizontal="center" vertical="center"/>
    </xf>
    <xf numFmtId="43" fontId="43" fillId="0" borderId="1" xfId="0" applyNumberFormat="1" applyFont="1" applyFill="1" applyBorder="1" applyAlignment="1">
      <alignment horizontal="center" vertical="center"/>
    </xf>
    <xf numFmtId="0" fontId="44" fillId="5" borderId="1" xfId="0" applyFont="1" applyFill="1" applyBorder="1" applyAlignment="1">
      <alignment horizontal="center" vertical="center"/>
    </xf>
    <xf numFmtId="0" fontId="44" fillId="5" borderId="1" xfId="0" applyFont="1" applyFill="1" applyBorder="1" applyAlignment="1">
      <alignment horizontal="center" vertical="center" shrinkToFit="1"/>
    </xf>
    <xf numFmtId="43" fontId="55" fillId="0" borderId="1" xfId="1" applyFont="1" applyBorder="1" applyAlignment="1">
      <alignment vertical="top"/>
    </xf>
    <xf numFmtId="49" fontId="50" fillId="0" borderId="1" xfId="0" applyNumberFormat="1" applyFont="1" applyBorder="1" applyAlignment="1">
      <alignment horizontal="center" vertical="top"/>
    </xf>
    <xf numFmtId="0" fontId="39" fillId="0" borderId="0" xfId="0" applyFont="1" applyAlignment="1">
      <alignment shrinkToFit="1"/>
    </xf>
    <xf numFmtId="43" fontId="39" fillId="0" borderId="0" xfId="1" applyNumberFormat="1" applyFont="1"/>
    <xf numFmtId="43" fontId="39" fillId="0" borderId="0" xfId="1" applyFont="1"/>
    <xf numFmtId="43" fontId="39" fillId="0" borderId="0" xfId="0" applyNumberFormat="1" applyFont="1"/>
    <xf numFmtId="0" fontId="14" fillId="0" borderId="0" xfId="0" applyFont="1"/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 shrinkToFit="1"/>
    </xf>
    <xf numFmtId="43" fontId="12" fillId="0" borderId="1" xfId="0" applyNumberFormat="1" applyFont="1" applyFill="1" applyBorder="1" applyAlignment="1">
      <alignment vertical="center"/>
    </xf>
    <xf numFmtId="0" fontId="12" fillId="0" borderId="0" xfId="0" applyFont="1"/>
    <xf numFmtId="43" fontId="12" fillId="0" borderId="0" xfId="0" applyNumberFormat="1" applyFont="1"/>
    <xf numFmtId="0" fontId="12" fillId="0" borderId="0" xfId="0" applyFont="1" applyBorder="1"/>
    <xf numFmtId="0" fontId="12" fillId="0" borderId="0" xfId="0" applyFont="1" applyAlignment="1">
      <alignment shrinkToFit="1"/>
    </xf>
    <xf numFmtId="0" fontId="12" fillId="0" borderId="0" xfId="0" applyFont="1" applyFill="1"/>
    <xf numFmtId="43" fontId="12" fillId="0" borderId="0" xfId="1" applyFont="1"/>
    <xf numFmtId="0" fontId="14" fillId="0" borderId="0" xfId="0" applyFont="1" applyFill="1"/>
    <xf numFmtId="43" fontId="14" fillId="4" borderId="3" xfId="1" applyFont="1" applyFill="1" applyBorder="1" applyAlignment="1">
      <alignment horizontal="center" vertical="center"/>
    </xf>
    <xf numFmtId="0" fontId="14" fillId="0" borderId="0" xfId="0" applyFont="1" applyFill="1" applyAlignment="1">
      <alignment shrinkToFit="1"/>
    </xf>
    <xf numFmtId="43" fontId="12" fillId="0" borderId="1" xfId="1" applyFont="1" applyBorder="1"/>
    <xf numFmtId="43" fontId="14" fillId="0" borderId="1" xfId="0" applyNumberFormat="1" applyFont="1" applyFill="1" applyBorder="1" applyAlignment="1">
      <alignment vertical="center"/>
    </xf>
    <xf numFmtId="2" fontId="14" fillId="0" borderId="1" xfId="0" applyNumberFormat="1" applyFont="1" applyFill="1" applyBorder="1" applyAlignment="1">
      <alignment horizontal="center" vertical="center"/>
    </xf>
    <xf numFmtId="43" fontId="14" fillId="0" borderId="1" xfId="1" applyFont="1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vertical="center"/>
    </xf>
    <xf numFmtId="0" fontId="12" fillId="0" borderId="25" xfId="0" applyFont="1" applyFill="1" applyBorder="1" applyAlignment="1">
      <alignment vertical="center" shrinkToFit="1"/>
    </xf>
    <xf numFmtId="43" fontId="60" fillId="8" borderId="20" xfId="1" applyNumberFormat="1" applyFont="1" applyFill="1" applyBorder="1" applyAlignment="1">
      <alignment vertical="center" shrinkToFit="1"/>
    </xf>
    <xf numFmtId="0" fontId="61" fillId="0" borderId="0" xfId="0" applyFont="1"/>
    <xf numFmtId="0" fontId="4" fillId="0" borderId="0" xfId="0" applyFont="1"/>
    <xf numFmtId="0" fontId="24" fillId="0" borderId="0" xfId="0" applyFont="1" applyAlignment="1">
      <alignment shrinkToFit="1"/>
    </xf>
    <xf numFmtId="0" fontId="50" fillId="0" borderId="1" xfId="0" applyFont="1" applyBorder="1" applyAlignment="1">
      <alignment vertical="top" wrapText="1" shrinkToFit="1"/>
    </xf>
    <xf numFmtId="43" fontId="14" fillId="4" borderId="8" xfId="1" applyFont="1" applyFill="1" applyBorder="1" applyAlignment="1">
      <alignment horizontal="center" vertical="center" shrinkToFit="1"/>
    </xf>
    <xf numFmtId="43" fontId="4" fillId="0" borderId="0" xfId="0" applyNumberFormat="1" applyFont="1"/>
    <xf numFmtId="0" fontId="43" fillId="0" borderId="0" xfId="0" applyFont="1" applyFill="1" applyAlignment="1">
      <alignment vertical="center" shrinkToFit="1"/>
    </xf>
    <xf numFmtId="0" fontId="46" fillId="0" borderId="0" xfId="0" applyFont="1" applyFill="1" applyAlignment="1">
      <alignment vertical="center" shrinkToFit="1"/>
    </xf>
    <xf numFmtId="0" fontId="59" fillId="0" borderId="0" xfId="0" applyFont="1"/>
    <xf numFmtId="0" fontId="56" fillId="0" borderId="0" xfId="0" applyFont="1"/>
    <xf numFmtId="0" fontId="59" fillId="0" borderId="0" xfId="0" applyFont="1" applyAlignment="1">
      <alignment wrapText="1" shrinkToFit="1"/>
    </xf>
    <xf numFmtId="0" fontId="59" fillId="0" borderId="0" xfId="0" applyFont="1" applyAlignment="1">
      <alignment horizontal="center"/>
    </xf>
    <xf numFmtId="49" fontId="59" fillId="0" borderId="0" xfId="0" applyNumberFormat="1" applyFont="1" applyAlignment="1">
      <alignment horizontal="center"/>
    </xf>
    <xf numFmtId="0" fontId="50" fillId="0" borderId="0" xfId="0" applyFont="1"/>
    <xf numFmtId="0" fontId="50" fillId="0" borderId="1" xfId="0" applyFont="1" applyBorder="1"/>
    <xf numFmtId="0" fontId="50" fillId="0" borderId="6" xfId="0" applyFont="1" applyBorder="1"/>
    <xf numFmtId="0" fontId="55" fillId="0" borderId="6" xfId="0" applyFont="1" applyBorder="1"/>
    <xf numFmtId="0" fontId="55" fillId="0" borderId="1" xfId="0" applyFont="1" applyBorder="1"/>
    <xf numFmtId="0" fontId="55" fillId="0" borderId="0" xfId="0" applyFont="1"/>
    <xf numFmtId="187" fontId="59" fillId="0" borderId="0" xfId="0" applyNumberFormat="1" applyFont="1"/>
    <xf numFmtId="0" fontId="55" fillId="0" borderId="8" xfId="0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50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 shrinkToFit="1"/>
    </xf>
    <xf numFmtId="43" fontId="50" fillId="0" borderId="6" xfId="1" applyFont="1" applyBorder="1" applyAlignment="1">
      <alignment vertical="top"/>
    </xf>
    <xf numFmtId="4" fontId="50" fillId="0" borderId="6" xfId="0" applyNumberFormat="1" applyFont="1" applyBorder="1" applyAlignment="1">
      <alignment vertical="top"/>
    </xf>
    <xf numFmtId="4" fontId="55" fillId="0" borderId="1" xfId="0" applyNumberFormat="1" applyFont="1" applyBorder="1" applyAlignment="1">
      <alignment vertical="top"/>
    </xf>
    <xf numFmtId="43" fontId="55" fillId="0" borderId="6" xfId="1" applyFont="1" applyBorder="1" applyAlignment="1">
      <alignment vertical="top"/>
    </xf>
    <xf numFmtId="43" fontId="56" fillId="0" borderId="1" xfId="1" applyFont="1" applyBorder="1" applyAlignment="1">
      <alignment vertical="top"/>
    </xf>
    <xf numFmtId="187" fontId="56" fillId="0" borderId="0" xfId="0" applyNumberFormat="1" applyFont="1"/>
    <xf numFmtId="0" fontId="50" fillId="0" borderId="1" xfId="0" applyFont="1" applyBorder="1" applyAlignment="1">
      <alignment horizontal="center" vertical="top"/>
    </xf>
    <xf numFmtId="0" fontId="44" fillId="0" borderId="0" xfId="0" applyFont="1" applyFill="1" applyBorder="1" applyAlignment="1">
      <alignment horizontal="right" vertical="center"/>
    </xf>
    <xf numFmtId="43" fontId="44" fillId="0" borderId="0" xfId="0" applyNumberFormat="1" applyFont="1" applyFill="1" applyBorder="1" applyAlignment="1">
      <alignment horizontal="center" vertical="center"/>
    </xf>
    <xf numFmtId="43" fontId="14" fillId="4" borderId="8" xfId="1" applyFont="1" applyFill="1" applyBorder="1" applyAlignment="1">
      <alignment horizontal="center" vertical="center"/>
    </xf>
    <xf numFmtId="43" fontId="14" fillId="0" borderId="0" xfId="1" applyFont="1"/>
    <xf numFmtId="187" fontId="12" fillId="0" borderId="0" xfId="0" applyNumberFormat="1" applyFont="1" applyFill="1"/>
    <xf numFmtId="43" fontId="11" fillId="0" borderId="0" xfId="1" applyFont="1" applyFill="1" applyBorder="1" applyAlignment="1">
      <alignment vertical="center" shrinkToFit="1"/>
    </xf>
    <xf numFmtId="43" fontId="64" fillId="0" borderId="0" xfId="1" applyFont="1" applyFill="1" applyBorder="1" applyAlignment="1">
      <alignment horizontal="center" vertical="center" shrinkToFit="1"/>
    </xf>
    <xf numFmtId="43" fontId="31" fillId="0" borderId="1" xfId="1" applyFont="1" applyFill="1" applyBorder="1" applyAlignment="1">
      <alignment vertical="center" shrinkToFit="1"/>
    </xf>
    <xf numFmtId="43" fontId="66" fillId="0" borderId="1" xfId="1" applyFont="1" applyFill="1" applyBorder="1" applyAlignment="1">
      <alignment vertical="center" shrinkToFit="1"/>
    </xf>
    <xf numFmtId="43" fontId="31" fillId="0" borderId="0" xfId="1" applyFont="1" applyFill="1" applyBorder="1" applyAlignment="1">
      <alignment vertical="center" shrinkToFit="1"/>
    </xf>
    <xf numFmtId="43" fontId="67" fillId="0" borderId="0" xfId="1" applyFont="1" applyFill="1" applyBorder="1" applyAlignment="1">
      <alignment vertical="center" shrinkToFit="1"/>
    </xf>
    <xf numFmtId="43" fontId="68" fillId="0" borderId="0" xfId="1" applyFont="1" applyFill="1" applyBorder="1" applyAlignment="1">
      <alignment vertical="center" shrinkToFit="1"/>
    </xf>
    <xf numFmtId="0" fontId="64" fillId="0" borderId="0" xfId="1" applyNumberFormat="1" applyFont="1" applyFill="1" applyBorder="1" applyAlignment="1">
      <alignment horizontal="center" vertical="center" shrinkToFit="1"/>
    </xf>
    <xf numFmtId="43" fontId="71" fillId="0" borderId="0" xfId="1" applyFont="1" applyFill="1" applyAlignment="1">
      <alignment vertical="center" shrinkToFit="1"/>
    </xf>
    <xf numFmtId="43" fontId="71" fillId="0" borderId="0" xfId="1" applyFont="1" applyFill="1" applyBorder="1" applyAlignment="1">
      <alignment vertical="center" shrinkToFit="1"/>
    </xf>
    <xf numFmtId="43" fontId="71" fillId="0" borderId="0" xfId="1" applyFont="1" applyFill="1" applyAlignment="1">
      <alignment horizontal="center" vertical="center" shrinkToFit="1"/>
    </xf>
    <xf numFmtId="43" fontId="72" fillId="0" borderId="0" xfId="1" applyFont="1" applyFill="1" applyAlignment="1">
      <alignment vertical="center" shrinkToFit="1"/>
    </xf>
    <xf numFmtId="43" fontId="72" fillId="0" borderId="0" xfId="1" applyFont="1" applyFill="1" applyBorder="1" applyAlignment="1">
      <alignment vertical="center" shrinkToFit="1"/>
    </xf>
    <xf numFmtId="43" fontId="74" fillId="0" borderId="0" xfId="1" applyFont="1" applyFill="1" applyBorder="1" applyAlignment="1">
      <alignment vertical="center" shrinkToFit="1"/>
    </xf>
    <xf numFmtId="43" fontId="75" fillId="0" borderId="0" xfId="1" applyFont="1" applyFill="1" applyAlignment="1">
      <alignment vertical="center" shrinkToFit="1"/>
    </xf>
    <xf numFmtId="43" fontId="75" fillId="0" borderId="0" xfId="1" applyFont="1" applyFill="1" applyBorder="1" applyAlignment="1">
      <alignment vertical="center" shrinkToFit="1"/>
    </xf>
    <xf numFmtId="43" fontId="12" fillId="0" borderId="0" xfId="1" applyFont="1" applyFill="1" applyAlignment="1">
      <alignment vertical="center" shrinkToFit="1"/>
    </xf>
    <xf numFmtId="43" fontId="76" fillId="0" borderId="0" xfId="1" applyFont="1" applyFill="1" applyAlignment="1">
      <alignment vertical="center" shrinkToFit="1"/>
    </xf>
    <xf numFmtId="43" fontId="68" fillId="0" borderId="0" xfId="1" applyFont="1" applyFill="1" applyAlignment="1">
      <alignment vertical="center" shrinkToFit="1"/>
    </xf>
    <xf numFmtId="43" fontId="12" fillId="0" borderId="0" xfId="1" applyFont="1" applyFill="1" applyBorder="1" applyAlignment="1">
      <alignment vertical="center" shrinkToFit="1"/>
    </xf>
    <xf numFmtId="0" fontId="64" fillId="0" borderId="10" xfId="1" applyNumberFormat="1" applyFont="1" applyFill="1" applyBorder="1" applyAlignment="1">
      <alignment horizontal="left" vertical="center"/>
    </xf>
    <xf numFmtId="0" fontId="64" fillId="0" borderId="10" xfId="1" applyNumberFormat="1" applyFont="1" applyFill="1" applyBorder="1" applyAlignment="1">
      <alignment vertical="center"/>
    </xf>
    <xf numFmtId="0" fontId="64" fillId="0" borderId="10" xfId="1" applyNumberFormat="1" applyFont="1" applyFill="1" applyBorder="1" applyAlignment="1">
      <alignment horizontal="left" vertical="center" shrinkToFit="1"/>
    </xf>
    <xf numFmtId="0" fontId="64" fillId="0" borderId="10" xfId="1" applyNumberFormat="1" applyFont="1" applyFill="1" applyBorder="1" applyAlignment="1">
      <alignment vertical="center" shrinkToFit="1"/>
    </xf>
    <xf numFmtId="0" fontId="65" fillId="0" borderId="10" xfId="1" applyNumberFormat="1" applyFont="1" applyFill="1" applyBorder="1" applyAlignment="1">
      <alignment vertical="center" shrinkToFit="1"/>
    </xf>
    <xf numFmtId="0" fontId="64" fillId="0" borderId="10" xfId="0" applyNumberFormat="1" applyFont="1" applyFill="1" applyBorder="1" applyAlignment="1">
      <alignment horizontal="left" vertical="center"/>
    </xf>
    <xf numFmtId="43" fontId="64" fillId="0" borderId="0" xfId="1" applyFont="1" applyFill="1" applyBorder="1" applyAlignment="1">
      <alignment vertical="center" shrinkToFit="1"/>
    </xf>
    <xf numFmtId="43" fontId="12" fillId="0" borderId="1" xfId="1" applyFont="1" applyFill="1" applyBorder="1" applyAlignment="1">
      <alignment vertical="center"/>
    </xf>
    <xf numFmtId="189" fontId="64" fillId="0" borderId="10" xfId="1" applyNumberFormat="1" applyFont="1" applyFill="1" applyBorder="1" applyAlignment="1">
      <alignment vertical="center" shrinkToFit="1"/>
    </xf>
    <xf numFmtId="43" fontId="43" fillId="0" borderId="12" xfId="0" applyNumberFormat="1" applyFont="1" applyFill="1" applyBorder="1" applyAlignment="1">
      <alignment horizontal="center" vertical="center"/>
    </xf>
    <xf numFmtId="43" fontId="41" fillId="0" borderId="1" xfId="0" applyNumberFormat="1" applyFont="1" applyFill="1" applyBorder="1" applyAlignment="1">
      <alignment horizontal="center" vertical="top"/>
    </xf>
    <xf numFmtId="0" fontId="46" fillId="6" borderId="1" xfId="0" applyFont="1" applyFill="1" applyBorder="1" applyAlignment="1">
      <alignment horizontal="center" vertical="center" shrinkToFit="1"/>
    </xf>
    <xf numFmtId="43" fontId="46" fillId="6" borderId="1" xfId="1" applyFont="1" applyFill="1" applyBorder="1" applyAlignment="1">
      <alignment vertical="center" shrinkToFit="1"/>
    </xf>
    <xf numFmtId="4" fontId="12" fillId="0" borderId="1" xfId="0" applyNumberFormat="1" applyFont="1" applyBorder="1"/>
    <xf numFmtId="43" fontId="12" fillId="0" borderId="1" xfId="1" applyFont="1" applyFill="1" applyBorder="1"/>
    <xf numFmtId="43" fontId="66" fillId="6" borderId="1" xfId="1" applyFont="1" applyFill="1" applyBorder="1" applyAlignment="1">
      <alignment vertical="center" shrinkToFit="1"/>
    </xf>
    <xf numFmtId="0" fontId="64" fillId="6" borderId="10" xfId="1" applyNumberFormat="1" applyFont="1" applyFill="1" applyBorder="1" applyAlignment="1">
      <alignment horizontal="center" vertical="center"/>
    </xf>
    <xf numFmtId="43" fontId="31" fillId="6" borderId="1" xfId="1" applyFont="1" applyFill="1" applyBorder="1" applyAlignment="1">
      <alignment vertical="center" shrinkToFit="1"/>
    </xf>
    <xf numFmtId="0" fontId="70" fillId="6" borderId="10" xfId="1" applyNumberFormat="1" applyFont="1" applyFill="1" applyBorder="1" applyAlignment="1">
      <alignment horizontal="center" vertical="center"/>
    </xf>
    <xf numFmtId="0" fontId="77" fillId="0" borderId="10" xfId="1" applyNumberFormat="1" applyFont="1" applyFill="1" applyBorder="1" applyAlignment="1">
      <alignment horizontal="center" vertical="center"/>
    </xf>
    <xf numFmtId="43" fontId="43" fillId="0" borderId="12" xfId="1" applyFont="1" applyFill="1" applyBorder="1" applyAlignment="1">
      <alignment vertical="center"/>
    </xf>
    <xf numFmtId="0" fontId="43" fillId="0" borderId="6" xfId="0" applyFont="1" applyFill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43" fontId="36" fillId="0" borderId="1" xfId="1" applyFont="1" applyFill="1" applyBorder="1" applyAlignment="1">
      <alignment horizontal="center" vertical="center"/>
    </xf>
    <xf numFmtId="0" fontId="37" fillId="6" borderId="1" xfId="0" applyFont="1" applyFill="1" applyBorder="1" applyAlignment="1">
      <alignment horizontal="center" vertical="center" shrinkToFit="1"/>
    </xf>
    <xf numFmtId="0" fontId="12" fillId="0" borderId="10" xfId="0" applyFont="1" applyFill="1" applyBorder="1"/>
    <xf numFmtId="0" fontId="29" fillId="0" borderId="0" xfId="0" applyFont="1"/>
    <xf numFmtId="0" fontId="30" fillId="0" borderId="0" xfId="0" applyFont="1"/>
    <xf numFmtId="43" fontId="14" fillId="0" borderId="1" xfId="1" applyFont="1" applyBorder="1"/>
    <xf numFmtId="0" fontId="64" fillId="6" borderId="10" xfId="1" applyNumberFormat="1" applyFont="1" applyFill="1" applyBorder="1" applyAlignment="1">
      <alignment horizontal="center" vertical="center" shrinkToFit="1"/>
    </xf>
    <xf numFmtId="0" fontId="64" fillId="0" borderId="10" xfId="1" applyNumberFormat="1" applyFont="1" applyFill="1" applyBorder="1" applyAlignment="1">
      <alignment horizontal="center" vertical="center"/>
    </xf>
    <xf numFmtId="43" fontId="64" fillId="0" borderId="10" xfId="1" applyFont="1" applyFill="1" applyBorder="1" applyAlignment="1">
      <alignment horizontal="left" vertical="center" shrinkToFit="1"/>
    </xf>
    <xf numFmtId="43" fontId="14" fillId="0" borderId="32" xfId="1" applyFont="1" applyFill="1" applyBorder="1" applyAlignment="1">
      <alignment vertical="center" shrinkToFit="1"/>
    </xf>
    <xf numFmtId="49" fontId="64" fillId="0" borderId="10" xfId="0" applyNumberFormat="1" applyFont="1" applyFill="1" applyBorder="1"/>
    <xf numFmtId="49" fontId="64" fillId="0" borderId="10" xfId="0" applyNumberFormat="1" applyFont="1" applyFill="1" applyBorder="1" applyAlignment="1">
      <alignment vertical="center"/>
    </xf>
    <xf numFmtId="43" fontId="64" fillId="6" borderId="10" xfId="1" applyFont="1" applyFill="1" applyBorder="1" applyAlignment="1">
      <alignment vertical="center" shrinkToFit="1"/>
    </xf>
    <xf numFmtId="0" fontId="65" fillId="0" borderId="0" xfId="1" applyNumberFormat="1" applyFont="1" applyFill="1" applyBorder="1" applyAlignment="1">
      <alignment vertical="center"/>
    </xf>
    <xf numFmtId="0" fontId="64" fillId="0" borderId="0" xfId="1" applyNumberFormat="1" applyFont="1" applyFill="1" applyBorder="1" applyAlignment="1">
      <alignment horizontal="right" vertical="center"/>
    </xf>
    <xf numFmtId="0" fontId="64" fillId="0" borderId="0" xfId="1" applyNumberFormat="1" applyFont="1" applyFill="1" applyBorder="1" applyAlignment="1">
      <alignment vertical="center"/>
    </xf>
    <xf numFmtId="0" fontId="68" fillId="0" borderId="0" xfId="1" applyNumberFormat="1" applyFont="1" applyFill="1" applyBorder="1" applyAlignment="1">
      <alignment vertical="center"/>
    </xf>
    <xf numFmtId="49" fontId="64" fillId="0" borderId="3" xfId="0" applyNumberFormat="1" applyFont="1" applyFill="1" applyBorder="1"/>
    <xf numFmtId="49" fontId="64" fillId="0" borderId="3" xfId="0" applyNumberFormat="1" applyFont="1" applyFill="1" applyBorder="1" applyAlignment="1">
      <alignment vertical="center"/>
    </xf>
    <xf numFmtId="43" fontId="69" fillId="0" borderId="3" xfId="1" applyNumberFormat="1" applyFont="1" applyFill="1" applyBorder="1" applyAlignment="1">
      <alignment vertical="center"/>
    </xf>
    <xf numFmtId="0" fontId="65" fillId="0" borderId="3" xfId="1" applyNumberFormat="1" applyFont="1" applyFill="1" applyBorder="1" applyAlignment="1">
      <alignment vertical="center" shrinkToFit="1"/>
    </xf>
    <xf numFmtId="0" fontId="64" fillId="0" borderId="3" xfId="1" applyNumberFormat="1" applyFont="1" applyFill="1" applyBorder="1" applyAlignment="1">
      <alignment vertical="center"/>
    </xf>
    <xf numFmtId="0" fontId="64" fillId="0" borderId="8" xfId="1" applyNumberFormat="1" applyFont="1" applyFill="1" applyBorder="1" applyAlignment="1">
      <alignment horizontal="center" vertical="center"/>
    </xf>
    <xf numFmtId="0" fontId="64" fillId="0" borderId="3" xfId="1" applyNumberFormat="1" applyFont="1" applyFill="1" applyBorder="1" applyAlignment="1">
      <alignment horizontal="center" vertical="center"/>
    </xf>
    <xf numFmtId="0" fontId="64" fillId="6" borderId="3" xfId="1" applyNumberFormat="1" applyFont="1" applyFill="1" applyBorder="1" applyAlignment="1">
      <alignment horizontal="center" vertical="center" shrinkToFit="1"/>
    </xf>
    <xf numFmtId="0" fontId="64" fillId="6" borderId="3" xfId="1" applyNumberFormat="1" applyFont="1" applyFill="1" applyBorder="1" applyAlignment="1">
      <alignment horizontal="center" vertical="center"/>
    </xf>
    <xf numFmtId="43" fontId="64" fillId="7" borderId="8" xfId="1" applyFont="1" applyFill="1" applyBorder="1" applyAlignment="1">
      <alignment horizontal="center" vertical="center" shrinkToFit="1"/>
    </xf>
    <xf numFmtId="43" fontId="64" fillId="7" borderId="3" xfId="1" applyFont="1" applyFill="1" applyBorder="1" applyAlignment="1">
      <alignment horizontal="center" vertical="center" shrinkToFit="1"/>
    </xf>
    <xf numFmtId="0" fontId="4" fillId="0" borderId="0" xfId="0" applyFont="1" applyAlignment="1">
      <alignment shrinkToFit="1"/>
    </xf>
    <xf numFmtId="43" fontId="4" fillId="0" borderId="0" xfId="1" applyNumberFormat="1" applyFont="1"/>
    <xf numFmtId="43" fontId="24" fillId="0" borderId="0" xfId="0" applyNumberFormat="1" applyFont="1"/>
    <xf numFmtId="43" fontId="24" fillId="0" borderId="0" xfId="1" applyFont="1"/>
    <xf numFmtId="0" fontId="14" fillId="0" borderId="1" xfId="0" applyFont="1" applyBorder="1" applyAlignment="1">
      <alignment horizontal="center"/>
    </xf>
    <xf numFmtId="43" fontId="56" fillId="0" borderId="1" xfId="1" applyFont="1" applyFill="1" applyBorder="1" applyAlignment="1">
      <alignment vertical="center"/>
    </xf>
    <xf numFmtId="49" fontId="50" fillId="0" borderId="1" xfId="0" applyNumberFormat="1" applyFont="1" applyFill="1" applyBorder="1" applyAlignment="1">
      <alignment horizontal="center" vertical="top"/>
    </xf>
    <xf numFmtId="43" fontId="59" fillId="0" borderId="0" xfId="1" applyFont="1" applyBorder="1" applyAlignment="1">
      <alignment vertical="top"/>
    </xf>
    <xf numFmtId="43" fontId="56" fillId="0" borderId="0" xfId="1" applyFont="1" applyBorder="1" applyAlignment="1">
      <alignment horizontal="center" vertical="top"/>
    </xf>
    <xf numFmtId="43" fontId="59" fillId="0" borderId="1" xfId="1" applyFont="1" applyBorder="1" applyAlignment="1">
      <alignment horizontal="center" vertical="top"/>
    </xf>
    <xf numFmtId="43" fontId="59" fillId="0" borderId="1" xfId="1" applyFont="1" applyFill="1" applyBorder="1" applyAlignment="1">
      <alignment horizontal="center" vertical="top"/>
    </xf>
    <xf numFmtId="43" fontId="56" fillId="0" borderId="1" xfId="1" applyFont="1" applyFill="1" applyBorder="1" applyAlignment="1">
      <alignment horizontal="right" vertical="top"/>
    </xf>
    <xf numFmtId="43" fontId="56" fillId="0" borderId="1" xfId="1" applyFont="1" applyBorder="1" applyAlignment="1">
      <alignment vertical="top" wrapText="1"/>
    </xf>
    <xf numFmtId="43" fontId="56" fillId="0" borderId="0" xfId="1" applyFont="1" applyBorder="1" applyAlignment="1">
      <alignment vertical="top"/>
    </xf>
    <xf numFmtId="43" fontId="59" fillId="0" borderId="1" xfId="1" applyFont="1" applyBorder="1" applyAlignment="1">
      <alignment horizontal="right" vertical="top" wrapText="1" shrinkToFit="1"/>
    </xf>
    <xf numFmtId="43" fontId="56" fillId="0" borderId="1" xfId="1" applyFont="1" applyFill="1" applyBorder="1" applyAlignment="1">
      <alignment vertical="top" wrapText="1"/>
    </xf>
    <xf numFmtId="43" fontId="56" fillId="0" borderId="0" xfId="1" applyFont="1" applyFill="1" applyBorder="1" applyAlignment="1">
      <alignment vertical="top"/>
    </xf>
    <xf numFmtId="43" fontId="59" fillId="0" borderId="1" xfId="1" applyFont="1" applyBorder="1" applyAlignment="1">
      <alignment horizontal="left" vertical="top"/>
    </xf>
    <xf numFmtId="43" fontId="59" fillId="0" borderId="1" xfId="1" applyFont="1" applyFill="1" applyBorder="1" applyAlignment="1">
      <alignment vertical="top"/>
    </xf>
    <xf numFmtId="43" fontId="56" fillId="0" borderId="1" xfId="1" applyFont="1" applyFill="1" applyBorder="1" applyAlignment="1">
      <alignment vertical="top"/>
    </xf>
    <xf numFmtId="0" fontId="56" fillId="0" borderId="4" xfId="1" applyNumberFormat="1" applyFont="1" applyFill="1" applyBorder="1" applyAlignment="1">
      <alignment horizontal="center" vertical="top"/>
    </xf>
    <xf numFmtId="43" fontId="59" fillId="0" borderId="1" xfId="1" applyFont="1" applyFill="1" applyBorder="1" applyAlignment="1">
      <alignment horizontal="right" vertical="top"/>
    </xf>
    <xf numFmtId="43" fontId="59" fillId="0" borderId="0" xfId="1" applyFont="1" applyFill="1" applyBorder="1" applyAlignment="1">
      <alignment vertical="top"/>
    </xf>
    <xf numFmtId="188" fontId="56" fillId="0" borderId="1" xfId="1" applyNumberFormat="1" applyFont="1" applyFill="1" applyBorder="1" applyAlignment="1">
      <alignment vertical="top"/>
    </xf>
    <xf numFmtId="188" fontId="59" fillId="0" borderId="1" xfId="1" applyNumberFormat="1" applyFont="1" applyFill="1" applyBorder="1" applyAlignment="1">
      <alignment vertical="top"/>
    </xf>
    <xf numFmtId="43" fontId="56" fillId="0" borderId="0" xfId="1" applyFont="1" applyFill="1" applyBorder="1" applyAlignment="1">
      <alignment vertical="top" wrapText="1"/>
    </xf>
    <xf numFmtId="0" fontId="56" fillId="0" borderId="0" xfId="0" applyFont="1" applyBorder="1" applyAlignment="1">
      <alignment vertical="top"/>
    </xf>
    <xf numFmtId="0" fontId="59" fillId="0" borderId="0" xfId="1" applyNumberFormat="1" applyFont="1" applyBorder="1" applyAlignment="1">
      <alignment vertical="top"/>
    </xf>
    <xf numFmtId="43" fontId="56" fillId="0" borderId="0" xfId="1" applyFont="1" applyBorder="1" applyAlignment="1">
      <alignment vertical="top" wrapText="1"/>
    </xf>
    <xf numFmtId="43" fontId="59" fillId="0" borderId="0" xfId="1" applyFont="1" applyBorder="1" applyAlignment="1">
      <alignment horizontal="left" vertical="top" wrapText="1"/>
    </xf>
    <xf numFmtId="0" fontId="59" fillId="0" borderId="0" xfId="0" applyFont="1" applyFill="1"/>
    <xf numFmtId="0" fontId="55" fillId="0" borderId="8" xfId="0" applyFont="1" applyFill="1" applyBorder="1" applyAlignment="1">
      <alignment horizontal="center" vertical="center" wrapText="1"/>
    </xf>
    <xf numFmtId="0" fontId="55" fillId="0" borderId="0" xfId="0" applyFont="1" applyFill="1"/>
    <xf numFmtId="0" fontId="55" fillId="0" borderId="3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top"/>
    </xf>
    <xf numFmtId="0" fontId="50" fillId="0" borderId="1" xfId="0" applyFont="1" applyFill="1" applyBorder="1" applyAlignment="1">
      <alignment vertical="top"/>
    </xf>
    <xf numFmtId="0" fontId="50" fillId="0" borderId="1" xfId="0" applyFont="1" applyFill="1" applyBorder="1" applyAlignment="1">
      <alignment vertical="top" shrinkToFit="1"/>
    </xf>
    <xf numFmtId="4" fontId="50" fillId="0" borderId="1" xfId="0" applyNumberFormat="1" applyFont="1" applyFill="1" applyBorder="1" applyAlignment="1">
      <alignment vertical="top"/>
    </xf>
    <xf numFmtId="43" fontId="50" fillId="0" borderId="6" xfId="1" applyFont="1" applyFill="1" applyBorder="1" applyAlignment="1">
      <alignment vertical="top"/>
    </xf>
    <xf numFmtId="43" fontId="55" fillId="0" borderId="6" xfId="1" applyFont="1" applyFill="1" applyBorder="1" applyAlignment="1">
      <alignment vertical="top"/>
    </xf>
    <xf numFmtId="43" fontId="55" fillId="0" borderId="1" xfId="1" applyFont="1" applyFill="1" applyBorder="1" applyAlignment="1">
      <alignment vertical="top" wrapText="1"/>
    </xf>
    <xf numFmtId="0" fontId="50" fillId="0" borderId="6" xfId="0" applyFont="1" applyFill="1" applyBorder="1"/>
    <xf numFmtId="0" fontId="50" fillId="0" borderId="1" xfId="0" applyFont="1" applyFill="1" applyBorder="1"/>
    <xf numFmtId="0" fontId="50" fillId="0" borderId="0" xfId="0" applyFont="1" applyFill="1"/>
    <xf numFmtId="0" fontId="50" fillId="0" borderId="1" xfId="0" applyFont="1" applyFill="1" applyBorder="1" applyAlignment="1">
      <alignment vertical="top" wrapText="1"/>
    </xf>
    <xf numFmtId="43" fontId="85" fillId="0" borderId="1" xfId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shrinkToFit="1"/>
    </xf>
    <xf numFmtId="43" fontId="85" fillId="0" borderId="1" xfId="1" applyFont="1" applyFill="1" applyBorder="1" applyAlignment="1">
      <alignment vertical="top" wrapText="1"/>
    </xf>
    <xf numFmtId="4" fontId="55" fillId="0" borderId="1" xfId="0" applyNumberFormat="1" applyFont="1" applyFill="1" applyBorder="1" applyAlignment="1">
      <alignment vertical="top"/>
    </xf>
    <xf numFmtId="0" fontId="55" fillId="0" borderId="6" xfId="0" applyFont="1" applyFill="1" applyBorder="1"/>
    <xf numFmtId="0" fontId="55" fillId="0" borderId="1" xfId="0" applyFont="1" applyFill="1" applyBorder="1"/>
    <xf numFmtId="43" fontId="6" fillId="0" borderId="1" xfId="1" applyFont="1" applyFill="1" applyBorder="1" applyAlignment="1">
      <alignment vertical="top" wrapText="1"/>
    </xf>
    <xf numFmtId="0" fontId="50" fillId="0" borderId="1" xfId="0" applyFont="1" applyFill="1" applyBorder="1" applyAlignment="1">
      <alignment vertical="top" wrapText="1" shrinkToFit="1"/>
    </xf>
    <xf numFmtId="43" fontId="55" fillId="0" borderId="1" xfId="1" applyFont="1" applyFill="1" applyBorder="1" applyAlignment="1">
      <alignment vertical="top"/>
    </xf>
    <xf numFmtId="43" fontId="56" fillId="0" borderId="6" xfId="1" applyFont="1" applyFill="1" applyBorder="1" applyAlignment="1">
      <alignment vertical="top"/>
    </xf>
    <xf numFmtId="0" fontId="56" fillId="0" borderId="0" xfId="0" applyFont="1" applyFill="1"/>
    <xf numFmtId="0" fontId="59" fillId="0" borderId="0" xfId="0" applyFont="1" applyFill="1" applyAlignment="1">
      <alignment horizontal="center"/>
    </xf>
    <xf numFmtId="49" fontId="59" fillId="0" borderId="0" xfId="0" applyNumberFormat="1" applyFont="1" applyFill="1" applyAlignment="1">
      <alignment horizontal="center"/>
    </xf>
    <xf numFmtId="0" fontId="59" fillId="0" borderId="0" xfId="0" applyFont="1" applyFill="1" applyAlignment="1">
      <alignment shrinkToFit="1"/>
    </xf>
    <xf numFmtId="187" fontId="59" fillId="0" borderId="0" xfId="0" applyNumberFormat="1" applyFont="1" applyFill="1"/>
    <xf numFmtId="43" fontId="59" fillId="0" borderId="0" xfId="1" applyFont="1" applyFill="1"/>
    <xf numFmtId="187" fontId="56" fillId="0" borderId="0" xfId="0" applyNumberFormat="1" applyFont="1" applyFill="1"/>
    <xf numFmtId="187" fontId="56" fillId="0" borderId="0" xfId="0" applyNumberFormat="1" applyFont="1" applyFill="1" applyAlignment="1">
      <alignment wrapText="1"/>
    </xf>
    <xf numFmtId="0" fontId="56" fillId="0" borderId="0" xfId="0" applyFont="1" applyFill="1" applyAlignment="1">
      <alignment wrapText="1"/>
    </xf>
    <xf numFmtId="43" fontId="56" fillId="0" borderId="0" xfId="1" applyFont="1" applyBorder="1" applyAlignment="1">
      <alignment horizontal="center" vertical="center"/>
    </xf>
    <xf numFmtId="43" fontId="56" fillId="0" borderId="0" xfId="1" applyFont="1" applyFill="1" applyBorder="1" applyAlignment="1">
      <alignment vertical="center"/>
    </xf>
    <xf numFmtId="15" fontId="56" fillId="0" borderId="1" xfId="1" applyNumberFormat="1" applyFont="1" applyFill="1" applyBorder="1" applyAlignment="1">
      <alignment vertical="top" wrapText="1"/>
    </xf>
    <xf numFmtId="0" fontId="56" fillId="0" borderId="0" xfId="1" applyNumberFormat="1" applyFont="1" applyBorder="1" applyAlignment="1">
      <alignment vertical="top"/>
    </xf>
    <xf numFmtId="43" fontId="82" fillId="0" borderId="0" xfId="1" applyFont="1" applyFill="1" applyBorder="1" applyAlignment="1">
      <alignment vertical="top" wrapText="1"/>
    </xf>
    <xf numFmtId="43" fontId="6" fillId="0" borderId="0" xfId="0" applyNumberFormat="1" applyFont="1" applyFill="1" applyBorder="1" applyAlignment="1">
      <alignment horizontal="left" vertical="top"/>
    </xf>
    <xf numFmtId="43" fontId="56" fillId="0" borderId="3" xfId="1" applyFont="1" applyFill="1" applyBorder="1" applyAlignment="1">
      <alignment vertical="top"/>
    </xf>
    <xf numFmtId="43" fontId="56" fillId="0" borderId="3" xfId="1" applyFont="1" applyFill="1" applyBorder="1" applyAlignment="1">
      <alignment vertical="center"/>
    </xf>
    <xf numFmtId="43" fontId="86" fillId="0" borderId="1" xfId="1" applyFont="1" applyFill="1" applyBorder="1" applyAlignment="1">
      <alignment vertical="top" wrapText="1"/>
    </xf>
    <xf numFmtId="43" fontId="82" fillId="0" borderId="1" xfId="1" applyFont="1" applyFill="1" applyBorder="1" applyAlignment="1">
      <alignment vertical="top" wrapText="1"/>
    </xf>
    <xf numFmtId="0" fontId="81" fillId="0" borderId="0" xfId="1" applyNumberFormat="1" applyFont="1" applyBorder="1" applyAlignment="1">
      <alignment horizontal="left" vertical="top" wrapText="1" shrinkToFit="1"/>
    </xf>
    <xf numFmtId="0" fontId="81" fillId="0" borderId="0" xfId="1" applyNumberFormat="1" applyFont="1" applyBorder="1" applyAlignment="1">
      <alignment horizontal="left" vertical="top" wrapText="1"/>
    </xf>
    <xf numFmtId="0" fontId="83" fillId="0" borderId="0" xfId="1" applyNumberFormat="1" applyFont="1" applyBorder="1" applyAlignment="1">
      <alignment vertical="top"/>
    </xf>
    <xf numFmtId="0" fontId="81" fillId="0" borderId="0" xfId="1" applyNumberFormat="1" applyFont="1" applyBorder="1" applyAlignment="1">
      <alignment vertical="top"/>
    </xf>
    <xf numFmtId="43" fontId="81" fillId="0" borderId="0" xfId="1" applyFont="1" applyBorder="1" applyAlignment="1">
      <alignment vertical="top"/>
    </xf>
    <xf numFmtId="43" fontId="81" fillId="0" borderId="0" xfId="1" applyFont="1" applyBorder="1" applyAlignment="1">
      <alignment vertical="top" wrapText="1"/>
    </xf>
    <xf numFmtId="0" fontId="56" fillId="12" borderId="10" xfId="0" applyFont="1" applyFill="1" applyBorder="1" applyAlignment="1">
      <alignment horizontal="center" vertical="center"/>
    </xf>
    <xf numFmtId="43" fontId="56" fillId="0" borderId="4" xfId="1" applyFont="1" applyFill="1" applyBorder="1" applyAlignment="1">
      <alignment horizontal="right" vertical="top"/>
    </xf>
    <xf numFmtId="43" fontId="56" fillId="0" borderId="12" xfId="1" applyFont="1" applyFill="1" applyBorder="1" applyAlignment="1">
      <alignment horizontal="right" vertical="top"/>
    </xf>
    <xf numFmtId="43" fontId="56" fillId="0" borderId="6" xfId="1" applyFont="1" applyFill="1" applyBorder="1" applyAlignment="1">
      <alignment horizontal="right" vertical="top"/>
    </xf>
    <xf numFmtId="43" fontId="81" fillId="0" borderId="0" xfId="1" applyFont="1" applyBorder="1" applyAlignment="1">
      <alignment horizontal="center" vertical="top"/>
    </xf>
    <xf numFmtId="43" fontId="56" fillId="0" borderId="4" xfId="1" applyFont="1" applyFill="1" applyBorder="1" applyAlignment="1">
      <alignment horizontal="center" vertical="top"/>
    </xf>
    <xf numFmtId="43" fontId="56" fillId="0" borderId="12" xfId="1" applyFont="1" applyFill="1" applyBorder="1" applyAlignment="1">
      <alignment horizontal="center" vertical="top"/>
    </xf>
    <xf numFmtId="43" fontId="56" fillId="0" borderId="6" xfId="1" applyFont="1" applyFill="1" applyBorder="1" applyAlignment="1">
      <alignment horizontal="center" vertical="top"/>
    </xf>
    <xf numFmtId="0" fontId="81" fillId="0" borderId="0" xfId="1" applyNumberFormat="1" applyFont="1" applyBorder="1" applyAlignment="1">
      <alignment horizontal="center" vertical="top" wrapText="1" shrinkToFit="1"/>
    </xf>
    <xf numFmtId="0" fontId="83" fillId="0" borderId="0" xfId="1" applyNumberFormat="1" applyFont="1" applyBorder="1" applyAlignment="1">
      <alignment horizontal="center" vertical="top"/>
    </xf>
    <xf numFmtId="0" fontId="59" fillId="0" borderId="0" xfId="1" applyNumberFormat="1" applyFont="1" applyBorder="1" applyAlignment="1">
      <alignment horizontal="center" vertical="top"/>
    </xf>
    <xf numFmtId="0" fontId="81" fillId="0" borderId="4" xfId="1" applyNumberFormat="1" applyFont="1" applyFill="1" applyBorder="1" applyAlignment="1">
      <alignment vertical="top"/>
    </xf>
    <xf numFmtId="0" fontId="81" fillId="0" borderId="12" xfId="1" applyNumberFormat="1" applyFont="1" applyFill="1" applyBorder="1" applyAlignment="1">
      <alignment vertical="top"/>
    </xf>
    <xf numFmtId="0" fontId="81" fillId="0" borderId="12" xfId="1" applyNumberFormat="1" applyFont="1" applyFill="1" applyBorder="1" applyAlignment="1">
      <alignment horizontal="center" vertical="top"/>
    </xf>
    <xf numFmtId="0" fontId="81" fillId="0" borderId="6" xfId="1" applyNumberFormat="1" applyFont="1" applyFill="1" applyBorder="1" applyAlignment="1">
      <alignment vertical="top"/>
    </xf>
    <xf numFmtId="43" fontId="81" fillId="0" borderId="1" xfId="1" applyFont="1" applyFill="1" applyBorder="1" applyAlignment="1">
      <alignment horizontal="center" vertical="top"/>
    </xf>
    <xf numFmtId="43" fontId="81" fillId="0" borderId="1" xfId="1" applyFont="1" applyBorder="1" applyAlignment="1">
      <alignment vertical="top"/>
    </xf>
    <xf numFmtId="43" fontId="81" fillId="0" borderId="1" xfId="1" applyFont="1" applyFill="1" applyBorder="1" applyAlignment="1">
      <alignment horizontal="center" vertical="top" wrapText="1"/>
    </xf>
    <xf numFmtId="43" fontId="81" fillId="0" borderId="0" xfId="1" applyFont="1" applyFill="1" applyBorder="1" applyAlignment="1">
      <alignment vertical="top"/>
    </xf>
    <xf numFmtId="43" fontId="80" fillId="0" borderId="0" xfId="1" applyFont="1" applyBorder="1" applyAlignment="1">
      <alignment vertical="top"/>
    </xf>
    <xf numFmtId="2" fontId="56" fillId="0" borderId="1" xfId="0" applyNumberFormat="1" applyFont="1" applyBorder="1" applyAlignment="1">
      <alignment horizontal="left" vertical="top" wrapText="1"/>
    </xf>
    <xf numFmtId="43" fontId="58" fillId="0" borderId="0" xfId="1" applyFont="1" applyFill="1" applyBorder="1" applyAlignment="1">
      <alignment horizontal="center" vertical="top"/>
    </xf>
    <xf numFmtId="0" fontId="56" fillId="0" borderId="8" xfId="0" applyFont="1" applyFill="1" applyBorder="1" applyAlignment="1">
      <alignment horizontal="center" vertical="top"/>
    </xf>
    <xf numFmtId="0" fontId="56" fillId="0" borderId="5" xfId="1" applyNumberFormat="1" applyFont="1" applyFill="1" applyBorder="1" applyAlignment="1">
      <alignment horizontal="center" vertical="top" wrapText="1"/>
    </xf>
    <xf numFmtId="43" fontId="56" fillId="0" borderId="7" xfId="1" applyFont="1" applyFill="1" applyBorder="1" applyAlignment="1">
      <alignment horizontal="center" vertical="center"/>
    </xf>
    <xf numFmtId="43" fontId="56" fillId="0" borderId="8" xfId="1" applyFont="1" applyFill="1" applyBorder="1" applyAlignment="1">
      <alignment horizontal="center" vertical="center"/>
    </xf>
    <xf numFmtId="0" fontId="56" fillId="0" borderId="10" xfId="0" applyFont="1" applyFill="1" applyBorder="1" applyAlignment="1">
      <alignment horizontal="center" vertical="top"/>
    </xf>
    <xf numFmtId="0" fontId="56" fillId="0" borderId="10" xfId="1" applyNumberFormat="1" applyFont="1" applyFill="1" applyBorder="1" applyAlignment="1">
      <alignment horizontal="center" vertical="top"/>
    </xf>
    <xf numFmtId="0" fontId="56" fillId="0" borderId="26" xfId="1" applyNumberFormat="1" applyFont="1" applyFill="1" applyBorder="1" applyAlignment="1">
      <alignment horizontal="center" vertical="top" wrapText="1"/>
    </xf>
    <xf numFmtId="43" fontId="56" fillId="0" borderId="25" xfId="1" applyFont="1" applyFill="1" applyBorder="1" applyAlignment="1">
      <alignment horizontal="center" vertical="center" wrapText="1"/>
    </xf>
    <xf numFmtId="43" fontId="56" fillId="0" borderId="10" xfId="1" applyFont="1" applyFill="1" applyBorder="1" applyAlignment="1">
      <alignment horizontal="center" vertical="center" wrapText="1"/>
    </xf>
    <xf numFmtId="43" fontId="56" fillId="0" borderId="10" xfId="1" applyFont="1" applyFill="1" applyBorder="1" applyAlignment="1">
      <alignment horizontal="center" vertical="center"/>
    </xf>
    <xf numFmtId="0" fontId="56" fillId="0" borderId="10" xfId="0" applyFont="1" applyFill="1" applyBorder="1" applyAlignment="1">
      <alignment horizontal="center" vertical="center"/>
    </xf>
    <xf numFmtId="0" fontId="56" fillId="0" borderId="3" xfId="1" applyNumberFormat="1" applyFont="1" applyFill="1" applyBorder="1" applyAlignment="1">
      <alignment horizontal="center" vertical="top"/>
    </xf>
    <xf numFmtId="0" fontId="56" fillId="0" borderId="13" xfId="1" applyNumberFormat="1" applyFont="1" applyFill="1" applyBorder="1" applyAlignment="1">
      <alignment horizontal="center" vertical="top" wrapText="1"/>
    </xf>
    <xf numFmtId="49" fontId="56" fillId="0" borderId="21" xfId="1" applyNumberFormat="1" applyFont="1" applyFill="1" applyBorder="1" applyAlignment="1">
      <alignment horizontal="center" vertical="center"/>
    </xf>
    <xf numFmtId="49" fontId="56" fillId="0" borderId="3" xfId="1" applyNumberFormat="1" applyFont="1" applyFill="1" applyBorder="1" applyAlignment="1">
      <alignment horizontal="center" vertical="center"/>
    </xf>
    <xf numFmtId="43" fontId="56" fillId="0" borderId="3" xfId="1" applyFont="1" applyFill="1" applyBorder="1" applyAlignment="1">
      <alignment horizontal="center" vertical="center"/>
    </xf>
    <xf numFmtId="0" fontId="56" fillId="0" borderId="3" xfId="0" applyFont="1" applyFill="1" applyBorder="1" applyAlignment="1">
      <alignment horizontal="center" vertical="top"/>
    </xf>
    <xf numFmtId="0" fontId="56" fillId="0" borderId="3" xfId="0" applyFont="1" applyFill="1" applyBorder="1" applyAlignment="1">
      <alignment horizontal="center" vertical="top" shrinkToFit="1"/>
    </xf>
    <xf numFmtId="0" fontId="56" fillId="12" borderId="10" xfId="0" applyFont="1" applyFill="1" applyBorder="1" applyAlignment="1">
      <alignment horizontal="center" vertical="top"/>
    </xf>
    <xf numFmtId="0" fontId="56" fillId="12" borderId="3" xfId="0" applyFont="1" applyFill="1" applyBorder="1" applyAlignment="1">
      <alignment horizontal="center" vertical="top"/>
    </xf>
    <xf numFmtId="43" fontId="81" fillId="12" borderId="1" xfId="1" applyFont="1" applyFill="1" applyBorder="1" applyAlignment="1">
      <alignment horizontal="center" vertical="top"/>
    </xf>
    <xf numFmtId="43" fontId="56" fillId="12" borderId="1" xfId="1" applyFont="1" applyFill="1" applyBorder="1" applyAlignment="1">
      <alignment vertical="top"/>
    </xf>
    <xf numFmtId="0" fontId="59" fillId="0" borderId="4" xfId="1" applyNumberFormat="1" applyFont="1" applyFill="1" applyBorder="1" applyAlignment="1">
      <alignment horizontal="center" vertical="top"/>
    </xf>
    <xf numFmtId="49" fontId="56" fillId="0" borderId="12" xfId="0" applyNumberFormat="1" applyFont="1" applyBorder="1" applyAlignment="1">
      <alignment horizontal="left" vertical="top"/>
    </xf>
    <xf numFmtId="49" fontId="56" fillId="0" borderId="6" xfId="0" applyNumberFormat="1" applyFont="1" applyFill="1" applyBorder="1" applyAlignment="1">
      <alignment horizontal="center" vertical="top"/>
    </xf>
    <xf numFmtId="43" fontId="64" fillId="0" borderId="10" xfId="1" applyFont="1" applyFill="1" applyBorder="1" applyAlignment="1">
      <alignment vertical="center"/>
    </xf>
    <xf numFmtId="0" fontId="55" fillId="0" borderId="8" xfId="0" applyFont="1" applyFill="1" applyBorder="1" applyAlignment="1">
      <alignment horizontal="center" vertical="center"/>
    </xf>
    <xf numFmtId="0" fontId="55" fillId="0" borderId="3" xfId="0" applyFont="1" applyFill="1" applyBorder="1" applyAlignment="1">
      <alignment horizontal="center" vertical="center"/>
    </xf>
    <xf numFmtId="43" fontId="50" fillId="10" borderId="6" xfId="1" applyFont="1" applyFill="1" applyBorder="1" applyAlignment="1">
      <alignment vertical="top"/>
    </xf>
    <xf numFmtId="43" fontId="56" fillId="10" borderId="1" xfId="1" applyFont="1" applyFill="1" applyBorder="1" applyAlignment="1">
      <alignment vertical="top"/>
    </xf>
    <xf numFmtId="43" fontId="13" fillId="0" borderId="0" xfId="1" applyFont="1"/>
    <xf numFmtId="0" fontId="13" fillId="0" borderId="0" xfId="0" applyFont="1"/>
    <xf numFmtId="43" fontId="13" fillId="4" borderId="8" xfId="0" applyNumberFormat="1" applyFont="1" applyFill="1" applyBorder="1" applyAlignment="1">
      <alignment horizontal="center" vertical="center"/>
    </xf>
    <xf numFmtId="43" fontId="13" fillId="4" borderId="8" xfId="0" applyNumberFormat="1" applyFont="1" applyFill="1" applyBorder="1" applyAlignment="1">
      <alignment horizontal="center" vertical="center" shrinkToFit="1"/>
    </xf>
    <xf numFmtId="43" fontId="13" fillId="4" borderId="8" xfId="1" applyFont="1" applyFill="1" applyBorder="1" applyAlignment="1">
      <alignment horizontal="center" vertical="center"/>
    </xf>
    <xf numFmtId="43" fontId="13" fillId="4" borderId="3" xfId="0" applyNumberFormat="1" applyFont="1" applyFill="1" applyBorder="1" applyAlignment="1">
      <alignment horizontal="center" vertical="center"/>
    </xf>
    <xf numFmtId="43" fontId="13" fillId="4" borderId="3" xfId="1" applyFont="1" applyFill="1" applyBorder="1" applyAlignment="1">
      <alignment horizontal="center" vertical="center"/>
    </xf>
    <xf numFmtId="43" fontId="16" fillId="0" borderId="0" xfId="1" applyFont="1"/>
    <xf numFmtId="0" fontId="16" fillId="0" borderId="0" xfId="0" applyFont="1"/>
    <xf numFmtId="0" fontId="16" fillId="0" borderId="0" xfId="0" applyFont="1" applyBorder="1"/>
    <xf numFmtId="0" fontId="16" fillId="0" borderId="0" xfId="0" applyFont="1" applyAlignment="1">
      <alignment shrinkToFit="1"/>
    </xf>
    <xf numFmtId="43" fontId="16" fillId="0" borderId="0" xfId="0" applyNumberFormat="1" applyFont="1"/>
    <xf numFmtId="0" fontId="13" fillId="0" borderId="0" xfId="0" applyFont="1" applyFill="1"/>
    <xf numFmtId="43" fontId="13" fillId="4" borderId="8" xfId="1" applyFont="1" applyFill="1" applyBorder="1" applyAlignment="1">
      <alignment horizontal="center" vertical="center" shrinkToFit="1"/>
    </xf>
    <xf numFmtId="0" fontId="13" fillId="4" borderId="8" xfId="0" applyFont="1" applyFill="1" applyBorder="1" applyAlignment="1">
      <alignment horizontal="center" vertical="center" shrinkToFit="1"/>
    </xf>
    <xf numFmtId="43" fontId="13" fillId="4" borderId="3" xfId="1" applyFont="1" applyFill="1" applyBorder="1" applyAlignment="1">
      <alignment horizontal="center" vertical="center" shrinkToFit="1"/>
    </xf>
    <xf numFmtId="0" fontId="13" fillId="4" borderId="3" xfId="0" applyFont="1" applyFill="1" applyBorder="1" applyAlignment="1">
      <alignment horizontal="center" vertical="center" shrinkToFit="1"/>
    </xf>
    <xf numFmtId="0" fontId="16" fillId="0" borderId="0" xfId="0" applyFont="1" applyFill="1"/>
    <xf numFmtId="0" fontId="40" fillId="0" borderId="0" xfId="0" applyFont="1" applyFill="1"/>
    <xf numFmtId="0" fontId="40" fillId="0" borderId="0" xfId="0" applyFont="1" applyFill="1" applyBorder="1"/>
    <xf numFmtId="43" fontId="16" fillId="0" borderId="0" xfId="1" applyFont="1" applyFill="1" applyAlignment="1">
      <alignment shrinkToFit="1"/>
    </xf>
    <xf numFmtId="0" fontId="16" fillId="0" borderId="0" xfId="0" applyFont="1" applyFill="1" applyBorder="1"/>
    <xf numFmtId="0" fontId="16" fillId="0" borderId="0" xfId="0" applyFont="1" applyFill="1" applyAlignment="1">
      <alignment shrinkToFit="1"/>
    </xf>
    <xf numFmtId="43" fontId="16" fillId="0" borderId="0" xfId="1" applyFont="1" applyFill="1"/>
    <xf numFmtId="43" fontId="13" fillId="0" borderId="0" xfId="1" applyFont="1" applyFill="1"/>
    <xf numFmtId="187" fontId="13" fillId="0" borderId="0" xfId="0" applyNumberFormat="1" applyFont="1" applyFill="1"/>
    <xf numFmtId="43" fontId="14" fillId="0" borderId="9" xfId="1" applyFont="1" applyFill="1" applyBorder="1" applyAlignment="1">
      <alignment vertical="center"/>
    </xf>
    <xf numFmtId="43" fontId="14" fillId="0" borderId="9" xfId="1" applyFont="1" applyFill="1" applyBorder="1" applyAlignment="1">
      <alignment vertical="center" shrinkToFit="1"/>
    </xf>
    <xf numFmtId="43" fontId="12" fillId="0" borderId="0" xfId="0" applyNumberFormat="1" applyFont="1" applyFill="1"/>
    <xf numFmtId="43" fontId="36" fillId="0" borderId="1" xfId="1" applyFont="1" applyFill="1" applyBorder="1" applyAlignment="1">
      <alignment horizontal="center" vertical="top"/>
    </xf>
    <xf numFmtId="4" fontId="36" fillId="0" borderId="1" xfId="0" applyNumberFormat="1" applyFont="1" applyFill="1" applyBorder="1" applyAlignment="1">
      <alignment vertical="top"/>
    </xf>
    <xf numFmtId="43" fontId="37" fillId="0" borderId="1" xfId="1" applyFont="1" applyFill="1" applyBorder="1" applyAlignment="1">
      <alignment vertical="top" wrapText="1"/>
    </xf>
    <xf numFmtId="43" fontId="36" fillId="0" borderId="1" xfId="1" applyFont="1" applyFill="1" applyBorder="1" applyAlignment="1">
      <alignment vertical="top"/>
    </xf>
    <xf numFmtId="0" fontId="12" fillId="0" borderId="1" xfId="0" applyFont="1" applyFill="1" applyBorder="1" applyAlignment="1">
      <alignment horizontal="left" vertical="top" wrapText="1"/>
    </xf>
    <xf numFmtId="43" fontId="37" fillId="0" borderId="1" xfId="1" applyFont="1" applyFill="1" applyBorder="1" applyAlignment="1">
      <alignment vertical="top"/>
    </xf>
    <xf numFmtId="0" fontId="36" fillId="0" borderId="1" xfId="0" applyFont="1" applyFill="1" applyBorder="1" applyAlignment="1">
      <alignment vertical="top" wrapText="1"/>
    </xf>
    <xf numFmtId="43" fontId="37" fillId="0" borderId="1" xfId="1" applyFont="1" applyFill="1" applyBorder="1" applyAlignment="1">
      <alignment vertical="center" wrapText="1"/>
    </xf>
    <xf numFmtId="0" fontId="37" fillId="0" borderId="0" xfId="0" applyFont="1" applyBorder="1" applyAlignment="1">
      <alignment vertical="top"/>
    </xf>
    <xf numFmtId="0" fontId="13" fillId="0" borderId="0" xfId="0" applyFont="1" applyAlignment="1">
      <alignment horizontal="center"/>
    </xf>
    <xf numFmtId="187" fontId="12" fillId="0" borderId="0" xfId="0" applyNumberFormat="1" applyFont="1"/>
    <xf numFmtId="0" fontId="12" fillId="0" borderId="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43" fontId="14" fillId="4" borderId="9" xfId="0" applyNumberFormat="1" applyFont="1" applyFill="1" applyBorder="1" applyAlignment="1">
      <alignment vertical="center"/>
    </xf>
    <xf numFmtId="2" fontId="14" fillId="4" borderId="9" xfId="0" applyNumberFormat="1" applyFont="1" applyFill="1" applyBorder="1" applyAlignment="1">
      <alignment horizontal="center" vertical="center"/>
    </xf>
    <xf numFmtId="43" fontId="14" fillId="0" borderId="0" xfId="0" applyNumberFormat="1" applyFont="1" applyFill="1"/>
    <xf numFmtId="4" fontId="12" fillId="0" borderId="0" xfId="0" applyNumberFormat="1" applyFont="1" applyFill="1"/>
    <xf numFmtId="0" fontId="14" fillId="0" borderId="0" xfId="0" applyFont="1" applyFill="1" applyAlignment="1">
      <alignment horizontal="left" vertical="top"/>
    </xf>
    <xf numFmtId="43" fontId="43" fillId="0" borderId="1" xfId="1" applyFont="1" applyFill="1" applyBorder="1" applyAlignment="1">
      <alignment horizontal="right" vertical="center"/>
    </xf>
    <xf numFmtId="43" fontId="12" fillId="0" borderId="1" xfId="1" applyNumberFormat="1" applyFont="1" applyFill="1" applyBorder="1" applyAlignment="1">
      <alignment vertical="center"/>
    </xf>
    <xf numFmtId="43" fontId="12" fillId="0" borderId="15" xfId="1" applyNumberFormat="1" applyFont="1" applyFill="1" applyBorder="1" applyAlignment="1">
      <alignment vertical="center"/>
    </xf>
    <xf numFmtId="43" fontId="12" fillId="0" borderId="15" xfId="0" applyNumberFormat="1" applyFont="1" applyFill="1" applyBorder="1" applyAlignment="1">
      <alignment vertical="center"/>
    </xf>
    <xf numFmtId="43" fontId="12" fillId="0" borderId="6" xfId="0" applyNumberFormat="1" applyFont="1" applyFill="1" applyBorder="1" applyAlignment="1">
      <alignment vertical="center"/>
    </xf>
    <xf numFmtId="43" fontId="14" fillId="0" borderId="1" xfId="1" applyFont="1" applyFill="1" applyBorder="1" applyAlignment="1">
      <alignment horizontal="center" vertical="center"/>
    </xf>
    <xf numFmtId="43" fontId="13" fillId="8" borderId="18" xfId="1" applyNumberFormat="1" applyFont="1" applyFill="1" applyBorder="1" applyAlignment="1">
      <alignment vertical="center" shrinkToFit="1"/>
    </xf>
    <xf numFmtId="43" fontId="13" fillId="8" borderId="18" xfId="1" applyFont="1" applyFill="1" applyBorder="1" applyAlignment="1">
      <alignment horizontal="center" vertical="center" shrinkToFit="1"/>
    </xf>
    <xf numFmtId="0" fontId="44" fillId="0" borderId="0" xfId="0" applyFont="1" applyFill="1" applyAlignment="1">
      <alignment horizontal="left" vertical="center" shrinkToFit="1"/>
    </xf>
    <xf numFmtId="2" fontId="29" fillId="0" borderId="0" xfId="0" applyNumberFormat="1" applyFont="1"/>
    <xf numFmtId="2" fontId="30" fillId="0" borderId="0" xfId="0" applyNumberFormat="1" applyFont="1"/>
    <xf numFmtId="2" fontId="42" fillId="0" borderId="0" xfId="0" applyNumberFormat="1" applyFont="1"/>
    <xf numFmtId="43" fontId="88" fillId="12" borderId="10" xfId="1" applyFont="1" applyFill="1" applyBorder="1" applyAlignment="1">
      <alignment horizontal="center" vertical="center" shrinkToFit="1"/>
    </xf>
    <xf numFmtId="43" fontId="49" fillId="0" borderId="1" xfId="1" applyFont="1" applyFill="1" applyBorder="1" applyAlignment="1">
      <alignment vertical="center"/>
    </xf>
    <xf numFmtId="187" fontId="36" fillId="0" borderId="0" xfId="0" applyNumberFormat="1" applyFont="1" applyFill="1" applyAlignment="1">
      <alignment vertical="center"/>
    </xf>
    <xf numFmtId="43" fontId="49" fillId="6" borderId="1" xfId="1" applyFont="1" applyFill="1" applyBorder="1" applyAlignment="1">
      <alignment vertical="center" shrinkToFit="1"/>
    </xf>
    <xf numFmtId="0" fontId="44" fillId="0" borderId="1" xfId="0" applyFont="1" applyFill="1" applyBorder="1" applyAlignment="1">
      <alignment horizontal="left" vertical="center" shrinkToFit="1"/>
    </xf>
    <xf numFmtId="43" fontId="49" fillId="0" borderId="1" xfId="1" applyFont="1" applyFill="1" applyBorder="1" applyAlignment="1">
      <alignment vertical="center" shrinkToFit="1"/>
    </xf>
    <xf numFmtId="187" fontId="41" fillId="0" borderId="0" xfId="0" applyNumberFormat="1" applyFont="1" applyFill="1" applyAlignment="1">
      <alignment vertical="center"/>
    </xf>
    <xf numFmtId="0" fontId="43" fillId="12" borderId="1" xfId="0" applyFont="1" applyFill="1" applyBorder="1" applyAlignment="1">
      <alignment horizontal="center" vertical="center" shrinkToFit="1"/>
    </xf>
    <xf numFmtId="187" fontId="43" fillId="0" borderId="0" xfId="0" applyNumberFormat="1" applyFont="1" applyFill="1" applyAlignment="1">
      <alignment vertical="center"/>
    </xf>
    <xf numFmtId="0" fontId="45" fillId="0" borderId="1" xfId="0" applyFont="1" applyFill="1" applyBorder="1" applyAlignment="1">
      <alignment horizontal="left" vertical="center" shrinkToFit="1"/>
    </xf>
    <xf numFmtId="43" fontId="45" fillId="0" borderId="1" xfId="1" applyFont="1" applyFill="1" applyBorder="1" applyAlignment="1">
      <alignment horizontal="center" vertical="center" shrinkToFit="1"/>
    </xf>
    <xf numFmtId="0" fontId="44" fillId="0" borderId="26" xfId="0" applyFont="1" applyFill="1" applyBorder="1" applyAlignment="1">
      <alignment horizontal="center" vertical="center" shrinkToFit="1"/>
    </xf>
    <xf numFmtId="43" fontId="43" fillId="0" borderId="26" xfId="0" applyNumberFormat="1" applyFont="1" applyFill="1" applyBorder="1" applyAlignment="1">
      <alignment horizontal="center" vertical="center"/>
    </xf>
    <xf numFmtId="43" fontId="41" fillId="0" borderId="26" xfId="0" applyNumberFormat="1" applyFont="1" applyFill="1" applyBorder="1" applyAlignment="1">
      <alignment horizontal="center" vertical="center"/>
    </xf>
    <xf numFmtId="43" fontId="45" fillId="0" borderId="1" xfId="0" applyNumberFormat="1" applyFont="1" applyFill="1" applyBorder="1" applyAlignment="1">
      <alignment horizontal="right" vertical="center"/>
    </xf>
    <xf numFmtId="0" fontId="44" fillId="0" borderId="0" xfId="0" applyFont="1" applyFill="1" applyBorder="1" applyAlignment="1">
      <alignment vertical="center"/>
    </xf>
    <xf numFmtId="0" fontId="43" fillId="0" borderId="4" xfId="0" applyFont="1" applyFill="1" applyBorder="1" applyAlignment="1">
      <alignment horizontal="right" vertical="center"/>
    </xf>
    <xf numFmtId="0" fontId="13" fillId="0" borderId="12" xfId="0" applyFont="1" applyBorder="1" applyAlignment="1">
      <alignment horizontal="left" vertical="center" wrapText="1"/>
    </xf>
    <xf numFmtId="0" fontId="41" fillId="0" borderId="0" xfId="0" applyFont="1" applyFill="1"/>
    <xf numFmtId="0" fontId="37" fillId="0" borderId="8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 wrapText="1"/>
    </xf>
    <xf numFmtId="0" fontId="37" fillId="0" borderId="0" xfId="0" applyFont="1" applyFill="1"/>
    <xf numFmtId="0" fontId="37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top"/>
    </xf>
    <xf numFmtId="0" fontId="36" fillId="0" borderId="1" xfId="0" applyFont="1" applyFill="1" applyBorder="1" applyAlignment="1">
      <alignment vertical="top"/>
    </xf>
    <xf numFmtId="49" fontId="36" fillId="0" borderId="1" xfId="0" applyNumberFormat="1" applyFont="1" applyFill="1" applyBorder="1" applyAlignment="1">
      <alignment horizontal="center" vertical="top"/>
    </xf>
    <xf numFmtId="0" fontId="36" fillId="0" borderId="1" xfId="0" applyFont="1" applyFill="1" applyBorder="1" applyAlignment="1">
      <alignment vertical="top" shrinkToFit="1"/>
    </xf>
    <xf numFmtId="43" fontId="36" fillId="0" borderId="6" xfId="1" applyFont="1" applyFill="1" applyBorder="1" applyAlignment="1">
      <alignment vertical="top"/>
    </xf>
    <xf numFmtId="43" fontId="37" fillId="0" borderId="6" xfId="1" applyFont="1" applyFill="1" applyBorder="1" applyAlignment="1">
      <alignment vertical="top"/>
    </xf>
    <xf numFmtId="0" fontId="36" fillId="0" borderId="6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43" fontId="13" fillId="0" borderId="1" xfId="1" applyFont="1" applyFill="1" applyBorder="1" applyAlignment="1">
      <alignment horizontal="left" vertical="top" wrapText="1"/>
    </xf>
    <xf numFmtId="43" fontId="36" fillId="0" borderId="0" xfId="1" applyFont="1" applyFill="1"/>
    <xf numFmtId="0" fontId="12" fillId="0" borderId="1" xfId="0" applyFont="1" applyFill="1" applyBorder="1" applyAlignment="1">
      <alignment vertical="top" shrinkToFit="1"/>
    </xf>
    <xf numFmtId="4" fontId="37" fillId="0" borderId="1" xfId="0" applyNumberFormat="1" applyFont="1" applyFill="1" applyBorder="1" applyAlignment="1">
      <alignment horizontal="center" vertical="center"/>
    </xf>
    <xf numFmtId="43" fontId="37" fillId="0" borderId="6" xfId="1" applyFont="1" applyFill="1" applyBorder="1" applyAlignment="1">
      <alignment horizontal="center" vertical="center"/>
    </xf>
    <xf numFmtId="43" fontId="37" fillId="0" borderId="1" xfId="1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vertical="top" wrapText="1" shrinkToFit="1"/>
    </xf>
    <xf numFmtId="4" fontId="37" fillId="0" borderId="1" xfId="0" applyNumberFormat="1" applyFont="1" applyFill="1" applyBorder="1" applyAlignment="1">
      <alignment vertical="center"/>
    </xf>
    <xf numFmtId="43" fontId="37" fillId="0" borderId="6" xfId="1" applyFont="1" applyFill="1" applyBorder="1" applyAlignment="1">
      <alignment vertical="center"/>
    </xf>
    <xf numFmtId="4" fontId="37" fillId="0" borderId="1" xfId="0" applyNumberFormat="1" applyFont="1" applyFill="1" applyBorder="1" applyAlignment="1">
      <alignment vertical="top"/>
    </xf>
    <xf numFmtId="43" fontId="43" fillId="0" borderId="1" xfId="1" applyFont="1" applyFill="1" applyBorder="1" applyAlignment="1">
      <alignment vertical="top" wrapText="1"/>
    </xf>
    <xf numFmtId="0" fontId="43" fillId="0" borderId="0" xfId="0" applyFont="1" applyFill="1"/>
    <xf numFmtId="0" fontId="41" fillId="0" borderId="0" xfId="0" applyFont="1" applyFill="1" applyAlignment="1">
      <alignment horizontal="center"/>
    </xf>
    <xf numFmtId="49" fontId="41" fillId="0" borderId="0" xfId="0" applyNumberFormat="1" applyFont="1" applyFill="1" applyAlignment="1">
      <alignment horizontal="center"/>
    </xf>
    <xf numFmtId="0" fontId="41" fillId="0" borderId="0" xfId="0" applyFont="1" applyFill="1" applyAlignment="1">
      <alignment shrinkToFit="1"/>
    </xf>
    <xf numFmtId="187" fontId="41" fillId="0" borderId="0" xfId="0" applyNumberFormat="1" applyFont="1" applyFill="1"/>
    <xf numFmtId="43" fontId="43" fillId="0" borderId="0" xfId="1" applyFont="1" applyFill="1"/>
    <xf numFmtId="187" fontId="43" fillId="0" borderId="0" xfId="0" applyNumberFormat="1" applyFont="1" applyFill="1"/>
    <xf numFmtId="187" fontId="43" fillId="0" borderId="0" xfId="0" applyNumberFormat="1" applyFont="1" applyFill="1" applyAlignment="1">
      <alignment wrapText="1"/>
    </xf>
    <xf numFmtId="0" fontId="43" fillId="0" borderId="0" xfId="0" applyFont="1" applyFill="1" applyAlignment="1">
      <alignment wrapText="1"/>
    </xf>
    <xf numFmtId="0" fontId="37" fillId="0" borderId="0" xfId="0" applyFont="1" applyFill="1" applyBorder="1" applyAlignment="1">
      <alignment vertical="top"/>
    </xf>
    <xf numFmtId="43" fontId="36" fillId="0" borderId="1" xfId="1" applyFont="1" applyBorder="1" applyAlignment="1">
      <alignment vertical="top"/>
    </xf>
    <xf numFmtId="187" fontId="36" fillId="0" borderId="0" xfId="0" applyNumberFormat="1" applyFont="1" applyBorder="1" applyAlignment="1">
      <alignment vertical="top"/>
    </xf>
    <xf numFmtId="0" fontId="36" fillId="0" borderId="0" xfId="0" applyFont="1" applyBorder="1" applyAlignment="1">
      <alignment vertical="top"/>
    </xf>
    <xf numFmtId="43" fontId="36" fillId="0" borderId="0" xfId="0" applyNumberFormat="1" applyFont="1" applyBorder="1" applyAlignment="1">
      <alignment vertical="top"/>
    </xf>
    <xf numFmtId="0" fontId="12" fillId="0" borderId="0" xfId="1" applyNumberFormat="1" applyFont="1" applyBorder="1" applyAlignment="1">
      <alignment vertical="top"/>
    </xf>
    <xf numFmtId="0" fontId="42" fillId="0" borderId="0" xfId="0" applyFont="1" applyBorder="1" applyAlignment="1">
      <alignment vertical="top"/>
    </xf>
    <xf numFmtId="43" fontId="12" fillId="0" borderId="0" xfId="1" applyFont="1" applyBorder="1" applyAlignment="1">
      <alignment vertical="top"/>
    </xf>
    <xf numFmtId="43" fontId="14" fillId="0" borderId="0" xfId="1" applyFont="1" applyBorder="1" applyAlignment="1">
      <alignment vertical="top"/>
    </xf>
    <xf numFmtId="43" fontId="42" fillId="0" borderId="0" xfId="1" applyFont="1" applyBorder="1" applyAlignment="1">
      <alignment vertical="top"/>
    </xf>
    <xf numFmtId="2" fontId="36" fillId="0" borderId="0" xfId="0" applyNumberFormat="1" applyFont="1" applyBorder="1" applyAlignment="1">
      <alignment vertical="top"/>
    </xf>
    <xf numFmtId="43" fontId="42" fillId="0" borderId="0" xfId="0" applyNumberFormat="1" applyFont="1" applyBorder="1" applyAlignment="1">
      <alignment vertical="top"/>
    </xf>
    <xf numFmtId="43" fontId="47" fillId="0" borderId="1" xfId="1" applyFont="1" applyFill="1" applyBorder="1" applyAlignment="1">
      <alignment horizontal="right" vertical="center" shrinkToFit="1"/>
    </xf>
    <xf numFmtId="0" fontId="43" fillId="0" borderId="4" xfId="0" applyFont="1" applyFill="1" applyBorder="1" applyAlignment="1">
      <alignment vertical="center"/>
    </xf>
    <xf numFmtId="2" fontId="37" fillId="0" borderId="0" xfId="0" applyNumberFormat="1" applyFont="1" applyBorder="1" applyAlignment="1">
      <alignment vertical="top"/>
    </xf>
    <xf numFmtId="43" fontId="14" fillId="4" borderId="27" xfId="0" applyNumberFormat="1" applyFont="1" applyFill="1" applyBorder="1" applyAlignment="1">
      <alignment vertical="center" shrinkToFit="1"/>
    </xf>
    <xf numFmtId="43" fontId="14" fillId="4" borderId="27" xfId="1" applyFont="1" applyFill="1" applyBorder="1" applyAlignment="1">
      <alignment vertical="center"/>
    </xf>
    <xf numFmtId="2" fontId="14" fillId="4" borderId="27" xfId="0" applyNumberFormat="1" applyFont="1" applyFill="1" applyBorder="1" applyAlignment="1">
      <alignment horizontal="center" vertical="center"/>
    </xf>
    <xf numFmtId="43" fontId="87" fillId="6" borderId="8" xfId="0" applyNumberFormat="1" applyFont="1" applyFill="1" applyBorder="1" applyAlignment="1">
      <alignment horizontal="center" vertical="center"/>
    </xf>
    <xf numFmtId="43" fontId="87" fillId="6" borderId="8" xfId="0" applyNumberFormat="1" applyFont="1" applyFill="1" applyBorder="1" applyAlignment="1">
      <alignment horizontal="center" vertical="center" shrinkToFit="1"/>
    </xf>
    <xf numFmtId="0" fontId="87" fillId="6" borderId="8" xfId="0" applyFont="1" applyFill="1" applyBorder="1" applyAlignment="1">
      <alignment horizontal="center" vertical="center" shrinkToFit="1"/>
    </xf>
    <xf numFmtId="0" fontId="13" fillId="6" borderId="8" xfId="0" applyFont="1" applyFill="1" applyBorder="1" applyAlignment="1">
      <alignment horizontal="center" vertical="center" shrinkToFit="1"/>
    </xf>
    <xf numFmtId="43" fontId="87" fillId="6" borderId="3" xfId="0" applyNumberFormat="1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shrinkToFit="1"/>
    </xf>
    <xf numFmtId="39" fontId="14" fillId="0" borderId="1" xfId="0" applyNumberFormat="1" applyFont="1" applyFill="1" applyBorder="1" applyAlignment="1">
      <alignment vertical="center"/>
    </xf>
    <xf numFmtId="2" fontId="13" fillId="0" borderId="1" xfId="0" applyNumberFormat="1" applyFont="1" applyFill="1" applyBorder="1" applyAlignment="1">
      <alignment horizontal="center" vertical="center" shrinkToFit="1"/>
    </xf>
    <xf numFmtId="2" fontId="13" fillId="0" borderId="1" xfId="0" applyNumberFormat="1" applyFont="1" applyBorder="1" applyAlignment="1">
      <alignment horizontal="center" vertical="center"/>
    </xf>
    <xf numFmtId="43" fontId="29" fillId="0" borderId="0" xfId="0" applyNumberFormat="1" applyFont="1"/>
    <xf numFmtId="0" fontId="12" fillId="0" borderId="7" xfId="0" applyFont="1" applyFill="1" applyBorder="1" applyAlignment="1">
      <alignment vertical="center" shrinkToFit="1"/>
    </xf>
    <xf numFmtId="43" fontId="12" fillId="0" borderId="8" xfId="0" applyNumberFormat="1" applyFont="1" applyFill="1" applyBorder="1" applyAlignment="1">
      <alignment vertical="center"/>
    </xf>
    <xf numFmtId="39" fontId="14" fillId="0" borderId="8" xfId="0" applyNumberFormat="1" applyFont="1" applyFill="1" applyBorder="1" applyAlignment="1">
      <alignment vertical="center"/>
    </xf>
    <xf numFmtId="2" fontId="13" fillId="0" borderId="8" xfId="0" applyNumberFormat="1" applyFont="1" applyFill="1" applyBorder="1" applyAlignment="1">
      <alignment horizontal="center" vertical="center" shrinkToFit="1"/>
    </xf>
    <xf numFmtId="2" fontId="13" fillId="0" borderId="8" xfId="0" applyNumberFormat="1" applyFont="1" applyBorder="1" applyAlignment="1">
      <alignment horizontal="center" vertical="center"/>
    </xf>
    <xf numFmtId="43" fontId="13" fillId="6" borderId="32" xfId="0" applyNumberFormat="1" applyFont="1" applyFill="1" applyBorder="1" applyAlignment="1">
      <alignment vertical="center" shrinkToFit="1"/>
    </xf>
    <xf numFmtId="39" fontId="13" fillId="6" borderId="32" xfId="0" applyNumberFormat="1" applyFont="1" applyFill="1" applyBorder="1" applyAlignment="1">
      <alignment vertical="center" shrinkToFit="1"/>
    </xf>
    <xf numFmtId="2" fontId="11" fillId="6" borderId="32" xfId="0" applyNumberFormat="1" applyFont="1" applyFill="1" applyBorder="1" applyAlignment="1">
      <alignment horizontal="center" vertical="center" shrinkToFit="1"/>
    </xf>
    <xf numFmtId="2" fontId="11" fillId="6" borderId="32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shrinkToFit="1"/>
    </xf>
    <xf numFmtId="43" fontId="90" fillId="4" borderId="8" xfId="1" applyFont="1" applyFill="1" applyBorder="1" applyAlignment="1">
      <alignment horizontal="center" vertical="center" shrinkToFit="1"/>
    </xf>
    <xf numFmtId="0" fontId="91" fillId="0" borderId="0" xfId="0" applyFont="1"/>
    <xf numFmtId="43" fontId="90" fillId="4" borderId="3" xfId="1" applyNumberFormat="1" applyFont="1" applyFill="1" applyBorder="1" applyAlignment="1">
      <alignment horizontal="center" vertical="center"/>
    </xf>
    <xf numFmtId="43" fontId="90" fillId="4" borderId="14" xfId="1" applyNumberFormat="1" applyFont="1" applyFill="1" applyBorder="1" applyAlignment="1">
      <alignment horizontal="center" vertical="center"/>
    </xf>
    <xf numFmtId="43" fontId="90" fillId="4" borderId="16" xfId="1" applyNumberFormat="1" applyFont="1" applyFill="1" applyBorder="1" applyAlignment="1">
      <alignment horizontal="center" vertical="center"/>
    </xf>
    <xf numFmtId="43" fontId="90" fillId="4" borderId="6" xfId="1" applyNumberFormat="1" applyFont="1" applyFill="1" applyBorder="1" applyAlignment="1">
      <alignment horizontal="center" vertical="center"/>
    </xf>
    <xf numFmtId="43" fontId="90" fillId="4" borderId="1" xfId="1" applyNumberFormat="1" applyFont="1" applyFill="1" applyBorder="1" applyAlignment="1">
      <alignment horizontal="center" vertical="center"/>
    </xf>
    <xf numFmtId="43" fontId="90" fillId="4" borderId="3" xfId="1" applyFont="1" applyFill="1" applyBorder="1" applyAlignment="1">
      <alignment horizontal="center" vertical="center" shrinkToFit="1"/>
    </xf>
    <xf numFmtId="0" fontId="43" fillId="12" borderId="1" xfId="0" applyFont="1" applyFill="1" applyBorder="1" applyAlignment="1">
      <alignment horizontal="center" vertical="center" shrinkToFit="1"/>
    </xf>
    <xf numFmtId="43" fontId="43" fillId="0" borderId="6" xfId="1" applyFont="1" applyFill="1" applyBorder="1" applyAlignment="1">
      <alignment horizontal="right" vertical="center"/>
    </xf>
    <xf numFmtId="43" fontId="88" fillId="12" borderId="8" xfId="1" applyFont="1" applyFill="1" applyBorder="1" applyAlignment="1">
      <alignment horizontal="center" vertical="center" shrinkToFit="1"/>
    </xf>
    <xf numFmtId="43" fontId="88" fillId="12" borderId="3" xfId="1" applyFont="1" applyFill="1" applyBorder="1" applyAlignment="1">
      <alignment horizontal="center" vertical="center" shrinkToFit="1"/>
    </xf>
    <xf numFmtId="43" fontId="88" fillId="12" borderId="5" xfId="1" applyFont="1" applyFill="1" applyBorder="1" applyAlignment="1">
      <alignment horizontal="center" vertical="center" shrinkToFit="1"/>
    </xf>
    <xf numFmtId="43" fontId="88" fillId="12" borderId="26" xfId="1" applyFont="1" applyFill="1" applyBorder="1" applyAlignment="1">
      <alignment horizontal="center" vertical="center" shrinkToFit="1"/>
    </xf>
    <xf numFmtId="0" fontId="88" fillId="12" borderId="3" xfId="1" applyNumberFormat="1" applyFont="1" applyFill="1" applyBorder="1" applyAlignment="1">
      <alignment horizontal="center" vertical="center" shrinkToFit="1"/>
    </xf>
    <xf numFmtId="0" fontId="88" fillId="12" borderId="13" xfId="1" applyNumberFormat="1" applyFont="1" applyFill="1" applyBorder="1" applyAlignment="1">
      <alignment horizontal="center" vertical="center" shrinkToFit="1"/>
    </xf>
    <xf numFmtId="43" fontId="13" fillId="8" borderId="38" xfId="1" applyNumberFormat="1" applyFont="1" applyFill="1" applyBorder="1" applyAlignment="1">
      <alignment vertical="center" shrinkToFit="1"/>
    </xf>
    <xf numFmtId="43" fontId="13" fillId="8" borderId="19" xfId="1" applyNumberFormat="1" applyFont="1" applyFill="1" applyBorder="1" applyAlignment="1">
      <alignment vertical="center" shrinkToFit="1"/>
    </xf>
    <xf numFmtId="43" fontId="14" fillId="11" borderId="10" xfId="1" applyFont="1" applyFill="1" applyBorder="1" applyAlignment="1">
      <alignment horizontal="center" vertical="center" wrapText="1"/>
    </xf>
    <xf numFmtId="49" fontId="14" fillId="11" borderId="3" xfId="1" applyNumberFormat="1" applyFont="1" applyFill="1" applyBorder="1" applyAlignment="1">
      <alignment horizontal="center" vertical="center"/>
    </xf>
    <xf numFmtId="43" fontId="14" fillId="11" borderId="3" xfId="1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top"/>
    </xf>
    <xf numFmtId="43" fontId="14" fillId="0" borderId="1" xfId="1" applyFont="1" applyBorder="1" applyAlignment="1">
      <alignment vertical="top"/>
    </xf>
    <xf numFmtId="43" fontId="12" fillId="0" borderId="1" xfId="1" applyFont="1" applyBorder="1" applyAlignment="1">
      <alignment horizontal="right" vertical="top"/>
    </xf>
    <xf numFmtId="43" fontId="14" fillId="0" borderId="1" xfId="1" applyFont="1" applyFill="1" applyBorder="1" applyAlignment="1">
      <alignment horizontal="right" vertical="top"/>
    </xf>
    <xf numFmtId="43" fontId="14" fillId="0" borderId="1" xfId="1" applyFont="1" applyBorder="1" applyAlignment="1">
      <alignment vertical="top" wrapText="1"/>
    </xf>
    <xf numFmtId="43" fontId="12" fillId="0" borderId="1" xfId="1" applyFont="1" applyFill="1" applyBorder="1" applyAlignment="1">
      <alignment horizontal="right" vertical="top" wrapText="1" shrinkToFit="1"/>
    </xf>
    <xf numFmtId="43" fontId="12" fillId="0" borderId="1" xfId="1" applyFont="1" applyFill="1" applyBorder="1" applyAlignment="1">
      <alignment vertical="top"/>
    </xf>
    <xf numFmtId="0" fontId="12" fillId="0" borderId="1" xfId="0" applyFont="1" applyBorder="1" applyAlignment="1">
      <alignment vertical="top" wrapText="1"/>
    </xf>
    <xf numFmtId="43" fontId="12" fillId="0" borderId="1" xfId="1" applyFont="1" applyFill="1" applyBorder="1" applyAlignment="1">
      <alignment vertical="top" wrapText="1"/>
    </xf>
    <xf numFmtId="43" fontId="14" fillId="0" borderId="1" xfId="1" applyFont="1" applyFill="1" applyBorder="1" applyAlignment="1">
      <alignment vertical="top"/>
    </xf>
    <xf numFmtId="43" fontId="12" fillId="0" borderId="1" xfId="1" applyFont="1" applyFill="1" applyBorder="1" applyAlignment="1">
      <alignment horizontal="right" vertical="top"/>
    </xf>
    <xf numFmtId="43" fontId="12" fillId="0" borderId="0" xfId="1" applyFont="1" applyFill="1" applyBorder="1" applyAlignment="1">
      <alignment vertical="top"/>
    </xf>
    <xf numFmtId="15" fontId="12" fillId="0" borderId="1" xfId="1" applyNumberFormat="1" applyFont="1" applyFill="1" applyBorder="1" applyAlignment="1">
      <alignment vertical="top" wrapText="1"/>
    </xf>
    <xf numFmtId="43" fontId="12" fillId="0" borderId="0" xfId="1" applyFont="1" applyBorder="1" applyAlignment="1">
      <alignment vertical="top" wrapText="1"/>
    </xf>
    <xf numFmtId="43" fontId="28" fillId="11" borderId="8" xfId="1" applyFont="1" applyFill="1" applyBorder="1" applyAlignment="1">
      <alignment horizontal="center" vertical="center" shrinkToFit="1"/>
    </xf>
    <xf numFmtId="43" fontId="28" fillId="11" borderId="10" xfId="1" applyFont="1" applyFill="1" applyBorder="1" applyAlignment="1">
      <alignment horizontal="center" vertical="center" shrinkToFit="1"/>
    </xf>
    <xf numFmtId="49" fontId="14" fillId="11" borderId="3" xfId="1" applyNumberFormat="1" applyFont="1" applyFill="1" applyBorder="1" applyAlignment="1">
      <alignment horizontal="center" vertical="center" shrinkToFit="1"/>
    </xf>
    <xf numFmtId="43" fontId="14" fillId="11" borderId="3" xfId="1" applyFont="1" applyFill="1" applyBorder="1" applyAlignment="1">
      <alignment horizontal="center" vertical="center" shrinkToFit="1"/>
    </xf>
    <xf numFmtId="0" fontId="37" fillId="11" borderId="8" xfId="0" applyFont="1" applyFill="1" applyBorder="1" applyAlignment="1">
      <alignment horizontal="center" vertical="top" shrinkToFit="1"/>
    </xf>
    <xf numFmtId="0" fontId="37" fillId="11" borderId="10" xfId="0" applyFont="1" applyFill="1" applyBorder="1" applyAlignment="1">
      <alignment horizontal="center" vertical="top" shrinkToFit="1"/>
    </xf>
    <xf numFmtId="4" fontId="16" fillId="0" borderId="0" xfId="0" applyNumberFormat="1" applyFont="1"/>
    <xf numFmtId="0" fontId="12" fillId="0" borderId="2" xfId="0" applyFont="1" applyFill="1" applyBorder="1" applyAlignment="1">
      <alignment horizontal="center" vertical="center"/>
    </xf>
    <xf numFmtId="43" fontId="20" fillId="0" borderId="0" xfId="0" applyNumberFormat="1" applyFont="1" applyFill="1"/>
    <xf numFmtId="0" fontId="20" fillId="0" borderId="0" xfId="0" applyFont="1" applyFill="1"/>
    <xf numFmtId="4" fontId="37" fillId="0" borderId="1" xfId="0" applyNumberFormat="1" applyFont="1" applyFill="1" applyBorder="1" applyAlignment="1">
      <alignment horizontal="right" vertical="center"/>
    </xf>
    <xf numFmtId="0" fontId="93" fillId="0" borderId="1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191" fontId="89" fillId="0" borderId="1" xfId="1" applyNumberFormat="1" applyFont="1" applyFill="1" applyBorder="1" applyAlignment="1">
      <alignment vertical="center" shrinkToFit="1"/>
    </xf>
    <xf numFmtId="0" fontId="14" fillId="0" borderId="0" xfId="1" applyNumberFormat="1" applyFont="1" applyBorder="1" applyAlignment="1">
      <alignment vertical="top"/>
    </xf>
    <xf numFmtId="43" fontId="13" fillId="0" borderId="1" xfId="1" applyFont="1" applyFill="1" applyBorder="1" applyAlignment="1">
      <alignment vertical="top" wrapText="1"/>
    </xf>
    <xf numFmtId="0" fontId="14" fillId="0" borderId="0" xfId="0" applyFont="1" applyFill="1" applyBorder="1"/>
    <xf numFmtId="0" fontId="12" fillId="0" borderId="42" xfId="0" applyFont="1" applyFill="1" applyBorder="1" applyAlignment="1">
      <alignment vertical="center"/>
    </xf>
    <xf numFmtId="0" fontId="12" fillId="0" borderId="43" xfId="0" applyFont="1" applyFill="1" applyBorder="1" applyAlignment="1">
      <alignment vertical="center" shrinkToFit="1"/>
    </xf>
    <xf numFmtId="187" fontId="41" fillId="0" borderId="0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vertical="center" shrinkToFit="1"/>
    </xf>
    <xf numFmtId="0" fontId="45" fillId="0" borderId="0" xfId="0" applyFont="1" applyFill="1" applyBorder="1" applyAlignment="1">
      <alignment horizontal="left" vertical="center" shrinkToFit="1"/>
    </xf>
    <xf numFmtId="43" fontId="45" fillId="0" borderId="0" xfId="1" applyFont="1" applyFill="1" applyBorder="1" applyAlignment="1">
      <alignment horizontal="center" vertical="center" shrinkToFit="1"/>
    </xf>
    <xf numFmtId="43" fontId="41" fillId="0" borderId="0" xfId="1" applyFont="1" applyFill="1" applyBorder="1" applyAlignment="1">
      <alignment vertical="center" shrinkToFit="1"/>
    </xf>
    <xf numFmtId="43" fontId="57" fillId="0" borderId="0" xfId="1" applyFont="1" applyFill="1" applyBorder="1" applyAlignment="1">
      <alignment vertical="center" shrinkToFit="1"/>
    </xf>
    <xf numFmtId="43" fontId="47" fillId="0" borderId="0" xfId="1" applyFont="1" applyFill="1" applyBorder="1" applyAlignment="1">
      <alignment horizontal="right" vertical="center" shrinkToFit="1"/>
    </xf>
    <xf numFmtId="191" fontId="89" fillId="0" borderId="0" xfId="1" applyNumberFormat="1" applyFont="1" applyFill="1" applyBorder="1" applyAlignment="1">
      <alignment vertical="center" shrinkToFit="1"/>
    </xf>
    <xf numFmtId="0" fontId="37" fillId="0" borderId="0" xfId="0" applyFont="1" applyBorder="1" applyAlignment="1">
      <alignment vertical="top" wrapText="1" shrinkToFit="1"/>
    </xf>
    <xf numFmtId="0" fontId="14" fillId="0" borderId="0" xfId="1" applyNumberFormat="1" applyFont="1" applyBorder="1" applyAlignment="1">
      <alignment vertical="top" wrapText="1" shrinkToFit="1"/>
    </xf>
    <xf numFmtId="0" fontId="37" fillId="0" borderId="0" xfId="0" applyFont="1" applyBorder="1" applyAlignment="1">
      <alignment vertical="top" wrapText="1"/>
    </xf>
    <xf numFmtId="0" fontId="14" fillId="0" borderId="0" xfId="1" applyNumberFormat="1" applyFont="1" applyBorder="1" applyAlignment="1">
      <alignment vertical="top" wrapText="1"/>
    </xf>
    <xf numFmtId="0" fontId="36" fillId="6" borderId="1" xfId="0" applyFont="1" applyFill="1" applyBorder="1" applyAlignment="1">
      <alignment vertical="top" shrinkToFit="1"/>
    </xf>
    <xf numFmtId="4" fontId="36" fillId="6" borderId="1" xfId="0" applyNumberFormat="1" applyFont="1" applyFill="1" applyBorder="1" applyAlignment="1">
      <alignment vertical="top"/>
    </xf>
    <xf numFmtId="43" fontId="36" fillId="6" borderId="6" xfId="1" applyFont="1" applyFill="1" applyBorder="1" applyAlignment="1">
      <alignment vertical="top"/>
    </xf>
    <xf numFmtId="43" fontId="37" fillId="6" borderId="6" xfId="1" applyFont="1" applyFill="1" applyBorder="1" applyAlignment="1">
      <alignment vertical="top"/>
    </xf>
    <xf numFmtId="0" fontId="36" fillId="6" borderId="1" xfId="0" applyFont="1" applyFill="1" applyBorder="1" applyAlignment="1">
      <alignment vertical="top" wrapText="1" shrinkToFit="1"/>
    </xf>
    <xf numFmtId="43" fontId="37" fillId="0" borderId="0" xfId="1" applyFont="1" applyBorder="1" applyAlignment="1">
      <alignment vertical="top"/>
    </xf>
    <xf numFmtId="43" fontId="37" fillId="0" borderId="0" xfId="0" applyNumberFormat="1" applyFont="1" applyBorder="1" applyAlignment="1">
      <alignment vertical="top"/>
    </xf>
    <xf numFmtId="43" fontId="16" fillId="0" borderId="0" xfId="1" applyFont="1" applyFill="1" applyBorder="1" applyAlignment="1">
      <alignment vertical="center"/>
    </xf>
    <xf numFmtId="43" fontId="14" fillId="0" borderId="0" xfId="1" applyFont="1" applyFill="1"/>
    <xf numFmtId="43" fontId="12" fillId="0" borderId="0" xfId="1" applyFont="1" applyFill="1"/>
    <xf numFmtId="0" fontId="12" fillId="0" borderId="0" xfId="0" applyFont="1" applyFill="1" applyBorder="1"/>
    <xf numFmtId="0" fontId="12" fillId="0" borderId="0" xfId="0" applyFont="1" applyFill="1" applyAlignment="1">
      <alignment shrinkToFit="1"/>
    </xf>
    <xf numFmtId="0" fontId="13" fillId="0" borderId="0" xfId="0" applyFont="1" applyFill="1" applyBorder="1"/>
    <xf numFmtId="0" fontId="36" fillId="0" borderId="1" xfId="3" applyFont="1" applyFill="1" applyBorder="1" applyAlignment="1">
      <alignment vertical="top" wrapText="1"/>
    </xf>
    <xf numFmtId="0" fontId="43" fillId="0" borderId="0" xfId="0" applyFont="1" applyFill="1" applyAlignment="1">
      <alignment vertical="top"/>
    </xf>
    <xf numFmtId="0" fontId="12" fillId="0" borderId="1" xfId="0" applyFont="1" applyFill="1" applyBorder="1" applyAlignment="1">
      <alignment vertical="top"/>
    </xf>
    <xf numFmtId="4" fontId="12" fillId="0" borderId="1" xfId="0" applyNumberFormat="1" applyFont="1" applyFill="1" applyBorder="1" applyAlignment="1">
      <alignment vertical="top" wrapText="1"/>
    </xf>
    <xf numFmtId="4" fontId="12" fillId="0" borderId="1" xfId="0" applyNumberFormat="1" applyFont="1" applyFill="1" applyBorder="1" applyAlignment="1">
      <alignment vertical="top"/>
    </xf>
    <xf numFmtId="0" fontId="12" fillId="0" borderId="1" xfId="0" applyFont="1" applyFill="1" applyBorder="1" applyAlignment="1">
      <alignment horizontal="center" vertical="top"/>
    </xf>
    <xf numFmtId="0" fontId="36" fillId="0" borderId="0" xfId="0" applyFont="1" applyFill="1" applyAlignment="1">
      <alignment vertical="top"/>
    </xf>
    <xf numFmtId="43" fontId="37" fillId="0" borderId="1" xfId="1" applyFont="1" applyFill="1" applyBorder="1" applyAlignment="1">
      <alignment horizontal="center" vertical="top" wrapText="1"/>
    </xf>
    <xf numFmtId="0" fontId="37" fillId="0" borderId="0" xfId="0" applyFont="1" applyFill="1" applyAlignment="1">
      <alignment vertical="top"/>
    </xf>
    <xf numFmtId="0" fontId="12" fillId="0" borderId="1" xfId="0" applyFont="1" applyFill="1" applyBorder="1" applyAlignment="1">
      <alignment vertical="top" wrapText="1"/>
    </xf>
    <xf numFmtId="0" fontId="36" fillId="0" borderId="1" xfId="0" applyFont="1" applyFill="1" applyBorder="1" applyAlignment="1">
      <alignment horizontal="left" vertical="top" wrapText="1"/>
    </xf>
    <xf numFmtId="0" fontId="36" fillId="0" borderId="1" xfId="2" applyFont="1" applyFill="1" applyBorder="1" applyAlignment="1">
      <alignment vertical="top" wrapText="1"/>
    </xf>
    <xf numFmtId="2" fontId="12" fillId="0" borderId="1" xfId="0" applyNumberFormat="1" applyFont="1" applyFill="1" applyBorder="1" applyAlignment="1">
      <alignment horizontal="left" vertical="top" wrapText="1"/>
    </xf>
    <xf numFmtId="0" fontId="94" fillId="0" borderId="1" xfId="0" applyFont="1" applyFill="1" applyBorder="1" applyAlignment="1">
      <alignment vertical="top" wrapText="1"/>
    </xf>
    <xf numFmtId="0" fontId="36" fillId="0" borderId="1" xfId="3" applyFont="1" applyFill="1" applyBorder="1" applyAlignment="1">
      <alignment horizontal="left" vertical="top" wrapText="1"/>
    </xf>
    <xf numFmtId="4" fontId="37" fillId="0" borderId="1" xfId="0" applyNumberFormat="1" applyFont="1" applyFill="1" applyBorder="1" applyAlignment="1">
      <alignment horizontal="right" vertical="top"/>
    </xf>
    <xf numFmtId="0" fontId="37" fillId="0" borderId="0" xfId="0" applyFont="1" applyFill="1" applyAlignment="1">
      <alignment horizontal="center" vertical="top"/>
    </xf>
    <xf numFmtId="43" fontId="37" fillId="0" borderId="1" xfId="1" applyFont="1" applyFill="1" applyBorder="1" applyAlignment="1">
      <alignment horizontal="right" vertical="top"/>
    </xf>
    <xf numFmtId="0" fontId="36" fillId="0" borderId="0" xfId="0" applyFont="1" applyFill="1" applyAlignment="1">
      <alignment horizontal="center" vertical="top"/>
    </xf>
    <xf numFmtId="0" fontId="36" fillId="0" borderId="0" xfId="0" applyFont="1" applyFill="1" applyAlignment="1">
      <alignment vertical="top" wrapText="1"/>
    </xf>
    <xf numFmtId="43" fontId="36" fillId="0" borderId="0" xfId="1" applyFont="1" applyFill="1" applyAlignment="1">
      <alignment vertical="top"/>
    </xf>
    <xf numFmtId="0" fontId="37" fillId="14" borderId="8" xfId="0" applyFont="1" applyFill="1" applyBorder="1" applyAlignment="1">
      <alignment horizontal="center" vertical="center"/>
    </xf>
    <xf numFmtId="0" fontId="37" fillId="14" borderId="3" xfId="0" applyFont="1" applyFill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4" fontId="36" fillId="0" borderId="1" xfId="0" applyNumberFormat="1" applyFont="1" applyFill="1" applyBorder="1" applyAlignment="1">
      <alignment horizontal="right" vertical="top"/>
    </xf>
    <xf numFmtId="43" fontId="36" fillId="0" borderId="1" xfId="1" applyFont="1" applyFill="1" applyBorder="1" applyAlignment="1">
      <alignment horizontal="right" vertical="top"/>
    </xf>
    <xf numFmtId="43" fontId="64" fillId="0" borderId="10" xfId="1" applyFont="1" applyFill="1" applyBorder="1" applyAlignment="1">
      <alignment horizontal="left" vertical="center" shrinkToFit="1"/>
    </xf>
    <xf numFmtId="0" fontId="43" fillId="12" borderId="1" xfId="0" applyFont="1" applyFill="1" applyBorder="1" applyAlignment="1">
      <alignment horizontal="center" vertical="center" shrinkToFit="1"/>
    </xf>
    <xf numFmtId="0" fontId="71" fillId="0" borderId="10" xfId="1" applyNumberFormat="1" applyFont="1" applyFill="1" applyBorder="1" applyAlignment="1">
      <alignment horizontal="center" vertical="center"/>
    </xf>
    <xf numFmtId="43" fontId="14" fillId="0" borderId="0" xfId="1" applyFont="1" applyFill="1" applyBorder="1" applyAlignment="1">
      <alignment vertical="top"/>
    </xf>
    <xf numFmtId="43" fontId="14" fillId="0" borderId="0" xfId="1" applyFont="1" applyFill="1" applyBorder="1" applyAlignment="1">
      <alignment vertical="top" wrapText="1"/>
    </xf>
    <xf numFmtId="49" fontId="12" fillId="0" borderId="1" xfId="0" applyNumberFormat="1" applyFont="1" applyBorder="1" applyAlignment="1">
      <alignment vertical="top"/>
    </xf>
    <xf numFmtId="43" fontId="14" fillId="0" borderId="0" xfId="1" applyFont="1" applyBorder="1" applyAlignment="1">
      <alignment vertical="top"/>
    </xf>
    <xf numFmtId="0" fontId="14" fillId="11" borderId="8" xfId="0" applyFont="1" applyFill="1" applyBorder="1" applyAlignment="1">
      <alignment vertical="top"/>
    </xf>
    <xf numFmtId="0" fontId="14" fillId="11" borderId="10" xfId="0" applyFont="1" applyFill="1" applyBorder="1" applyAlignment="1">
      <alignment vertical="top"/>
    </xf>
    <xf numFmtId="0" fontId="14" fillId="11" borderId="3" xfId="0" applyFont="1" applyFill="1" applyBorder="1" applyAlignment="1">
      <alignment vertical="top"/>
    </xf>
    <xf numFmtId="43" fontId="12" fillId="0" borderId="1" xfId="1" applyFont="1" applyBorder="1" applyAlignment="1">
      <alignment vertical="top"/>
    </xf>
    <xf numFmtId="0" fontId="14" fillId="0" borderId="1" xfId="1" applyNumberFormat="1" applyFont="1" applyBorder="1" applyAlignment="1">
      <alignment vertical="top" wrapText="1"/>
    </xf>
    <xf numFmtId="0" fontId="12" fillId="0" borderId="1" xfId="1" applyNumberFormat="1" applyFont="1" applyFill="1" applyBorder="1" applyAlignment="1">
      <alignment vertical="top" wrapText="1"/>
    </xf>
    <xf numFmtId="43" fontId="14" fillId="0" borderId="1" xfId="1" applyFont="1" applyBorder="1" applyAlignment="1">
      <alignment horizontal="right" vertical="top"/>
    </xf>
    <xf numFmtId="0" fontId="12" fillId="0" borderId="0" xfId="1" applyNumberFormat="1" applyFont="1" applyBorder="1" applyAlignment="1">
      <alignment horizontal="right" vertical="top"/>
    </xf>
    <xf numFmtId="0" fontId="37" fillId="14" borderId="8" xfId="0" applyFont="1" applyFill="1" applyBorder="1" applyAlignment="1">
      <alignment horizontal="center" vertical="center"/>
    </xf>
    <xf numFmtId="0" fontId="37" fillId="14" borderId="3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center"/>
    </xf>
    <xf numFmtId="0" fontId="14" fillId="11" borderId="8" xfId="1" applyNumberFormat="1" applyFont="1" applyFill="1" applyBorder="1" applyAlignment="1">
      <alignment horizontal="center" vertical="center"/>
    </xf>
    <xf numFmtId="0" fontId="14" fillId="11" borderId="8" xfId="1" applyNumberFormat="1" applyFont="1" applyFill="1" applyBorder="1" applyAlignment="1">
      <alignment horizontal="center" vertical="center" wrapText="1"/>
    </xf>
    <xf numFmtId="43" fontId="14" fillId="11" borderId="8" xfId="1" applyFont="1" applyFill="1" applyBorder="1" applyAlignment="1">
      <alignment horizontal="center" vertical="center"/>
    </xf>
    <xf numFmtId="0" fontId="14" fillId="11" borderId="8" xfId="0" applyFont="1" applyFill="1" applyBorder="1" applyAlignment="1">
      <alignment horizontal="center" vertical="center"/>
    </xf>
    <xf numFmtId="0" fontId="14" fillId="11" borderId="10" xfId="1" applyNumberFormat="1" applyFont="1" applyFill="1" applyBorder="1" applyAlignment="1">
      <alignment horizontal="center" vertical="center"/>
    </xf>
    <xf numFmtId="0" fontId="14" fillId="11" borderId="10" xfId="1" applyNumberFormat="1" applyFont="1" applyFill="1" applyBorder="1" applyAlignment="1">
      <alignment horizontal="center" vertical="center" wrapText="1"/>
    </xf>
    <xf numFmtId="43" fontId="14" fillId="11" borderId="10" xfId="1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horizontal="center" vertical="center"/>
    </xf>
    <xf numFmtId="0" fontId="14" fillId="11" borderId="3" xfId="1" applyNumberFormat="1" applyFont="1" applyFill="1" applyBorder="1" applyAlignment="1">
      <alignment horizontal="center" vertical="center"/>
    </xf>
    <xf numFmtId="0" fontId="14" fillId="11" borderId="3" xfId="1" applyNumberFormat="1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right" vertical="center" shrinkToFit="1"/>
    </xf>
    <xf numFmtId="43" fontId="37" fillId="0" borderId="0" xfId="0" applyNumberFormat="1" applyFont="1" applyBorder="1" applyAlignment="1">
      <alignment horizontal="right" vertical="center" shrinkToFit="1"/>
    </xf>
    <xf numFmtId="43" fontId="14" fillId="0" borderId="0" xfId="1" applyFont="1" applyBorder="1" applyAlignment="1">
      <alignment horizontal="left" vertical="top" wrapText="1" shrinkToFit="1"/>
    </xf>
    <xf numFmtId="43" fontId="14" fillId="0" borderId="0" xfId="1" applyFont="1" applyBorder="1" applyAlignment="1">
      <alignment horizontal="left" vertical="top" wrapText="1"/>
    </xf>
    <xf numFmtId="43" fontId="42" fillId="0" borderId="0" xfId="1" applyFont="1" applyBorder="1" applyAlignment="1">
      <alignment horizontal="left" vertical="top" wrapText="1" shrinkToFit="1"/>
    </xf>
    <xf numFmtId="43" fontId="14" fillId="0" borderId="1" xfId="1" applyFont="1" applyFill="1" applyBorder="1" applyAlignment="1">
      <alignment horizontal="right" vertical="center" shrinkToFit="1"/>
    </xf>
    <xf numFmtId="43" fontId="14" fillId="0" borderId="1" xfId="1" applyFont="1" applyFill="1" applyBorder="1" applyAlignment="1">
      <alignment vertical="center" shrinkToFit="1"/>
    </xf>
    <xf numFmtId="43" fontId="14" fillId="0" borderId="1" xfId="1" applyFont="1" applyBorder="1" applyAlignment="1">
      <alignment vertical="center"/>
    </xf>
    <xf numFmtId="43" fontId="14" fillId="0" borderId="0" xfId="1" applyFont="1" applyFill="1" applyBorder="1" applyAlignment="1">
      <alignment vertical="center" shrinkToFit="1"/>
    </xf>
    <xf numFmtId="0" fontId="14" fillId="0" borderId="1" xfId="1" applyNumberFormat="1" applyFont="1" applyFill="1" applyBorder="1" applyAlignment="1">
      <alignment vertical="center" wrapText="1"/>
    </xf>
    <xf numFmtId="43" fontId="14" fillId="0" borderId="1" xfId="1" applyNumberFormat="1" applyFont="1" applyFill="1" applyBorder="1" applyAlignment="1">
      <alignment vertical="center" wrapText="1"/>
    </xf>
    <xf numFmtId="43" fontId="14" fillId="0" borderId="1" xfId="1" applyFont="1" applyFill="1" applyBorder="1" applyAlignment="1">
      <alignment vertical="center" wrapText="1"/>
    </xf>
    <xf numFmtId="43" fontId="14" fillId="0" borderId="0" xfId="1" applyFont="1" applyFill="1" applyBorder="1" applyAlignment="1">
      <alignment vertical="center"/>
    </xf>
    <xf numFmtId="0" fontId="14" fillId="0" borderId="1" xfId="1" applyNumberFormat="1" applyFont="1" applyFill="1" applyBorder="1" applyAlignment="1">
      <alignment horizontal="right" vertical="center" wrapText="1"/>
    </xf>
    <xf numFmtId="43" fontId="14" fillId="0" borderId="1" xfId="1" applyFont="1" applyBorder="1" applyAlignment="1">
      <alignment horizontal="right" vertical="center"/>
    </xf>
    <xf numFmtId="43" fontId="12" fillId="0" borderId="1" xfId="1" applyFont="1" applyBorder="1" applyAlignment="1">
      <alignment horizontal="right" vertical="center" wrapText="1"/>
    </xf>
    <xf numFmtId="43" fontId="12" fillId="0" borderId="0" xfId="1" applyFont="1" applyBorder="1" applyAlignment="1">
      <alignment horizontal="right" vertical="center"/>
    </xf>
    <xf numFmtId="0" fontId="14" fillId="11" borderId="8" xfId="0" applyFont="1" applyFill="1" applyBorder="1" applyAlignment="1">
      <alignment horizontal="center" vertical="top"/>
    </xf>
    <xf numFmtId="0" fontId="14" fillId="11" borderId="10" xfId="0" applyFont="1" applyFill="1" applyBorder="1" applyAlignment="1">
      <alignment horizontal="center" vertical="top"/>
    </xf>
    <xf numFmtId="43" fontId="37" fillId="0" borderId="1" xfId="1" applyFont="1" applyBorder="1" applyAlignment="1">
      <alignment vertical="top"/>
    </xf>
    <xf numFmtId="49" fontId="36" fillId="0" borderId="1" xfId="0" applyNumberFormat="1" applyFont="1" applyBorder="1" applyAlignment="1">
      <alignment horizontal="center" vertical="top"/>
    </xf>
    <xf numFmtId="0" fontId="14" fillId="0" borderId="0" xfId="1" applyNumberFormat="1" applyFont="1" applyBorder="1" applyAlignment="1">
      <alignment horizontal="center" vertical="top" shrinkToFit="1"/>
    </xf>
    <xf numFmtId="0" fontId="12" fillId="0" borderId="0" xfId="1" applyNumberFormat="1" applyFont="1" applyBorder="1" applyAlignment="1">
      <alignment horizontal="center" vertical="top"/>
    </xf>
    <xf numFmtId="0" fontId="36" fillId="0" borderId="0" xfId="0" applyFont="1" applyBorder="1" applyAlignment="1">
      <alignment horizontal="center" vertical="top"/>
    </xf>
    <xf numFmtId="49" fontId="12" fillId="0" borderId="1" xfId="0" applyNumberFormat="1" applyFont="1" applyFill="1" applyBorder="1" applyAlignment="1">
      <alignment horizontal="center" vertical="top"/>
    </xf>
    <xf numFmtId="49" fontId="12" fillId="0" borderId="1" xfId="0" applyNumberFormat="1" applyFont="1" applyFill="1" applyBorder="1" applyAlignment="1">
      <alignment horizontal="center" vertical="top" wrapText="1"/>
    </xf>
    <xf numFmtId="49" fontId="36" fillId="0" borderId="0" xfId="0" applyNumberFormat="1" applyFont="1" applyFill="1" applyAlignment="1">
      <alignment horizontal="center" vertical="top"/>
    </xf>
    <xf numFmtId="0" fontId="14" fillId="0" borderId="1" xfId="0" applyFont="1" applyFill="1" applyBorder="1" applyAlignment="1">
      <alignment horizontal="center" vertical="top"/>
    </xf>
    <xf numFmtId="0" fontId="37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3" fontId="37" fillId="0" borderId="0" xfId="0" applyNumberFormat="1" applyFont="1" applyFill="1" applyAlignment="1">
      <alignment vertical="center" shrinkToFit="1"/>
    </xf>
    <xf numFmtId="0" fontId="45" fillId="0" borderId="0" xfId="0" applyFont="1" applyFill="1" applyBorder="1" applyAlignment="1">
      <alignment vertical="center"/>
    </xf>
    <xf numFmtId="187" fontId="45" fillId="0" borderId="0" xfId="0" applyNumberFormat="1" applyFont="1" applyFill="1" applyAlignment="1">
      <alignment vertical="center"/>
    </xf>
    <xf numFmtId="43" fontId="98" fillId="0" borderId="0" xfId="1" applyFont="1" applyFill="1" applyAlignment="1">
      <alignment vertical="center"/>
    </xf>
    <xf numFmtId="0" fontId="98" fillId="0" borderId="0" xfId="0" applyFont="1" applyFill="1" applyAlignment="1">
      <alignment vertical="center"/>
    </xf>
    <xf numFmtId="43" fontId="31" fillId="0" borderId="0" xfId="1" applyFont="1" applyFill="1" applyAlignment="1">
      <alignment vertical="center"/>
    </xf>
    <xf numFmtId="43" fontId="31" fillId="0" borderId="0" xfId="0" applyNumberFormat="1" applyFont="1" applyFill="1" applyAlignment="1">
      <alignment vertical="center"/>
    </xf>
    <xf numFmtId="43" fontId="43" fillId="0" borderId="1" xfId="0" applyNumberFormat="1" applyFont="1" applyFill="1" applyBorder="1" applyAlignment="1">
      <alignment horizontal="left" vertical="center" wrapText="1"/>
    </xf>
    <xf numFmtId="43" fontId="43" fillId="0" borderId="1" xfId="0" applyNumberFormat="1" applyFont="1" applyFill="1" applyBorder="1" applyAlignment="1">
      <alignment horizontal="center" vertical="center" wrapText="1"/>
    </xf>
    <xf numFmtId="43" fontId="44" fillId="0" borderId="0" xfId="0" applyNumberFormat="1" applyFont="1" applyBorder="1" applyAlignment="1">
      <alignment vertical="top"/>
    </xf>
    <xf numFmtId="0" fontId="44" fillId="0" borderId="0" xfId="0" applyFont="1" applyBorder="1" applyAlignment="1">
      <alignment vertical="top"/>
    </xf>
    <xf numFmtId="2" fontId="44" fillId="0" borderId="0" xfId="0" applyNumberFormat="1" applyFont="1" applyBorder="1" applyAlignment="1">
      <alignment vertical="top"/>
    </xf>
    <xf numFmtId="0" fontId="13" fillId="4" borderId="8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43" fontId="12" fillId="15" borderId="1" xfId="1" applyFont="1" applyFill="1" applyBorder="1" applyAlignment="1">
      <alignment horizontal="right" vertical="top"/>
    </xf>
    <xf numFmtId="4" fontId="12" fillId="0" borderId="0" xfId="0" applyNumberFormat="1" applyFont="1"/>
    <xf numFmtId="4" fontId="12" fillId="0" borderId="2" xfId="0" applyNumberFormat="1" applyFont="1" applyBorder="1"/>
    <xf numFmtId="43" fontId="14" fillId="0" borderId="2" xfId="1" applyFont="1" applyFill="1" applyBorder="1" applyAlignment="1">
      <alignment vertical="center"/>
    </xf>
    <xf numFmtId="43" fontId="14" fillId="0" borderId="32" xfId="1" applyFont="1" applyFill="1" applyBorder="1" applyAlignment="1">
      <alignment horizontal="center" vertical="center" shrinkToFit="1"/>
    </xf>
    <xf numFmtId="43" fontId="14" fillId="0" borderId="9" xfId="1" applyFont="1" applyFill="1" applyBorder="1" applyAlignment="1">
      <alignment horizontal="center" vertical="center"/>
    </xf>
    <xf numFmtId="43" fontId="13" fillId="12" borderId="10" xfId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top"/>
    </xf>
    <xf numFmtId="43" fontId="14" fillId="0" borderId="1" xfId="1" applyFont="1" applyFill="1" applyBorder="1" applyAlignment="1">
      <alignment vertical="top" wrapText="1"/>
    </xf>
    <xf numFmtId="43" fontId="42" fillId="0" borderId="1" xfId="1" applyFont="1" applyFill="1" applyBorder="1" applyAlignment="1">
      <alignment vertical="top" wrapText="1"/>
    </xf>
    <xf numFmtId="43" fontId="37" fillId="0" borderId="1" xfId="1" applyFont="1" applyFill="1" applyBorder="1" applyAlignment="1">
      <alignment horizontal="right" vertical="center"/>
    </xf>
    <xf numFmtId="43" fontId="53" fillId="0" borderId="1" xfId="1" applyFont="1" applyFill="1" applyBorder="1" applyAlignment="1">
      <alignment vertical="center"/>
    </xf>
    <xf numFmtId="191" fontId="53" fillId="0" borderId="1" xfId="1" applyNumberFormat="1" applyFont="1" applyFill="1" applyBorder="1" applyAlignment="1">
      <alignment vertical="center"/>
    </xf>
    <xf numFmtId="43" fontId="44" fillId="0" borderId="1" xfId="0" applyNumberFormat="1" applyFont="1" applyFill="1" applyBorder="1" applyAlignment="1">
      <alignment vertical="center"/>
    </xf>
    <xf numFmtId="43" fontId="53" fillId="0" borderId="1" xfId="0" applyNumberFormat="1" applyFont="1" applyFill="1" applyBorder="1" applyAlignment="1">
      <alignment vertical="center"/>
    </xf>
    <xf numFmtId="43" fontId="53" fillId="0" borderId="4" xfId="0" applyNumberFormat="1" applyFont="1" applyFill="1" applyBorder="1" applyAlignment="1">
      <alignment horizontal="center" vertical="center"/>
    </xf>
    <xf numFmtId="43" fontId="44" fillId="0" borderId="1" xfId="1" applyFont="1" applyFill="1" applyBorder="1" applyAlignment="1">
      <alignment vertical="center"/>
    </xf>
    <xf numFmtId="43" fontId="53" fillId="0" borderId="1" xfId="1" applyFont="1" applyFill="1" applyBorder="1" applyAlignment="1">
      <alignment vertical="center" shrinkToFit="1"/>
    </xf>
    <xf numFmtId="43" fontId="44" fillId="0" borderId="1" xfId="1" applyFont="1" applyFill="1" applyBorder="1" applyAlignment="1">
      <alignment vertical="center" shrinkToFit="1"/>
    </xf>
    <xf numFmtId="191" fontId="44" fillId="0" borderId="1" xfId="1" applyNumberFormat="1" applyFont="1" applyFill="1" applyBorder="1" applyAlignment="1">
      <alignment vertical="center" shrinkToFit="1"/>
    </xf>
    <xf numFmtId="43" fontId="44" fillId="0" borderId="4" xfId="0" applyNumberFormat="1" applyFont="1" applyFill="1" applyBorder="1" applyAlignment="1">
      <alignment horizontal="center" vertical="center"/>
    </xf>
    <xf numFmtId="187" fontId="12" fillId="0" borderId="4" xfId="0" applyNumberFormat="1" applyFont="1" applyBorder="1" applyAlignment="1">
      <alignment horizontal="center"/>
    </xf>
    <xf numFmtId="43" fontId="42" fillId="0" borderId="1" xfId="1" applyFont="1" applyFill="1" applyBorder="1" applyAlignment="1">
      <alignment horizontal="center" vertical="center"/>
    </xf>
    <xf numFmtId="43" fontId="14" fillId="0" borderId="1" xfId="1" applyFont="1" applyFill="1" applyBorder="1" applyAlignment="1">
      <alignment vertical="top" wrapText="1" shrinkToFit="1"/>
    </xf>
    <xf numFmtId="4" fontId="12" fillId="0" borderId="10" xfId="0" applyNumberFormat="1" applyFont="1" applyBorder="1"/>
    <xf numFmtId="0" fontId="14" fillId="0" borderId="0" xfId="0" applyFont="1" applyAlignment="1">
      <alignment shrinkToFit="1"/>
    </xf>
    <xf numFmtId="43" fontId="14" fillId="0" borderId="0" xfId="1" applyNumberFormat="1" applyFont="1"/>
    <xf numFmtId="43" fontId="14" fillId="0" borderId="0" xfId="0" applyNumberFormat="1" applyFont="1"/>
    <xf numFmtId="0" fontId="13" fillId="0" borderId="0" xfId="0" applyFont="1" applyAlignment="1">
      <alignment horizontal="left"/>
    </xf>
    <xf numFmtId="43" fontId="16" fillId="0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6" borderId="8" xfId="0" applyFont="1" applyFill="1" applyBorder="1" applyAlignment="1">
      <alignment horizontal="center" vertical="center"/>
    </xf>
    <xf numFmtId="49" fontId="14" fillId="6" borderId="3" xfId="0" applyNumberFormat="1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3" fillId="48" borderId="4" xfId="0" applyFont="1" applyFill="1" applyBorder="1" applyAlignment="1">
      <alignment horizontal="left"/>
    </xf>
    <xf numFmtId="0" fontId="13" fillId="48" borderId="12" xfId="0" applyFont="1" applyFill="1" applyBorder="1" applyAlignment="1">
      <alignment horizontal="left"/>
    </xf>
    <xf numFmtId="0" fontId="13" fillId="48" borderId="12" xfId="0" applyFont="1" applyFill="1" applyBorder="1" applyAlignment="1">
      <alignment horizontal="center"/>
    </xf>
    <xf numFmtId="49" fontId="13" fillId="48" borderId="12" xfId="0" applyNumberFormat="1" applyFont="1" applyFill="1" applyBorder="1"/>
    <xf numFmtId="49" fontId="13" fillId="48" borderId="12" xfId="0" applyNumberFormat="1" applyFont="1" applyFill="1" applyBorder="1" applyAlignment="1">
      <alignment horizontal="center"/>
    </xf>
    <xf numFmtId="49" fontId="13" fillId="48" borderId="6" xfId="0" applyNumberFormat="1" applyFont="1" applyFill="1" applyBorder="1"/>
    <xf numFmtId="0" fontId="16" fillId="0" borderId="4" xfId="0" applyFont="1" applyBorder="1"/>
    <xf numFmtId="0" fontId="16" fillId="0" borderId="12" xfId="0" applyFont="1" applyBorder="1"/>
    <xf numFmtId="0" fontId="16" fillId="0" borderId="6" xfId="0" applyFont="1" applyBorder="1"/>
    <xf numFmtId="43" fontId="16" fillId="0" borderId="1" xfId="0" applyNumberFormat="1" applyFont="1" applyBorder="1"/>
    <xf numFmtId="43" fontId="13" fillId="0" borderId="1" xfId="0" applyNumberFormat="1" applyFont="1" applyBorder="1"/>
    <xf numFmtId="0" fontId="13" fillId="5" borderId="4" xfId="0" applyFont="1" applyFill="1" applyBorder="1"/>
    <xf numFmtId="0" fontId="13" fillId="5" borderId="12" xfId="0" applyFont="1" applyFill="1" applyBorder="1"/>
    <xf numFmtId="0" fontId="13" fillId="5" borderId="6" xfId="0" applyFont="1" applyFill="1" applyBorder="1"/>
    <xf numFmtId="4" fontId="16" fillId="0" borderId="1" xfId="0" applyNumberFormat="1" applyFont="1" applyBorder="1"/>
    <xf numFmtId="4" fontId="16" fillId="47" borderId="1" xfId="0" applyNumberFormat="1" applyFont="1" applyFill="1" applyBorder="1"/>
    <xf numFmtId="0" fontId="16" fillId="47" borderId="1" xfId="0" applyFont="1" applyFill="1" applyBorder="1"/>
    <xf numFmtId="4" fontId="13" fillId="0" borderId="1" xfId="0" applyNumberFormat="1" applyFont="1" applyBorder="1"/>
    <xf numFmtId="4" fontId="13" fillId="47" borderId="1" xfId="0" applyNumberFormat="1" applyFont="1" applyFill="1" applyBorder="1"/>
    <xf numFmtId="0" fontId="13" fillId="0" borderId="0" xfId="0" applyFont="1" applyBorder="1"/>
    <xf numFmtId="0" fontId="13" fillId="0" borderId="1" xfId="0" applyFont="1" applyBorder="1"/>
    <xf numFmtId="43" fontId="13" fillId="0" borderId="1" xfId="1" applyFont="1" applyBorder="1"/>
    <xf numFmtId="0" fontId="13" fillId="0" borderId="6" xfId="0" applyFont="1" applyBorder="1"/>
    <xf numFmtId="0" fontId="13" fillId="0" borderId="4" xfId="0" applyFont="1" applyBorder="1"/>
    <xf numFmtId="43" fontId="16" fillId="0" borderId="1" xfId="1" applyFont="1" applyBorder="1"/>
    <xf numFmtId="0" fontId="16" fillId="0" borderId="1" xfId="0" applyFont="1" applyBorder="1"/>
    <xf numFmtId="43" fontId="16" fillId="0" borderId="6" xfId="0" applyNumberFormat="1" applyFont="1" applyBorder="1"/>
    <xf numFmtId="0" fontId="13" fillId="0" borderId="12" xfId="0" applyFont="1" applyBorder="1"/>
    <xf numFmtId="190" fontId="16" fillId="0" borderId="12" xfId="0" applyNumberFormat="1" applyFont="1" applyBorder="1"/>
    <xf numFmtId="43" fontId="13" fillId="0" borderId="6" xfId="0" applyNumberFormat="1" applyFont="1" applyBorder="1"/>
    <xf numFmtId="43" fontId="13" fillId="0" borderId="4" xfId="1" applyFont="1" applyBorder="1"/>
    <xf numFmtId="43" fontId="13" fillId="0" borderId="6" xfId="1" applyFont="1" applyBorder="1"/>
    <xf numFmtId="0" fontId="13" fillId="0" borderId="1" xfId="0" applyFont="1" applyBorder="1" applyAlignment="1">
      <alignment horizontal="center"/>
    </xf>
    <xf numFmtId="0" fontId="16" fillId="0" borderId="4" xfId="0" applyFont="1" applyBorder="1" applyAlignment="1">
      <alignment vertical="top"/>
    </xf>
    <xf numFmtId="0" fontId="16" fillId="0" borderId="12" xfId="0" applyFont="1" applyBorder="1" applyAlignment="1">
      <alignment vertical="top"/>
    </xf>
    <xf numFmtId="0" fontId="16" fillId="0" borderId="0" xfId="0" applyFont="1" applyAlignment="1">
      <alignment vertical="top"/>
    </xf>
    <xf numFmtId="0" fontId="13" fillId="0" borderId="0" xfId="0" applyFont="1" applyBorder="1" applyAlignment="1">
      <alignment horizontal="left"/>
    </xf>
    <xf numFmtId="0" fontId="16" fillId="0" borderId="1" xfId="0" applyFont="1" applyBorder="1" applyAlignment="1">
      <alignment vertical="top" wrapText="1" shrinkToFit="1"/>
    </xf>
    <xf numFmtId="43" fontId="16" fillId="0" borderId="53" xfId="0" applyNumberFormat="1" applyFont="1" applyBorder="1"/>
    <xf numFmtId="43" fontId="13" fillId="0" borderId="53" xfId="0" applyNumberFormat="1" applyFont="1" applyBorder="1"/>
    <xf numFmtId="4" fontId="16" fillId="0" borderId="6" xfId="0" applyNumberFormat="1" applyFont="1" applyBorder="1"/>
    <xf numFmtId="4" fontId="13" fillId="0" borderId="6" xfId="0" applyNumberFormat="1" applyFont="1" applyBorder="1"/>
    <xf numFmtId="0" fontId="16" fillId="47" borderId="53" xfId="0" applyFont="1" applyFill="1" applyBorder="1"/>
    <xf numFmtId="4" fontId="13" fillId="47" borderId="53" xfId="0" applyNumberFormat="1" applyFont="1" applyFill="1" applyBorder="1"/>
    <xf numFmtId="4" fontId="16" fillId="47" borderId="53" xfId="0" applyNumberFormat="1" applyFont="1" applyFill="1" applyBorder="1"/>
    <xf numFmtId="43" fontId="43" fillId="0" borderId="1" xfId="1" applyFont="1" applyBorder="1" applyAlignment="1">
      <alignment horizontal="right" vertical="center" shrinkToFit="1"/>
    </xf>
    <xf numFmtId="43" fontId="43" fillId="0" borderId="1" xfId="1" applyFont="1" applyBorder="1" applyAlignment="1">
      <alignment vertical="center"/>
    </xf>
    <xf numFmtId="0" fontId="12" fillId="0" borderId="6" xfId="0" applyFont="1" applyBorder="1" applyAlignment="1">
      <alignment vertical="top" wrapText="1"/>
    </xf>
    <xf numFmtId="0" fontId="36" fillId="0" borderId="6" xfId="3" applyFont="1" applyBorder="1" applyAlignment="1">
      <alignment vertical="top" wrapText="1"/>
    </xf>
    <xf numFmtId="190" fontId="12" fillId="0" borderId="4" xfId="1" applyNumberFormat="1" applyFont="1" applyFill="1" applyBorder="1" applyAlignment="1">
      <alignment horizontal="right" vertical="top" wrapText="1"/>
    </xf>
    <xf numFmtId="2" fontId="12" fillId="0" borderId="4" xfId="1" applyNumberFormat="1" applyFont="1" applyFill="1" applyBorder="1" applyAlignment="1">
      <alignment horizontal="right" vertical="top" wrapText="1"/>
    </xf>
    <xf numFmtId="49" fontId="12" fillId="0" borderId="4" xfId="0" applyNumberFormat="1" applyFont="1" applyFill="1" applyBorder="1" applyAlignment="1">
      <alignment horizontal="right" vertical="top" wrapText="1"/>
    </xf>
    <xf numFmtId="43" fontId="67" fillId="0" borderId="1" xfId="1" applyFont="1" applyFill="1" applyBorder="1" applyAlignment="1">
      <alignment vertical="center" shrinkToFit="1"/>
    </xf>
    <xf numFmtId="43" fontId="69" fillId="0" borderId="10" xfId="1" applyNumberFormat="1" applyFont="1" applyFill="1" applyBorder="1" applyAlignment="1">
      <alignment vertical="center" shrinkToFit="1"/>
    </xf>
    <xf numFmtId="43" fontId="69" fillId="0" borderId="10" xfId="1" applyNumberFormat="1" applyFont="1" applyFill="1" applyBorder="1" applyAlignment="1">
      <alignment vertical="center"/>
    </xf>
    <xf numFmtId="43" fontId="117" fillId="0" borderId="1" xfId="1" applyFont="1" applyFill="1" applyBorder="1" applyAlignment="1">
      <alignment horizontal="right" vertical="center" shrinkToFit="1"/>
    </xf>
    <xf numFmtId="43" fontId="117" fillId="0" borderId="1" xfId="1" applyFont="1" applyFill="1" applyBorder="1" applyAlignment="1">
      <alignment vertical="center" shrinkToFit="1"/>
    </xf>
    <xf numFmtId="43" fontId="117" fillId="0" borderId="1" xfId="1" applyFont="1" applyBorder="1" applyAlignment="1">
      <alignment vertical="center"/>
    </xf>
    <xf numFmtId="43" fontId="117" fillId="0" borderId="0" xfId="1" applyFont="1" applyFill="1" applyBorder="1" applyAlignment="1">
      <alignment vertical="center" shrinkToFit="1"/>
    </xf>
    <xf numFmtId="43" fontId="118" fillId="0" borderId="1" xfId="1" applyFont="1" applyFill="1" applyBorder="1" applyAlignment="1">
      <alignment horizontal="right" vertical="center"/>
    </xf>
    <xf numFmtId="43" fontId="118" fillId="0" borderId="1" xfId="1" applyFont="1" applyFill="1" applyBorder="1" applyAlignment="1">
      <alignment vertical="center"/>
    </xf>
    <xf numFmtId="43" fontId="118" fillId="0" borderId="1" xfId="1" applyFont="1" applyFill="1" applyBorder="1" applyAlignment="1">
      <alignment vertical="center" wrapText="1"/>
    </xf>
    <xf numFmtId="0" fontId="118" fillId="0" borderId="0" xfId="0" applyFont="1" applyFill="1" applyAlignment="1">
      <alignment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2" fillId="0" borderId="1" xfId="1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vertical="top" wrapText="1" shrinkToFit="1"/>
    </xf>
    <xf numFmtId="49" fontId="14" fillId="0" borderId="3" xfId="0" applyNumberFormat="1" applyFont="1" applyFill="1" applyBorder="1" applyAlignment="1">
      <alignment horizontal="center" vertical="center" shrinkToFit="1"/>
    </xf>
    <xf numFmtId="49" fontId="14" fillId="0" borderId="56" xfId="0" applyNumberFormat="1" applyFont="1" applyFill="1" applyBorder="1" applyAlignment="1">
      <alignment horizontal="center" vertical="center" shrinkToFit="1"/>
    </xf>
    <xf numFmtId="49" fontId="14" fillId="0" borderId="21" xfId="0" applyNumberFormat="1" applyFont="1" applyFill="1" applyBorder="1" applyAlignment="1">
      <alignment horizontal="center" vertical="center" shrinkToFit="1"/>
    </xf>
    <xf numFmtId="188" fontId="14" fillId="0" borderId="1" xfId="1" applyNumberFormat="1" applyFont="1" applyFill="1" applyBorder="1" applyAlignment="1">
      <alignment vertical="top"/>
    </xf>
    <xf numFmtId="0" fontId="37" fillId="0" borderId="1" xfId="0" applyFont="1" applyFill="1" applyBorder="1" applyAlignment="1">
      <alignment vertical="top"/>
    </xf>
    <xf numFmtId="192" fontId="36" fillId="0" borderId="1" xfId="0" applyNumberFormat="1" applyFont="1" applyFill="1" applyBorder="1" applyAlignment="1">
      <alignment vertical="top"/>
    </xf>
    <xf numFmtId="193" fontId="37" fillId="0" borderId="1" xfId="0" applyNumberFormat="1" applyFont="1" applyFill="1" applyBorder="1" applyAlignment="1">
      <alignment vertical="top" wrapText="1"/>
    </xf>
    <xf numFmtId="0" fontId="64" fillId="0" borderId="3" xfId="1" applyNumberFormat="1" applyFont="1" applyFill="1" applyBorder="1" applyAlignment="1">
      <alignment vertical="center" shrinkToFit="1"/>
    </xf>
    <xf numFmtId="4" fontId="0" fillId="0" borderId="0" xfId="0" applyNumberFormat="1"/>
    <xf numFmtId="43" fontId="12" fillId="0" borderId="3" xfId="1" applyFont="1" applyFill="1" applyBorder="1" applyAlignment="1">
      <alignment vertical="center"/>
    </xf>
    <xf numFmtId="43" fontId="14" fillId="0" borderId="10" xfId="1" applyFont="1" applyFill="1" applyBorder="1" applyAlignment="1">
      <alignment vertical="center"/>
    </xf>
    <xf numFmtId="2" fontId="14" fillId="0" borderId="10" xfId="0" applyNumberFormat="1" applyFont="1" applyFill="1" applyBorder="1" applyAlignment="1">
      <alignment horizontal="center" vertical="center"/>
    </xf>
    <xf numFmtId="0" fontId="12" fillId="0" borderId="1" xfId="0" applyFont="1" applyBorder="1"/>
    <xf numFmtId="43" fontId="14" fillId="0" borderId="1" xfId="1" applyFont="1" applyFill="1" applyBorder="1" applyAlignment="1">
      <alignment horizontal="right" vertical="top"/>
    </xf>
    <xf numFmtId="0" fontId="14" fillId="0" borderId="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center"/>
    </xf>
    <xf numFmtId="0" fontId="16" fillId="0" borderId="4" xfId="0" applyFont="1" applyBorder="1" applyAlignment="1">
      <alignment horizontal="right"/>
    </xf>
    <xf numFmtId="0" fontId="16" fillId="0" borderId="12" xfId="0" applyFont="1" applyBorder="1" applyAlignment="1">
      <alignment horizontal="right"/>
    </xf>
    <xf numFmtId="43" fontId="16" fillId="0" borderId="12" xfId="0" applyNumberFormat="1" applyFont="1" applyBorder="1"/>
    <xf numFmtId="43" fontId="13" fillId="0" borderId="1" xfId="0" applyNumberFormat="1" applyFont="1" applyBorder="1" applyAlignment="1">
      <alignment horizontal="center"/>
    </xf>
    <xf numFmtId="43" fontId="13" fillId="0" borderId="4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3" fontId="13" fillId="50" borderId="8" xfId="0" applyNumberFormat="1" applyFont="1" applyFill="1" applyBorder="1" applyAlignment="1">
      <alignment horizontal="right"/>
    </xf>
    <xf numFmtId="0" fontId="37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top"/>
    </xf>
    <xf numFmtId="0" fontId="118" fillId="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vertical="top" wrapText="1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1" applyNumberFormat="1" applyFont="1" applyBorder="1" applyAlignment="1">
      <alignment vertical="top" wrapText="1"/>
    </xf>
    <xf numFmtId="0" fontId="14" fillId="0" borderId="1" xfId="1" applyNumberFormat="1" applyFont="1" applyFill="1" applyBorder="1" applyAlignment="1">
      <alignment vertical="center" wrapText="1"/>
    </xf>
    <xf numFmtId="43" fontId="14" fillId="0" borderId="1" xfId="1" applyFont="1" applyFill="1" applyBorder="1" applyAlignment="1">
      <alignment horizontal="right" vertical="top"/>
    </xf>
    <xf numFmtId="0" fontId="37" fillId="0" borderId="1" xfId="0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8" xfId="0" applyFont="1" applyFill="1" applyBorder="1" applyAlignment="1">
      <alignment horizontal="center" vertical="center"/>
    </xf>
    <xf numFmtId="1" fontId="12" fillId="0" borderId="4" xfId="1" applyNumberFormat="1" applyFont="1" applyFill="1" applyBorder="1" applyAlignment="1">
      <alignment horizontal="right" vertical="top" wrapText="1"/>
    </xf>
    <xf numFmtId="0" fontId="16" fillId="0" borderId="12" xfId="0" applyFont="1" applyBorder="1" applyAlignment="1">
      <alignment horizontal="left"/>
    </xf>
    <xf numFmtId="0" fontId="16" fillId="0" borderId="12" xfId="0" applyFont="1" applyBorder="1" applyAlignment="1">
      <alignment horizontal="right" vertical="top"/>
    </xf>
    <xf numFmtId="43" fontId="16" fillId="0" borderId="1" xfId="0" applyNumberFormat="1" applyFont="1" applyBorder="1" applyAlignment="1">
      <alignment vertical="top"/>
    </xf>
    <xf numFmtId="43" fontId="16" fillId="0" borderId="6" xfId="0" applyNumberFormat="1" applyFont="1" applyBorder="1" applyAlignment="1">
      <alignment vertical="top"/>
    </xf>
    <xf numFmtId="0" fontId="11" fillId="0" borderId="0" xfId="0" applyFont="1"/>
    <xf numFmtId="0" fontId="16" fillId="0" borderId="6" xfId="0" applyFont="1" applyBorder="1" applyAlignment="1">
      <alignment vertical="top" wrapText="1"/>
    </xf>
    <xf numFmtId="4" fontId="14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0" fontId="37" fillId="0" borderId="0" xfId="0" applyFont="1" applyFill="1" applyAlignment="1">
      <alignment horizontal="right" vertical="center"/>
    </xf>
    <xf numFmtId="4" fontId="14" fillId="0" borderId="1" xfId="0" applyNumberFormat="1" applyFont="1" applyFill="1" applyBorder="1" applyAlignment="1">
      <alignment vertical="center"/>
    </xf>
    <xf numFmtId="0" fontId="37" fillId="11" borderId="8" xfId="0" applyFont="1" applyFill="1" applyBorder="1" applyAlignment="1">
      <alignment horizontal="center" vertical="center"/>
    </xf>
    <xf numFmtId="0" fontId="37" fillId="11" borderId="3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21" xfId="0" applyNumberFormat="1" applyFont="1" applyFill="1" applyBorder="1" applyAlignment="1">
      <alignment horizontal="center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191" fontId="32" fillId="50" borderId="3" xfId="0" applyNumberFormat="1" applyFont="1" applyFill="1" applyBorder="1" applyAlignment="1">
      <alignment horizontal="right"/>
    </xf>
    <xf numFmtId="191" fontId="32" fillId="50" borderId="3" xfId="0" applyNumberFormat="1" applyFont="1" applyFill="1" applyBorder="1"/>
    <xf numFmtId="191" fontId="13" fillId="50" borderId="8" xfId="0" applyNumberFormat="1" applyFont="1" applyFill="1" applyBorder="1" applyAlignment="1">
      <alignment horizontal="right"/>
    </xf>
    <xf numFmtId="43" fontId="11" fillId="0" borderId="1" xfId="0" applyNumberFormat="1" applyFont="1" applyBorder="1"/>
    <xf numFmtId="0" fontId="11" fillId="51" borderId="4" xfId="0" applyFont="1" applyFill="1" applyBorder="1"/>
    <xf numFmtId="0" fontId="11" fillId="51" borderId="12" xfId="0" applyFont="1" applyFill="1" applyBorder="1"/>
    <xf numFmtId="0" fontId="11" fillId="51" borderId="6" xfId="0" applyFont="1" applyFill="1" applyBorder="1"/>
    <xf numFmtId="0" fontId="11" fillId="11" borderId="4" xfId="0" applyFont="1" applyFill="1" applyBorder="1" applyAlignment="1">
      <alignment horizontal="left"/>
    </xf>
    <xf numFmtId="0" fontId="11" fillId="11" borderId="12" xfId="0" applyFont="1" applyFill="1" applyBorder="1" applyAlignment="1">
      <alignment horizontal="left"/>
    </xf>
    <xf numFmtId="0" fontId="11" fillId="11" borderId="12" xfId="0" applyFont="1" applyFill="1" applyBorder="1" applyAlignment="1">
      <alignment horizontal="center"/>
    </xf>
    <xf numFmtId="49" fontId="11" fillId="11" borderId="12" xfId="0" applyNumberFormat="1" applyFont="1" applyFill="1" applyBorder="1"/>
    <xf numFmtId="49" fontId="11" fillId="11" borderId="12" xfId="0" applyNumberFormat="1" applyFont="1" applyFill="1" applyBorder="1" applyAlignment="1">
      <alignment horizontal="center"/>
    </xf>
    <xf numFmtId="49" fontId="11" fillId="11" borderId="6" xfId="0" applyNumberFormat="1" applyFont="1" applyFill="1" applyBorder="1"/>
    <xf numFmtId="0" fontId="11" fillId="0" borderId="4" xfId="0" applyFont="1" applyBorder="1"/>
    <xf numFmtId="0" fontId="11" fillId="0" borderId="12" xfId="0" applyFont="1" applyBorder="1" applyAlignment="1">
      <alignment horizontal="left"/>
    </xf>
    <xf numFmtId="0" fontId="11" fillId="0" borderId="6" xfId="0" applyFont="1" applyBorder="1"/>
    <xf numFmtId="43" fontId="11" fillId="0" borderId="6" xfId="0" applyNumberFormat="1" applyFont="1" applyBorder="1"/>
    <xf numFmtId="43" fontId="71" fillId="0" borderId="8" xfId="0" applyNumberFormat="1" applyFont="1" applyFill="1" applyBorder="1" applyAlignment="1">
      <alignment horizontal="right"/>
    </xf>
    <xf numFmtId="191" fontId="63" fillId="0" borderId="3" xfId="0" applyNumberFormat="1" applyFont="1" applyFill="1" applyBorder="1"/>
    <xf numFmtId="43" fontId="31" fillId="0" borderId="1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4" fontId="31" fillId="0" borderId="1" xfId="0" applyNumberFormat="1" applyFont="1" applyBorder="1" applyAlignment="1">
      <alignment vertical="center"/>
    </xf>
    <xf numFmtId="4" fontId="31" fillId="47" borderId="1" xfId="0" applyNumberFormat="1" applyFont="1" applyFill="1" applyBorder="1" applyAlignment="1">
      <alignment vertical="center"/>
    </xf>
    <xf numFmtId="43" fontId="31" fillId="0" borderId="6" xfId="0" applyNumberFormat="1" applyFont="1" applyBorder="1" applyAlignment="1">
      <alignment vertical="center"/>
    </xf>
    <xf numFmtId="4" fontId="31" fillId="0" borderId="6" xfId="0" applyNumberFormat="1" applyFont="1" applyBorder="1" applyAlignment="1">
      <alignment vertical="center"/>
    </xf>
    <xf numFmtId="4" fontId="43" fillId="0" borderId="1" xfId="0" applyNumberFormat="1" applyFont="1" applyFill="1" applyBorder="1" applyAlignment="1">
      <alignment vertical="center"/>
    </xf>
    <xf numFmtId="43" fontId="43" fillId="0" borderId="1" xfId="1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right" vertical="center" shrinkToFit="1"/>
    </xf>
    <xf numFmtId="43" fontId="11" fillId="0" borderId="1" xfId="1" applyFont="1" applyFill="1" applyBorder="1" applyAlignment="1">
      <alignment vertical="center" shrinkToFit="1"/>
    </xf>
    <xf numFmtId="43" fontId="11" fillId="0" borderId="1" xfId="1" applyFont="1" applyBorder="1" applyAlignment="1">
      <alignment vertical="center"/>
    </xf>
    <xf numFmtId="43" fontId="14" fillId="11" borderId="10" xfId="1" applyFont="1" applyFill="1" applyBorder="1" applyAlignment="1">
      <alignment horizontal="center" vertical="center" shrinkToFit="1"/>
    </xf>
    <xf numFmtId="0" fontId="13" fillId="0" borderId="57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0" fontId="11" fillId="51" borderId="28" xfId="0" applyFont="1" applyFill="1" applyBorder="1"/>
    <xf numFmtId="0" fontId="11" fillId="51" borderId="61" xfId="0" applyFont="1" applyFill="1" applyBorder="1"/>
    <xf numFmtId="43" fontId="16" fillId="0" borderId="15" xfId="0" applyNumberFormat="1" applyFont="1" applyBorder="1"/>
    <xf numFmtId="43" fontId="16" fillId="0" borderId="17" xfId="0" applyNumberFormat="1" applyFont="1" applyBorder="1"/>
    <xf numFmtId="43" fontId="31" fillId="0" borderId="15" xfId="0" applyNumberFormat="1" applyFont="1" applyBorder="1" applyAlignment="1">
      <alignment vertical="center"/>
    </xf>
    <xf numFmtId="43" fontId="31" fillId="0" borderId="17" xfId="0" applyNumberFormat="1" applyFont="1" applyBorder="1" applyAlignment="1">
      <alignment vertical="center"/>
    </xf>
    <xf numFmtId="49" fontId="11" fillId="11" borderId="28" xfId="0" applyNumberFormat="1" applyFont="1" applyFill="1" applyBorder="1"/>
    <xf numFmtId="49" fontId="11" fillId="11" borderId="61" xfId="0" applyNumberFormat="1" applyFont="1" applyFill="1" applyBorder="1"/>
    <xf numFmtId="43" fontId="13" fillId="0" borderId="15" xfId="0" applyNumberFormat="1" applyFont="1" applyBorder="1"/>
    <xf numFmtId="43" fontId="13" fillId="0" borderId="17" xfId="0" applyNumberFormat="1" applyFont="1" applyBorder="1"/>
    <xf numFmtId="43" fontId="16" fillId="0" borderId="15" xfId="0" applyNumberFormat="1" applyFont="1" applyBorder="1" applyAlignment="1">
      <alignment vertical="top"/>
    </xf>
    <xf numFmtId="43" fontId="16" fillId="0" borderId="17" xfId="0" applyNumberFormat="1" applyFont="1" applyBorder="1" applyAlignment="1">
      <alignment vertical="top"/>
    </xf>
    <xf numFmtId="43" fontId="11" fillId="0" borderId="15" xfId="0" applyNumberFormat="1" applyFont="1" applyBorder="1"/>
    <xf numFmtId="43" fontId="11" fillId="0" borderId="17" xfId="0" applyNumberFormat="1" applyFont="1" applyBorder="1"/>
    <xf numFmtId="0" fontId="16" fillId="47" borderId="15" xfId="0" applyFont="1" applyFill="1" applyBorder="1"/>
    <xf numFmtId="4" fontId="31" fillId="47" borderId="15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horizontal="center"/>
    </xf>
    <xf numFmtId="43" fontId="13" fillId="5" borderId="15" xfId="0" applyNumberFormat="1" applyFont="1" applyFill="1" applyBorder="1" applyAlignment="1">
      <alignment horizontal="center"/>
    </xf>
    <xf numFmtId="0" fontId="14" fillId="0" borderId="57" xfId="0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49" fontId="14" fillId="0" borderId="14" xfId="0" applyNumberFormat="1" applyFont="1" applyFill="1" applyBorder="1" applyAlignment="1">
      <alignment horizontal="center" vertical="center" shrinkToFit="1"/>
    </xf>
    <xf numFmtId="49" fontId="14" fillId="0" borderId="16" xfId="0" applyNumberFormat="1" applyFont="1" applyFill="1" applyBorder="1" applyAlignment="1">
      <alignment horizontal="center" vertical="center" shrinkToFit="1"/>
    </xf>
    <xf numFmtId="49" fontId="13" fillId="48" borderId="28" xfId="0" applyNumberFormat="1" applyFont="1" applyFill="1" applyBorder="1"/>
    <xf numFmtId="49" fontId="13" fillId="48" borderId="61" xfId="0" applyNumberFormat="1" applyFont="1" applyFill="1" applyBorder="1"/>
    <xf numFmtId="0" fontId="13" fillId="6" borderId="17" xfId="0" applyFont="1" applyFill="1" applyBorder="1" applyAlignment="1">
      <alignment horizontal="center"/>
    </xf>
    <xf numFmtId="43" fontId="13" fillId="6" borderId="15" xfId="0" applyNumberFormat="1" applyFont="1" applyFill="1" applyBorder="1" applyAlignment="1">
      <alignment horizontal="center"/>
    </xf>
    <xf numFmtId="43" fontId="16" fillId="0" borderId="6" xfId="1" applyFont="1" applyBorder="1"/>
    <xf numFmtId="43" fontId="37" fillId="0" borderId="1" xfId="1" applyFont="1" applyFill="1" applyBorder="1" applyAlignment="1">
      <alignment horizontal="center" vertical="top" wrapText="1" shrinkToFit="1"/>
    </xf>
    <xf numFmtId="0" fontId="14" fillId="0" borderId="1" xfId="0" applyFont="1" applyFill="1" applyBorder="1" applyAlignment="1">
      <alignment horizontal="center" vertical="center"/>
    </xf>
    <xf numFmtId="43" fontId="73" fillId="0" borderId="0" xfId="1" applyFont="1" applyFill="1" applyAlignment="1">
      <alignment horizontal="left" vertical="center" shrinkToFit="1"/>
    </xf>
    <xf numFmtId="0" fontId="78" fillId="0" borderId="8" xfId="1" applyNumberFormat="1" applyFont="1" applyFill="1" applyBorder="1" applyAlignment="1">
      <alignment horizontal="center" vertical="center"/>
    </xf>
    <xf numFmtId="0" fontId="78" fillId="0" borderId="10" xfId="1" applyNumberFormat="1" applyFont="1" applyFill="1" applyBorder="1" applyAlignment="1">
      <alignment horizontal="center" vertical="center"/>
    </xf>
    <xf numFmtId="0" fontId="78" fillId="0" borderId="3" xfId="1" applyNumberFormat="1" applyFont="1" applyFill="1" applyBorder="1" applyAlignment="1">
      <alignment horizontal="center" vertical="center"/>
    </xf>
    <xf numFmtId="0" fontId="63" fillId="6" borderId="10" xfId="1" applyNumberFormat="1" applyFont="1" applyFill="1" applyBorder="1" applyAlignment="1">
      <alignment horizontal="center" vertical="center" shrinkToFit="1"/>
    </xf>
    <xf numFmtId="0" fontId="63" fillId="0" borderId="8" xfId="1" applyNumberFormat="1" applyFont="1" applyFill="1" applyBorder="1" applyAlignment="1">
      <alignment horizontal="center" vertical="center" shrinkToFit="1"/>
    </xf>
    <xf numFmtId="0" fontId="63" fillId="0" borderId="10" xfId="1" applyNumberFormat="1" applyFont="1" applyFill="1" applyBorder="1" applyAlignment="1">
      <alignment horizontal="center" vertical="center" shrinkToFit="1"/>
    </xf>
    <xf numFmtId="0" fontId="63" fillId="0" borderId="3" xfId="1" applyNumberFormat="1" applyFont="1" applyFill="1" applyBorder="1" applyAlignment="1">
      <alignment horizontal="center" vertical="center" shrinkToFit="1"/>
    </xf>
    <xf numFmtId="43" fontId="64" fillId="7" borderId="8" xfId="1" applyFont="1" applyFill="1" applyBorder="1" applyAlignment="1">
      <alignment horizontal="center" vertical="center" shrinkToFit="1"/>
    </xf>
    <xf numFmtId="43" fontId="64" fillId="7" borderId="3" xfId="1" applyFont="1" applyFill="1" applyBorder="1" applyAlignment="1">
      <alignment horizontal="center" vertical="center" shrinkToFit="1"/>
    </xf>
    <xf numFmtId="43" fontId="64" fillId="0" borderId="10" xfId="1" applyFont="1" applyFill="1" applyBorder="1" applyAlignment="1">
      <alignment horizontal="left" vertical="center" shrinkToFit="1"/>
    </xf>
    <xf numFmtId="0" fontId="63" fillId="0" borderId="10" xfId="1" applyNumberFormat="1" applyFont="1" applyFill="1" applyBorder="1" applyAlignment="1">
      <alignment horizontal="center" vertical="top"/>
    </xf>
    <xf numFmtId="0" fontId="63" fillId="0" borderId="3" xfId="1" applyNumberFormat="1" applyFont="1" applyFill="1" applyBorder="1" applyAlignment="1">
      <alignment horizontal="center" vertical="top"/>
    </xf>
    <xf numFmtId="0" fontId="63" fillId="0" borderId="10" xfId="1" applyNumberFormat="1" applyFont="1" applyFill="1" applyBorder="1" applyAlignment="1">
      <alignment horizontal="center" vertical="top" shrinkToFit="1"/>
    </xf>
    <xf numFmtId="0" fontId="63" fillId="0" borderId="3" xfId="1" applyNumberFormat="1" applyFont="1" applyFill="1" applyBorder="1" applyAlignment="1">
      <alignment horizontal="center" vertical="top" shrinkToFit="1"/>
    </xf>
    <xf numFmtId="43" fontId="65" fillId="0" borderId="10" xfId="1" applyFont="1" applyFill="1" applyBorder="1" applyAlignment="1">
      <alignment horizontal="left" vertical="center" shrinkToFit="1"/>
    </xf>
    <xf numFmtId="43" fontId="64" fillId="0" borderId="8" xfId="1" applyFont="1" applyFill="1" applyBorder="1" applyAlignment="1">
      <alignment horizontal="left" vertical="center" shrinkToFit="1"/>
    </xf>
    <xf numFmtId="43" fontId="64" fillId="0" borderId="5" xfId="1" applyFont="1" applyFill="1" applyBorder="1" applyAlignment="1">
      <alignment horizontal="left" vertical="center" shrinkToFit="1"/>
    </xf>
    <xf numFmtId="43" fontId="64" fillId="0" borderId="7" xfId="1" applyFont="1" applyFill="1" applyBorder="1" applyAlignment="1">
      <alignment horizontal="left" vertical="center" shrinkToFit="1"/>
    </xf>
    <xf numFmtId="43" fontId="64" fillId="0" borderId="26" xfId="1" applyFont="1" applyFill="1" applyBorder="1" applyAlignment="1">
      <alignment horizontal="left" vertical="center" shrinkToFit="1"/>
    </xf>
    <xf numFmtId="43" fontId="64" fillId="0" borderId="25" xfId="1" applyFont="1" applyFill="1" applyBorder="1" applyAlignment="1">
      <alignment horizontal="left" vertical="center" shrinkToFit="1"/>
    </xf>
    <xf numFmtId="43" fontId="62" fillId="0" borderId="0" xfId="1" applyFont="1" applyFill="1" applyAlignment="1">
      <alignment horizontal="center" vertical="center" shrinkToFit="1"/>
    </xf>
    <xf numFmtId="43" fontId="62" fillId="0" borderId="0" xfId="1" applyFont="1" applyFill="1" applyBorder="1" applyAlignment="1">
      <alignment horizontal="center" vertical="center" shrinkToFit="1"/>
    </xf>
    <xf numFmtId="43" fontId="63" fillId="0" borderId="0" xfId="1" applyFont="1" applyFill="1" applyBorder="1" applyAlignment="1">
      <alignment horizontal="center" vertical="center" shrinkToFit="1"/>
    </xf>
    <xf numFmtId="0" fontId="64" fillId="7" borderId="1" xfId="1" applyNumberFormat="1" applyFont="1" applyFill="1" applyBorder="1" applyAlignment="1">
      <alignment horizontal="center" vertical="center" shrinkToFit="1"/>
    </xf>
    <xf numFmtId="43" fontId="64" fillId="7" borderId="1" xfId="1" applyFont="1" applyFill="1" applyBorder="1" applyAlignment="1">
      <alignment horizontal="center" vertical="center" shrinkToFit="1"/>
    </xf>
    <xf numFmtId="43" fontId="67" fillId="0" borderId="8" xfId="1" applyFont="1" applyBorder="1" applyAlignment="1">
      <alignment horizontal="center" vertical="center"/>
    </xf>
    <xf numFmtId="43" fontId="67" fillId="0" borderId="3" xfId="1" applyFont="1" applyBorder="1" applyAlignment="1">
      <alignment horizontal="center" vertical="center"/>
    </xf>
    <xf numFmtId="0" fontId="31" fillId="0" borderId="1" xfId="0" applyFont="1" applyBorder="1" applyAlignment="1">
      <alignment horizontal="righ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43" fontId="67" fillId="0" borderId="5" xfId="1" applyFont="1" applyBorder="1" applyAlignment="1">
      <alignment horizontal="center" vertical="center"/>
    </xf>
    <xf numFmtId="43" fontId="67" fillId="0" borderId="13" xfId="1" applyFont="1" applyBorder="1" applyAlignment="1">
      <alignment horizontal="center" vertical="center"/>
    </xf>
    <xf numFmtId="43" fontId="63" fillId="5" borderId="58" xfId="1" applyFont="1" applyFill="1" applyBorder="1" applyAlignment="1">
      <alignment horizontal="center" vertical="center"/>
    </xf>
    <xf numFmtId="43" fontId="63" fillId="5" borderId="16" xfId="1" applyFont="1" applyFill="1" applyBorder="1" applyAlignment="1">
      <alignment horizontal="center" vertical="center"/>
    </xf>
    <xf numFmtId="43" fontId="63" fillId="5" borderId="57" xfId="1" applyFont="1" applyFill="1" applyBorder="1" applyAlignment="1">
      <alignment horizontal="center" vertical="center"/>
    </xf>
    <xf numFmtId="43" fontId="63" fillId="5" borderId="14" xfId="1" applyFont="1" applyFill="1" applyBorder="1" applyAlignment="1">
      <alignment horizontal="center" vertical="center"/>
    </xf>
    <xf numFmtId="43" fontId="67" fillId="0" borderId="7" xfId="1" applyFont="1" applyBorder="1" applyAlignment="1">
      <alignment horizontal="center" vertical="center"/>
    </xf>
    <xf numFmtId="43" fontId="67" fillId="0" borderId="21" xfId="1" applyFont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1" fillId="5" borderId="17" xfId="0" applyFont="1" applyFill="1" applyBorder="1" applyAlignment="1">
      <alignment horizontal="center"/>
    </xf>
    <xf numFmtId="0" fontId="31" fillId="5" borderId="15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43" fontId="31" fillId="0" borderId="12" xfId="0" applyNumberFormat="1" applyFont="1" applyBorder="1" applyAlignment="1">
      <alignment horizontal="center" shrinkToFit="1"/>
    </xf>
    <xf numFmtId="43" fontId="31" fillId="0" borderId="6" xfId="0" applyNumberFormat="1" applyFont="1" applyBorder="1" applyAlignment="1">
      <alignment horizontal="center" shrinkToFit="1"/>
    </xf>
    <xf numFmtId="0" fontId="31" fillId="0" borderId="0" xfId="0" applyFont="1" applyBorder="1" applyAlignment="1">
      <alignment horizontal="center"/>
    </xf>
    <xf numFmtId="43" fontId="31" fillId="0" borderId="24" xfId="0" applyNumberFormat="1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13" fillId="0" borderId="8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43" fontId="37" fillId="11" borderId="8" xfId="1" applyFont="1" applyFill="1" applyBorder="1" applyAlignment="1">
      <alignment horizontal="center" vertical="center"/>
    </xf>
    <xf numFmtId="43" fontId="37" fillId="11" borderId="3" xfId="1" applyFont="1" applyFill="1" applyBorder="1" applyAlignment="1">
      <alignment horizontal="center" vertical="center"/>
    </xf>
    <xf numFmtId="0" fontId="37" fillId="11" borderId="8" xfId="0" applyFont="1" applyFill="1" applyBorder="1" applyAlignment="1">
      <alignment horizontal="center" vertical="center" wrapText="1"/>
    </xf>
    <xf numFmtId="0" fontId="37" fillId="11" borderId="3" xfId="0" applyFont="1" applyFill="1" applyBorder="1" applyAlignment="1">
      <alignment horizontal="center" vertical="center" wrapText="1"/>
    </xf>
    <xf numFmtId="0" fontId="37" fillId="11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right" vertical="center"/>
    </xf>
    <xf numFmtId="0" fontId="43" fillId="0" borderId="0" xfId="0" applyFont="1" applyFill="1" applyAlignment="1">
      <alignment horizontal="center" vertical="top"/>
    </xf>
    <xf numFmtId="43" fontId="43" fillId="0" borderId="24" xfId="0" applyNumberFormat="1" applyFont="1" applyFill="1" applyBorder="1" applyAlignment="1">
      <alignment horizontal="center" vertical="top"/>
    </xf>
    <xf numFmtId="0" fontId="37" fillId="11" borderId="8" xfId="0" applyFont="1" applyFill="1" applyBorder="1" applyAlignment="1">
      <alignment horizontal="center" vertical="center"/>
    </xf>
    <xf numFmtId="0" fontId="37" fillId="11" borderId="3" xfId="0" applyFont="1" applyFill="1" applyBorder="1" applyAlignment="1">
      <alignment horizontal="center" vertical="center"/>
    </xf>
    <xf numFmtId="49" fontId="37" fillId="11" borderId="8" xfId="0" applyNumberFormat="1" applyFont="1" applyFill="1" applyBorder="1" applyAlignment="1">
      <alignment horizontal="center" vertical="center"/>
    </xf>
    <xf numFmtId="49" fontId="37" fillId="11" borderId="3" xfId="0" applyNumberFormat="1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right" vertical="center"/>
    </xf>
    <xf numFmtId="0" fontId="37" fillId="0" borderId="12" xfId="0" applyFont="1" applyFill="1" applyBorder="1" applyAlignment="1">
      <alignment horizontal="right" vertical="center"/>
    </xf>
    <xf numFmtId="0" fontId="37" fillId="0" borderId="6" xfId="0" applyFont="1" applyFill="1" applyBorder="1" applyAlignment="1">
      <alignment horizontal="right" vertical="center"/>
    </xf>
    <xf numFmtId="43" fontId="14" fillId="0" borderId="1" xfId="1" applyFont="1" applyFill="1" applyBorder="1" applyAlignment="1">
      <alignment horizontal="right" vertical="top"/>
    </xf>
    <xf numFmtId="0" fontId="13" fillId="0" borderId="0" xfId="1" applyNumberFormat="1" applyFont="1" applyBorder="1" applyAlignment="1">
      <alignment vertical="top" shrinkToFit="1"/>
    </xf>
    <xf numFmtId="0" fontId="14" fillId="0" borderId="4" xfId="1" applyNumberFormat="1" applyFont="1" applyBorder="1" applyAlignment="1">
      <alignment horizontal="left" vertical="top" wrapText="1"/>
    </xf>
    <xf numFmtId="0" fontId="14" fillId="0" borderId="12" xfId="1" applyNumberFormat="1" applyFont="1" applyBorder="1" applyAlignment="1">
      <alignment horizontal="left" vertical="top" wrapText="1"/>
    </xf>
    <xf numFmtId="0" fontId="14" fillId="0" borderId="6" xfId="1" applyNumberFormat="1" applyFont="1" applyBorder="1" applyAlignment="1">
      <alignment horizontal="left" vertical="top" wrapText="1"/>
    </xf>
    <xf numFmtId="0" fontId="14" fillId="0" borderId="4" xfId="1" applyNumberFormat="1" applyFont="1" applyFill="1" applyBorder="1" applyAlignment="1">
      <alignment horizontal="left" vertical="center" wrapText="1"/>
    </xf>
    <xf numFmtId="0" fontId="14" fillId="0" borderId="12" xfId="1" applyNumberFormat="1" applyFont="1" applyFill="1" applyBorder="1" applyAlignment="1">
      <alignment horizontal="left" vertical="center" wrapText="1"/>
    </xf>
    <xf numFmtId="0" fontId="14" fillId="0" borderId="6" xfId="1" applyNumberFormat="1" applyFont="1" applyFill="1" applyBorder="1" applyAlignment="1">
      <alignment horizontal="left" vertical="center" wrapText="1"/>
    </xf>
    <xf numFmtId="43" fontId="14" fillId="0" borderId="4" xfId="1" applyFont="1" applyFill="1" applyBorder="1" applyAlignment="1">
      <alignment horizontal="right" vertical="top"/>
    </xf>
    <xf numFmtId="43" fontId="14" fillId="0" borderId="12" xfId="1" applyFont="1" applyFill="1" applyBorder="1" applyAlignment="1">
      <alignment horizontal="right" vertical="top"/>
    </xf>
    <xf numFmtId="43" fontId="14" fillId="0" borderId="6" xfId="1" applyFont="1" applyFill="1" applyBorder="1" applyAlignment="1">
      <alignment horizontal="right" vertical="top"/>
    </xf>
    <xf numFmtId="43" fontId="11" fillId="0" borderId="1" xfId="1" applyFont="1" applyFill="1" applyBorder="1" applyAlignment="1">
      <alignment horizontal="right" vertical="center" shrinkToFit="1"/>
    </xf>
    <xf numFmtId="43" fontId="11" fillId="0" borderId="0" xfId="1" applyFont="1" applyBorder="1" applyAlignment="1">
      <alignment horizontal="center" vertical="center"/>
    </xf>
    <xf numFmtId="43" fontId="11" fillId="0" borderId="24" xfId="1" applyFont="1" applyBorder="1" applyAlignment="1">
      <alignment horizontal="center" vertical="center"/>
    </xf>
    <xf numFmtId="43" fontId="14" fillId="11" borderId="5" xfId="1" applyFont="1" applyFill="1" applyBorder="1" applyAlignment="1">
      <alignment horizontal="center" vertical="center"/>
    </xf>
    <xf numFmtId="43" fontId="14" fillId="11" borderId="7" xfId="1" applyFont="1" applyFill="1" applyBorder="1" applyAlignment="1">
      <alignment horizontal="center" vertical="center"/>
    </xf>
    <xf numFmtId="43" fontId="14" fillId="11" borderId="26" xfId="1" applyFont="1" applyFill="1" applyBorder="1" applyAlignment="1">
      <alignment horizontal="center" vertical="center"/>
    </xf>
    <xf numFmtId="43" fontId="14" fillId="11" borderId="25" xfId="1" applyFont="1" applyFill="1" applyBorder="1" applyAlignment="1">
      <alignment horizontal="center" vertical="center"/>
    </xf>
    <xf numFmtId="43" fontId="14" fillId="11" borderId="13" xfId="1" applyFont="1" applyFill="1" applyBorder="1" applyAlignment="1">
      <alignment horizontal="center" vertical="center"/>
    </xf>
    <xf numFmtId="43" fontId="14" fillId="11" borderId="21" xfId="1" applyFont="1" applyFill="1" applyBorder="1" applyAlignment="1">
      <alignment horizontal="center" vertical="center"/>
    </xf>
    <xf numFmtId="43" fontId="14" fillId="11" borderId="4" xfId="1" applyFont="1" applyFill="1" applyBorder="1" applyAlignment="1">
      <alignment horizontal="center" vertical="center"/>
    </xf>
    <xf numFmtId="43" fontId="14" fillId="11" borderId="12" xfId="1" applyFont="1" applyFill="1" applyBorder="1" applyAlignment="1">
      <alignment horizontal="center" vertical="center"/>
    </xf>
    <xf numFmtId="43" fontId="14" fillId="11" borderId="6" xfId="1" applyFont="1" applyFill="1" applyBorder="1" applyAlignment="1">
      <alignment horizontal="center" vertical="center"/>
    </xf>
    <xf numFmtId="43" fontId="14" fillId="11" borderId="8" xfId="1" applyFont="1" applyFill="1" applyBorder="1" applyAlignment="1">
      <alignment horizontal="center" vertical="center" wrapText="1"/>
    </xf>
    <xf numFmtId="43" fontId="14" fillId="11" borderId="10" xfId="1" applyFont="1" applyFill="1" applyBorder="1" applyAlignment="1">
      <alignment horizontal="center" vertical="center" wrapText="1"/>
    </xf>
    <xf numFmtId="43" fontId="14" fillId="11" borderId="3" xfId="1" applyFont="1" applyFill="1" applyBorder="1" applyAlignment="1">
      <alignment horizontal="center" vertical="center" wrapText="1"/>
    </xf>
    <xf numFmtId="43" fontId="16" fillId="0" borderId="5" xfId="0" applyNumberFormat="1" applyFont="1" applyBorder="1" applyAlignment="1">
      <alignment horizontal="center" vertical="center"/>
    </xf>
    <xf numFmtId="43" fontId="16" fillId="0" borderId="13" xfId="0" applyNumberFormat="1" applyFont="1" applyBorder="1" applyAlignment="1">
      <alignment horizontal="center" vertical="center"/>
    </xf>
    <xf numFmtId="43" fontId="32" fillId="6" borderId="58" xfId="0" applyNumberFormat="1" applyFont="1" applyFill="1" applyBorder="1" applyAlignment="1">
      <alignment horizontal="center" vertical="center"/>
    </xf>
    <xf numFmtId="43" fontId="32" fillId="6" borderId="16" xfId="0" applyNumberFormat="1" applyFont="1" applyFill="1" applyBorder="1" applyAlignment="1">
      <alignment horizontal="center" vertical="center"/>
    </xf>
    <xf numFmtId="43" fontId="32" fillId="6" borderId="57" xfId="0" applyNumberFormat="1" applyFont="1" applyFill="1" applyBorder="1" applyAlignment="1">
      <alignment horizontal="center" vertical="center"/>
    </xf>
    <xf numFmtId="43" fontId="32" fillId="6" borderId="14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43" fontId="16" fillId="0" borderId="8" xfId="1" applyFont="1" applyBorder="1" applyAlignment="1">
      <alignment horizontal="center" vertical="center"/>
    </xf>
    <xf numFmtId="43" fontId="16" fillId="0" borderId="3" xfId="1" applyFont="1" applyBorder="1" applyAlignment="1">
      <alignment horizontal="center" vertical="center"/>
    </xf>
    <xf numFmtId="43" fontId="16" fillId="0" borderId="5" xfId="1" applyFont="1" applyBorder="1" applyAlignment="1">
      <alignment horizontal="center" vertical="center"/>
    </xf>
    <xf numFmtId="43" fontId="16" fillId="0" borderId="13" xfId="1" applyFont="1" applyBorder="1" applyAlignment="1">
      <alignment horizontal="center" vertical="center"/>
    </xf>
    <xf numFmtId="43" fontId="32" fillId="6" borderId="58" xfId="1" applyFont="1" applyFill="1" applyBorder="1" applyAlignment="1">
      <alignment horizontal="center" vertical="center"/>
    </xf>
    <xf numFmtId="43" fontId="32" fillId="6" borderId="16" xfId="1" applyFont="1" applyFill="1" applyBorder="1" applyAlignment="1">
      <alignment horizontal="center" vertical="center"/>
    </xf>
    <xf numFmtId="43" fontId="32" fillId="6" borderId="57" xfId="1" applyFont="1" applyFill="1" applyBorder="1" applyAlignment="1">
      <alignment horizontal="center" vertical="center"/>
    </xf>
    <xf numFmtId="43" fontId="32" fillId="6" borderId="14" xfId="1" applyFont="1" applyFill="1" applyBorder="1" applyAlignment="1">
      <alignment horizontal="center" vertical="center"/>
    </xf>
    <xf numFmtId="43" fontId="16" fillId="0" borderId="7" xfId="1" applyFont="1" applyBorder="1" applyAlignment="1">
      <alignment horizontal="center" vertical="center"/>
    </xf>
    <xf numFmtId="43" fontId="16" fillId="0" borderId="21" xfId="1" applyFont="1" applyBorder="1" applyAlignment="1">
      <alignment horizontal="center" vertical="center"/>
    </xf>
    <xf numFmtId="43" fontId="16" fillId="0" borderId="4" xfId="1" applyFont="1" applyBorder="1" applyAlignment="1">
      <alignment horizontal="center" vertical="top"/>
    </xf>
    <xf numFmtId="43" fontId="16" fillId="0" borderId="6" xfId="1" applyFont="1" applyBorder="1" applyAlignment="1">
      <alignment horizontal="center" vertical="top"/>
    </xf>
    <xf numFmtId="43" fontId="16" fillId="0" borderId="1" xfId="1" applyFont="1" applyBorder="1" applyAlignment="1">
      <alignment horizontal="center"/>
    </xf>
    <xf numFmtId="0" fontId="16" fillId="0" borderId="1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right" vertical="center"/>
    </xf>
    <xf numFmtId="43" fontId="13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13" fillId="49" borderId="1" xfId="0" applyFont="1" applyFill="1" applyBorder="1" applyAlignment="1">
      <alignment horizontal="left"/>
    </xf>
    <xf numFmtId="0" fontId="13" fillId="6" borderId="4" xfId="0" applyFont="1" applyFill="1" applyBorder="1" applyAlignment="1">
      <alignment horizontal="center"/>
    </xf>
    <xf numFmtId="0" fontId="13" fillId="6" borderId="12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43" fontId="14" fillId="0" borderId="12" xfId="0" applyNumberFormat="1" applyFont="1" applyBorder="1" applyAlignment="1">
      <alignment horizontal="center" shrinkToFit="1"/>
    </xf>
    <xf numFmtId="43" fontId="14" fillId="0" borderId="6" xfId="0" applyNumberFormat="1" applyFont="1" applyBorder="1" applyAlignment="1">
      <alignment horizontal="center" shrinkToFit="1"/>
    </xf>
    <xf numFmtId="43" fontId="16" fillId="0" borderId="8" xfId="0" applyNumberFormat="1" applyFont="1" applyBorder="1" applyAlignment="1">
      <alignment horizontal="center" vertical="center"/>
    </xf>
    <xf numFmtId="43" fontId="16" fillId="0" borderId="3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43" fontId="16" fillId="0" borderId="7" xfId="0" applyNumberFormat="1" applyFont="1" applyBorder="1" applyAlignment="1">
      <alignment horizontal="center" vertical="center"/>
    </xf>
    <xf numFmtId="43" fontId="16" fillId="0" borderId="21" xfId="0" applyNumberFormat="1" applyFont="1" applyBorder="1" applyAlignment="1">
      <alignment horizontal="center" vertical="center"/>
    </xf>
    <xf numFmtId="0" fontId="11" fillId="6" borderId="17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43" fontId="11" fillId="0" borderId="24" xfId="0" applyNumberFormat="1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4" fillId="0" borderId="15" xfId="0" applyFont="1" applyFill="1" applyBorder="1" applyAlignment="1">
      <alignment horizontal="center" vertical="center"/>
    </xf>
    <xf numFmtId="43" fontId="13" fillId="0" borderId="0" xfId="1" applyFont="1" applyBorder="1" applyAlignment="1">
      <alignment horizontal="center" vertical="center"/>
    </xf>
    <xf numFmtId="43" fontId="117" fillId="0" borderId="1" xfId="1" applyFont="1" applyFill="1" applyBorder="1" applyAlignment="1">
      <alignment horizontal="right" vertical="center" shrinkToFit="1"/>
    </xf>
    <xf numFmtId="43" fontId="14" fillId="0" borderId="1" xfId="1" applyFont="1" applyFill="1" applyBorder="1" applyAlignment="1">
      <alignment horizontal="right" vertical="center" shrinkToFit="1"/>
    </xf>
    <xf numFmtId="43" fontId="13" fillId="0" borderId="24" xfId="1" applyFont="1" applyBorder="1" applyAlignment="1">
      <alignment horizontal="center" vertical="center"/>
    </xf>
    <xf numFmtId="0" fontId="14" fillId="0" borderId="1" xfId="1" applyNumberFormat="1" applyFont="1" applyBorder="1" applyAlignment="1">
      <alignment vertical="top" wrapText="1"/>
    </xf>
    <xf numFmtId="43" fontId="14" fillId="11" borderId="8" xfId="1" applyFont="1" applyFill="1" applyBorder="1" applyAlignment="1">
      <alignment horizontal="center" vertical="top" wrapText="1"/>
    </xf>
    <xf numFmtId="43" fontId="14" fillId="11" borderId="10" xfId="1" applyFont="1" applyFill="1" applyBorder="1" applyAlignment="1">
      <alignment horizontal="center" vertical="top" wrapText="1"/>
    </xf>
    <xf numFmtId="43" fontId="14" fillId="11" borderId="3" xfId="1" applyFont="1" applyFill="1" applyBorder="1" applyAlignment="1">
      <alignment horizontal="center" vertical="top" wrapText="1"/>
    </xf>
    <xf numFmtId="0" fontId="12" fillId="0" borderId="1" xfId="1" applyNumberFormat="1" applyFont="1" applyBorder="1" applyAlignment="1">
      <alignment horizontal="left" vertical="center" wrapText="1"/>
    </xf>
    <xf numFmtId="0" fontId="14" fillId="0" borderId="1" xfId="1" applyNumberFormat="1" applyFont="1" applyFill="1" applyBorder="1" applyAlignment="1">
      <alignment vertical="center" wrapText="1"/>
    </xf>
    <xf numFmtId="43" fontId="43" fillId="0" borderId="0" xfId="0" applyNumberFormat="1" applyFont="1" applyBorder="1" applyAlignment="1">
      <alignment horizontal="center" vertical="top"/>
    </xf>
    <xf numFmtId="0" fontId="43" fillId="0" borderId="0" xfId="0" applyFont="1" applyBorder="1" applyAlignment="1">
      <alignment horizontal="center" vertical="top"/>
    </xf>
    <xf numFmtId="43" fontId="43" fillId="0" borderId="24" xfId="0" applyNumberFormat="1" applyFont="1" applyBorder="1" applyAlignment="1">
      <alignment horizontal="center" vertical="top"/>
    </xf>
    <xf numFmtId="43" fontId="14" fillId="0" borderId="0" xfId="1" applyFont="1" applyBorder="1" applyAlignment="1">
      <alignment horizontal="left" vertical="top" wrapText="1" shrinkToFit="1"/>
    </xf>
    <xf numFmtId="0" fontId="11" fillId="0" borderId="23" xfId="1" applyNumberFormat="1" applyFont="1" applyBorder="1" applyAlignment="1">
      <alignment horizontal="left" vertical="top" shrinkToFit="1"/>
    </xf>
    <xf numFmtId="0" fontId="43" fillId="0" borderId="1" xfId="0" applyFont="1" applyBorder="1" applyAlignment="1">
      <alignment horizontal="right" vertical="center" shrinkToFit="1"/>
    </xf>
    <xf numFmtId="0" fontId="37" fillId="11" borderId="1" xfId="0" applyFont="1" applyFill="1" applyBorder="1" applyAlignment="1">
      <alignment horizontal="center" vertical="center" shrinkToFit="1"/>
    </xf>
    <xf numFmtId="0" fontId="37" fillId="11" borderId="1" xfId="0" applyFont="1" applyFill="1" applyBorder="1" applyAlignment="1">
      <alignment horizontal="center" vertical="top" shrinkToFit="1"/>
    </xf>
    <xf numFmtId="0" fontId="37" fillId="11" borderId="1" xfId="0" applyFont="1" applyFill="1" applyBorder="1" applyAlignment="1">
      <alignment horizontal="center" vertical="center" wrapText="1"/>
    </xf>
    <xf numFmtId="0" fontId="14" fillId="0" borderId="0" xfId="1" applyNumberFormat="1" applyFont="1" applyBorder="1" applyAlignment="1">
      <alignment horizontal="left" vertical="top" shrinkToFit="1"/>
    </xf>
    <xf numFmtId="43" fontId="28" fillId="11" borderId="4" xfId="1" applyFont="1" applyFill="1" applyBorder="1" applyAlignment="1">
      <alignment horizontal="center" vertical="center" shrinkToFit="1"/>
    </xf>
    <xf numFmtId="43" fontId="28" fillId="11" borderId="12" xfId="1" applyFont="1" applyFill="1" applyBorder="1" applyAlignment="1">
      <alignment horizontal="center" vertical="center" shrinkToFit="1"/>
    </xf>
    <xf numFmtId="43" fontId="28" fillId="11" borderId="6" xfId="1" applyFont="1" applyFill="1" applyBorder="1" applyAlignment="1">
      <alignment horizontal="center" vertical="center" shrinkToFit="1"/>
    </xf>
    <xf numFmtId="0" fontId="37" fillId="14" borderId="1" xfId="0" applyFont="1" applyFill="1" applyBorder="1" applyAlignment="1">
      <alignment horizontal="center" vertical="top"/>
    </xf>
    <xf numFmtId="0" fontId="37" fillId="14" borderId="8" xfId="0" applyFont="1" applyFill="1" applyBorder="1" applyAlignment="1">
      <alignment horizontal="center" vertical="center"/>
    </xf>
    <xf numFmtId="0" fontId="37" fillId="14" borderId="3" xfId="0" applyFont="1" applyFill="1" applyBorder="1" applyAlignment="1">
      <alignment horizontal="center" vertical="center"/>
    </xf>
    <xf numFmtId="0" fontId="37" fillId="14" borderId="8" xfId="0" applyFont="1" applyFill="1" applyBorder="1" applyAlignment="1">
      <alignment horizontal="center" vertical="top"/>
    </xf>
    <xf numFmtId="0" fontId="37" fillId="14" borderId="3" xfId="0" applyFont="1" applyFill="1" applyBorder="1" applyAlignment="1">
      <alignment horizontal="center" vertical="top"/>
    </xf>
    <xf numFmtId="49" fontId="37" fillId="14" borderId="8" xfId="0" applyNumberFormat="1" applyFont="1" applyFill="1" applyBorder="1" applyAlignment="1">
      <alignment horizontal="center" vertical="top"/>
    </xf>
    <xf numFmtId="49" fontId="37" fillId="14" borderId="3" xfId="0" applyNumberFormat="1" applyFont="1" applyFill="1" applyBorder="1" applyAlignment="1">
      <alignment horizontal="center" vertical="top"/>
    </xf>
    <xf numFmtId="0" fontId="37" fillId="14" borderId="8" xfId="0" applyFont="1" applyFill="1" applyBorder="1" applyAlignment="1">
      <alignment horizontal="center" vertical="center" wrapText="1"/>
    </xf>
    <xf numFmtId="0" fontId="37" fillId="14" borderId="3" xfId="0" applyFont="1" applyFill="1" applyBorder="1" applyAlignment="1">
      <alignment horizontal="center" vertical="center" wrapText="1"/>
    </xf>
    <xf numFmtId="0" fontId="118" fillId="0" borderId="1" xfId="0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right" vertical="center"/>
    </xf>
    <xf numFmtId="43" fontId="37" fillId="14" borderId="8" xfId="1" applyFont="1" applyFill="1" applyBorder="1" applyAlignment="1">
      <alignment horizontal="center" vertical="center"/>
    </xf>
    <xf numFmtId="43" fontId="37" fillId="14" borderId="3" xfId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right" vertical="top"/>
    </xf>
    <xf numFmtId="0" fontId="36" fillId="0" borderId="4" xfId="0" applyFont="1" applyFill="1" applyBorder="1" applyAlignment="1">
      <alignment horizontal="left" vertical="top" wrapText="1"/>
    </xf>
    <xf numFmtId="0" fontId="36" fillId="0" borderId="12" xfId="0" applyFont="1" applyFill="1" applyBorder="1" applyAlignment="1">
      <alignment horizontal="left" vertical="top" wrapText="1"/>
    </xf>
    <xf numFmtId="0" fontId="36" fillId="0" borderId="6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 shrinkToFit="1"/>
    </xf>
    <xf numFmtId="43" fontId="90" fillId="4" borderId="17" xfId="0" applyNumberFormat="1" applyFont="1" applyFill="1" applyBorder="1" applyAlignment="1">
      <alignment horizontal="center" vertical="center"/>
    </xf>
    <xf numFmtId="43" fontId="90" fillId="4" borderId="1" xfId="0" applyNumberFormat="1" applyFont="1" applyFill="1" applyBorder="1" applyAlignment="1">
      <alignment horizontal="center" vertical="center"/>
    </xf>
    <xf numFmtId="43" fontId="90" fillId="4" borderId="15" xfId="0" applyNumberFormat="1" applyFont="1" applyFill="1" applyBorder="1" applyAlignment="1">
      <alignment horizontal="center" vertical="center"/>
    </xf>
    <xf numFmtId="43" fontId="90" fillId="4" borderId="6" xfId="0" applyNumberFormat="1" applyFont="1" applyFill="1" applyBorder="1" applyAlignment="1">
      <alignment horizontal="center" vertical="center"/>
    </xf>
    <xf numFmtId="0" fontId="19" fillId="8" borderId="18" xfId="0" applyFont="1" applyFill="1" applyBorder="1" applyAlignment="1">
      <alignment horizontal="center" vertical="center" shrinkToFit="1"/>
    </xf>
    <xf numFmtId="0" fontId="13" fillId="8" borderId="36" xfId="0" applyFont="1" applyFill="1" applyBorder="1" applyAlignment="1">
      <alignment horizontal="right" vertical="center" shrinkToFit="1"/>
    </xf>
    <xf numFmtId="0" fontId="13" fillId="8" borderId="37" xfId="0" applyFont="1" applyFill="1" applyBorder="1" applyAlignment="1">
      <alignment horizontal="right" vertical="center" shrinkToFit="1"/>
    </xf>
    <xf numFmtId="0" fontId="13" fillId="8" borderId="38" xfId="0" applyFont="1" applyFill="1" applyBorder="1" applyAlignment="1">
      <alignment horizontal="right" vertical="center" shrinkToFit="1"/>
    </xf>
    <xf numFmtId="0" fontId="90" fillId="4" borderId="1" xfId="0" applyFont="1" applyFill="1" applyBorder="1" applyAlignment="1">
      <alignment horizontal="center" vertical="center"/>
    </xf>
    <xf numFmtId="43" fontId="90" fillId="4" borderId="4" xfId="0" applyNumberFormat="1" applyFont="1" applyFill="1" applyBorder="1" applyAlignment="1">
      <alignment horizontal="center" vertical="center"/>
    </xf>
    <xf numFmtId="43" fontId="90" fillId="4" borderId="12" xfId="0" applyNumberFormat="1" applyFont="1" applyFill="1" applyBorder="1" applyAlignment="1">
      <alignment horizontal="center" vertical="center"/>
    </xf>
    <xf numFmtId="43" fontId="90" fillId="4" borderId="28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43" fontId="1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43" fontId="11" fillId="0" borderId="24" xfId="0" applyNumberFormat="1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 shrinkToFit="1"/>
    </xf>
    <xf numFmtId="0" fontId="13" fillId="6" borderId="34" xfId="0" applyFont="1" applyFill="1" applyBorder="1" applyAlignment="1">
      <alignment horizontal="center" vertical="center" shrinkToFit="1"/>
    </xf>
    <xf numFmtId="0" fontId="13" fillId="6" borderId="35" xfId="0" applyFont="1" applyFill="1" applyBorder="1" applyAlignment="1">
      <alignment horizontal="center" vertical="center" shrinkToFit="1"/>
    </xf>
    <xf numFmtId="0" fontId="87" fillId="6" borderId="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center" shrinkToFit="1"/>
    </xf>
    <xf numFmtId="0" fontId="23" fillId="0" borderId="6" xfId="0" applyFont="1" applyFill="1" applyBorder="1" applyAlignment="1">
      <alignment horizontal="left" vertical="center" shrinkToFit="1"/>
    </xf>
    <xf numFmtId="0" fontId="15" fillId="5" borderId="29" xfId="0" applyFont="1" applyFill="1" applyBorder="1" applyAlignment="1">
      <alignment horizontal="center" vertical="center" shrinkToFit="1"/>
    </xf>
    <xf numFmtId="0" fontId="15" fillId="5" borderId="30" xfId="0" applyFont="1" applyFill="1" applyBorder="1" applyAlignment="1">
      <alignment horizontal="center" vertical="center" shrinkToFit="1"/>
    </xf>
    <xf numFmtId="0" fontId="15" fillId="5" borderId="31" xfId="0" applyFont="1" applyFill="1" applyBorder="1" applyAlignment="1">
      <alignment horizontal="center" vertical="center" shrinkToFit="1"/>
    </xf>
    <xf numFmtId="43" fontId="17" fillId="5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0" fontId="14" fillId="4" borderId="40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/>
    </xf>
    <xf numFmtId="43" fontId="13" fillId="0" borderId="24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shrinkToFit="1"/>
    </xf>
    <xf numFmtId="0" fontId="14" fillId="4" borderId="29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shrinkToFit="1"/>
    </xf>
    <xf numFmtId="0" fontId="40" fillId="0" borderId="22" xfId="0" applyFont="1" applyFill="1" applyBorder="1" applyAlignment="1">
      <alignment horizontal="left" shrinkToFit="1"/>
    </xf>
    <xf numFmtId="0" fontId="14" fillId="0" borderId="33" xfId="0" applyFont="1" applyFill="1" applyBorder="1" applyAlignment="1">
      <alignment horizontal="center" vertical="center" shrinkToFit="1"/>
    </xf>
    <xf numFmtId="0" fontId="14" fillId="0" borderId="34" xfId="0" applyFont="1" applyFill="1" applyBorder="1" applyAlignment="1">
      <alignment horizontal="center" vertical="center" shrinkToFit="1"/>
    </xf>
    <xf numFmtId="0" fontId="14" fillId="0" borderId="35" xfId="0" applyFont="1" applyFill="1" applyBorder="1" applyAlignment="1">
      <alignment horizontal="center" vertical="center" shrinkToFit="1"/>
    </xf>
    <xf numFmtId="43" fontId="13" fillId="4" borderId="1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24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shrinkToFit="1"/>
    </xf>
    <xf numFmtId="0" fontId="43" fillId="0" borderId="4" xfId="0" applyFont="1" applyFill="1" applyBorder="1" applyAlignment="1">
      <alignment horizontal="right" vertical="center"/>
    </xf>
    <xf numFmtId="0" fontId="43" fillId="0" borderId="12" xfId="0" applyFont="1" applyFill="1" applyBorder="1" applyAlignment="1">
      <alignment horizontal="right" vertical="center"/>
    </xf>
    <xf numFmtId="0" fontId="43" fillId="0" borderId="6" xfId="0" applyFont="1" applyFill="1" applyBorder="1" applyAlignment="1">
      <alignment horizontal="right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43" fontId="37" fillId="0" borderId="8" xfId="1" applyFont="1" applyFill="1" applyBorder="1" applyAlignment="1">
      <alignment horizontal="center" vertical="center"/>
    </xf>
    <xf numFmtId="43" fontId="37" fillId="0" borderId="3" xfId="1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/>
    </xf>
    <xf numFmtId="0" fontId="43" fillId="0" borderId="24" xfId="0" applyFont="1" applyFill="1" applyBorder="1" applyAlignment="1">
      <alignment horizontal="center"/>
    </xf>
    <xf numFmtId="0" fontId="37" fillId="0" borderId="4" xfId="0" applyFont="1" applyFill="1" applyBorder="1" applyAlignment="1">
      <alignment horizontal="right" vertical="top"/>
    </xf>
    <xf numFmtId="0" fontId="37" fillId="0" borderId="12" xfId="0" applyFont="1" applyFill="1" applyBorder="1" applyAlignment="1">
      <alignment horizontal="right" vertical="top"/>
    </xf>
    <xf numFmtId="0" fontId="37" fillId="0" borderId="6" xfId="0" applyFont="1" applyFill="1" applyBorder="1" applyAlignment="1">
      <alignment horizontal="right" vertical="top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 shrinkToFi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55" fillId="0" borderId="4" xfId="0" applyFont="1" applyBorder="1" applyAlignment="1">
      <alignment horizontal="right" vertical="top"/>
    </xf>
    <xf numFmtId="0" fontId="55" fillId="0" borderId="12" xfId="0" applyFont="1" applyBorder="1" applyAlignment="1">
      <alignment horizontal="right" vertical="top"/>
    </xf>
    <xf numFmtId="0" fontId="55" fillId="0" borderId="6" xfId="0" applyFont="1" applyBorder="1" applyAlignment="1">
      <alignment horizontal="right" vertical="top"/>
    </xf>
    <xf numFmtId="0" fontId="56" fillId="0" borderId="4" xfId="0" applyFont="1" applyBorder="1" applyAlignment="1">
      <alignment horizontal="right" vertical="top"/>
    </xf>
    <xf numFmtId="0" fontId="56" fillId="0" borderId="12" xfId="0" applyFont="1" applyBorder="1" applyAlignment="1">
      <alignment horizontal="right" vertical="top"/>
    </xf>
    <xf numFmtId="0" fontId="56" fillId="0" borderId="6" xfId="0" applyFont="1" applyBorder="1" applyAlignment="1">
      <alignment horizontal="right" vertical="top"/>
    </xf>
    <xf numFmtId="0" fontId="55" fillId="0" borderId="8" xfId="0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50" fillId="0" borderId="0" xfId="0" applyFont="1" applyAlignment="1">
      <alignment horizontal="center"/>
    </xf>
    <xf numFmtId="0" fontId="50" fillId="0" borderId="24" xfId="0" applyFont="1" applyBorder="1" applyAlignment="1">
      <alignment horizontal="center"/>
    </xf>
    <xf numFmtId="0" fontId="56" fillId="0" borderId="0" xfId="0" applyFont="1" applyAlignment="1">
      <alignment horizontal="center"/>
    </xf>
    <xf numFmtId="0" fontId="56" fillId="0" borderId="24" xfId="0" applyFont="1" applyBorder="1" applyAlignment="1">
      <alignment horizontal="center"/>
    </xf>
    <xf numFmtId="0" fontId="55" fillId="0" borderId="1" xfId="0" applyFont="1" applyBorder="1" applyAlignment="1">
      <alignment horizontal="center" vertical="center"/>
    </xf>
    <xf numFmtId="49" fontId="55" fillId="0" borderId="1" xfId="0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 shrinkToFit="1"/>
    </xf>
    <xf numFmtId="43" fontId="57" fillId="0" borderId="0" xfId="1" applyFont="1" applyBorder="1" applyAlignment="1">
      <alignment horizontal="center"/>
    </xf>
    <xf numFmtId="0" fontId="46" fillId="0" borderId="0" xfId="0" applyFont="1" applyFill="1" applyAlignment="1">
      <alignment horizontal="center" vertical="center"/>
    </xf>
    <xf numFmtId="43" fontId="46" fillId="0" borderId="24" xfId="0" applyNumberFormat="1" applyFont="1" applyFill="1" applyBorder="1" applyAlignment="1">
      <alignment horizontal="center" vertical="center"/>
    </xf>
    <xf numFmtId="0" fontId="43" fillId="12" borderId="8" xfId="0" applyFont="1" applyFill="1" applyBorder="1" applyAlignment="1">
      <alignment horizontal="center" vertical="center" shrinkToFit="1"/>
    </xf>
    <xf numFmtId="0" fontId="43" fillId="12" borderId="10" xfId="0" applyFont="1" applyFill="1" applyBorder="1" applyAlignment="1">
      <alignment horizontal="center" vertical="center" shrinkToFit="1"/>
    </xf>
    <xf numFmtId="0" fontId="43" fillId="12" borderId="3" xfId="0" applyFont="1" applyFill="1" applyBorder="1" applyAlignment="1">
      <alignment horizontal="center" vertical="center" shrinkToFit="1"/>
    </xf>
    <xf numFmtId="0" fontId="32" fillId="13" borderId="1" xfId="0" applyFont="1" applyFill="1" applyBorder="1" applyAlignment="1">
      <alignment horizontal="center" vertical="center" shrinkToFit="1"/>
    </xf>
    <xf numFmtId="0" fontId="43" fillId="12" borderId="1" xfId="0" applyFont="1" applyFill="1" applyBorder="1" applyAlignment="1">
      <alignment horizontal="center" vertical="center" shrinkToFit="1"/>
    </xf>
    <xf numFmtId="0" fontId="43" fillId="12" borderId="4" xfId="0" applyFont="1" applyFill="1" applyBorder="1" applyAlignment="1">
      <alignment horizontal="center" vertical="center" shrinkToFit="1"/>
    </xf>
    <xf numFmtId="0" fontId="43" fillId="12" borderId="6" xfId="0" applyFont="1" applyFill="1" applyBorder="1" applyAlignment="1">
      <alignment horizontal="center" vertical="center" shrinkToFit="1"/>
    </xf>
    <xf numFmtId="43" fontId="45" fillId="0" borderId="4" xfId="1" applyFont="1" applyFill="1" applyBorder="1" applyAlignment="1">
      <alignment horizontal="center" vertical="center" shrinkToFit="1"/>
    </xf>
    <xf numFmtId="43" fontId="45" fillId="0" borderId="6" xfId="1" applyFont="1" applyFill="1" applyBorder="1" applyAlignment="1">
      <alignment horizontal="center" vertical="center" shrinkToFit="1"/>
    </xf>
    <xf numFmtId="43" fontId="88" fillId="12" borderId="4" xfId="1" applyFont="1" applyFill="1" applyBorder="1" applyAlignment="1">
      <alignment horizontal="center" vertical="center" shrinkToFit="1"/>
    </xf>
    <xf numFmtId="43" fontId="88" fillId="12" borderId="12" xfId="1" applyFont="1" applyFill="1" applyBorder="1" applyAlignment="1">
      <alignment horizontal="center" vertical="center" shrinkToFit="1"/>
    </xf>
    <xf numFmtId="43" fontId="88" fillId="12" borderId="6" xfId="1" applyFont="1" applyFill="1" applyBorder="1" applyAlignment="1">
      <alignment horizontal="center" vertical="center" shrinkToFit="1"/>
    </xf>
    <xf numFmtId="0" fontId="44" fillId="5" borderId="4" xfId="0" applyFont="1" applyFill="1" applyBorder="1" applyAlignment="1">
      <alignment horizontal="center" vertical="center"/>
    </xf>
    <xf numFmtId="0" fontId="44" fillId="5" borderId="12" xfId="0" applyFont="1" applyFill="1" applyBorder="1" applyAlignment="1">
      <alignment horizontal="center" vertical="center"/>
    </xf>
    <xf numFmtId="0" fontId="44" fillId="5" borderId="6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 vertical="center" shrinkToFit="1"/>
    </xf>
    <xf numFmtId="0" fontId="45" fillId="0" borderId="0" xfId="0" applyFont="1" applyFill="1" applyAlignment="1">
      <alignment horizontal="left" vertical="center" shrinkToFit="1"/>
    </xf>
    <xf numFmtId="0" fontId="16" fillId="0" borderId="12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43" fillId="0" borderId="4" xfId="0" applyFont="1" applyFill="1" applyBorder="1" applyAlignment="1">
      <alignment horizontal="left" vertical="center"/>
    </xf>
    <xf numFmtId="0" fontId="43" fillId="0" borderId="12" xfId="0" applyFont="1" applyFill="1" applyBorder="1" applyAlignment="1">
      <alignment horizontal="left" vertical="center"/>
    </xf>
    <xf numFmtId="0" fontId="45" fillId="0" borderId="4" xfId="0" applyFont="1" applyFill="1" applyBorder="1" applyAlignment="1">
      <alignment horizontal="right" vertical="center"/>
    </xf>
    <xf numFmtId="0" fontId="45" fillId="0" borderId="12" xfId="0" applyFont="1" applyFill="1" applyBorder="1" applyAlignment="1">
      <alignment horizontal="right" vertical="center"/>
    </xf>
    <xf numFmtId="0" fontId="45" fillId="0" borderId="6" xfId="0" applyFont="1" applyFill="1" applyBorder="1" applyAlignment="1">
      <alignment horizontal="right" vertical="center"/>
    </xf>
    <xf numFmtId="43" fontId="84" fillId="10" borderId="4" xfId="1" applyFont="1" applyFill="1" applyBorder="1" applyAlignment="1">
      <alignment horizontal="center" vertical="top"/>
    </xf>
    <xf numFmtId="43" fontId="84" fillId="10" borderId="12" xfId="1" applyFont="1" applyFill="1" applyBorder="1" applyAlignment="1">
      <alignment horizontal="center" vertical="top"/>
    </xf>
    <xf numFmtId="43" fontId="84" fillId="10" borderId="6" xfId="1" applyFont="1" applyFill="1" applyBorder="1" applyAlignment="1">
      <alignment horizontal="center" vertical="top"/>
    </xf>
    <xf numFmtId="43" fontId="81" fillId="0" borderId="0" xfId="1" applyFont="1" applyBorder="1" applyAlignment="1">
      <alignment horizontal="left" vertical="top" wrapText="1" shrinkToFit="1"/>
    </xf>
    <xf numFmtId="43" fontId="56" fillId="0" borderId="4" xfId="1" applyFont="1" applyFill="1" applyBorder="1" applyAlignment="1">
      <alignment horizontal="right" vertical="top"/>
    </xf>
    <xf numFmtId="43" fontId="56" fillId="0" borderId="12" xfId="1" applyFont="1" applyFill="1" applyBorder="1" applyAlignment="1">
      <alignment horizontal="right" vertical="top"/>
    </xf>
    <xf numFmtId="43" fontId="56" fillId="0" borderId="6" xfId="1" applyFont="1" applyFill="1" applyBorder="1" applyAlignment="1">
      <alignment horizontal="right" vertical="top"/>
    </xf>
    <xf numFmtId="43" fontId="56" fillId="0" borderId="4" xfId="1" applyFont="1" applyFill="1" applyBorder="1" applyAlignment="1">
      <alignment horizontal="center" vertical="top"/>
    </xf>
    <xf numFmtId="43" fontId="56" fillId="0" borderId="12" xfId="1" applyFont="1" applyFill="1" applyBorder="1" applyAlignment="1">
      <alignment horizontal="center" vertical="top"/>
    </xf>
    <xf numFmtId="43" fontId="56" fillId="0" borderId="6" xfId="1" applyFont="1" applyFill="1" applyBorder="1" applyAlignment="1">
      <alignment horizontal="center" vertical="top"/>
    </xf>
    <xf numFmtId="43" fontId="56" fillId="0" borderId="4" xfId="1" applyFont="1" applyFill="1" applyBorder="1" applyAlignment="1">
      <alignment horizontal="left" vertical="top" wrapText="1"/>
    </xf>
    <xf numFmtId="43" fontId="56" fillId="0" borderId="6" xfId="1" applyFont="1" applyFill="1" applyBorder="1" applyAlignment="1">
      <alignment horizontal="left" vertical="top" wrapText="1"/>
    </xf>
    <xf numFmtId="43" fontId="56" fillId="0" borderId="0" xfId="1" applyFont="1" applyBorder="1" applyAlignment="1">
      <alignment horizontal="left" vertical="top" wrapText="1" shrinkToFit="1"/>
    </xf>
    <xf numFmtId="0" fontId="81" fillId="0" borderId="0" xfId="1" applyNumberFormat="1" applyFont="1" applyBorder="1" applyAlignment="1">
      <alignment horizontal="left" vertical="top" shrinkToFit="1"/>
    </xf>
    <xf numFmtId="43" fontId="81" fillId="0" borderId="0" xfId="1" applyFont="1" applyBorder="1" applyAlignment="1">
      <alignment horizontal="center" vertical="top"/>
    </xf>
    <xf numFmtId="43" fontId="81" fillId="0" borderId="24" xfId="1" applyFont="1" applyBorder="1" applyAlignment="1">
      <alignment horizontal="center" vertical="top"/>
    </xf>
    <xf numFmtId="0" fontId="56" fillId="0" borderId="5" xfId="1" applyNumberFormat="1" applyFont="1" applyFill="1" applyBorder="1" applyAlignment="1">
      <alignment horizontal="center" vertical="top"/>
    </xf>
    <xf numFmtId="0" fontId="56" fillId="0" borderId="26" xfId="1" applyNumberFormat="1" applyFont="1" applyFill="1" applyBorder="1" applyAlignment="1">
      <alignment horizontal="center" vertical="top"/>
    </xf>
    <xf numFmtId="43" fontId="56" fillId="0" borderId="1" xfId="1" applyFont="1" applyFill="1" applyBorder="1" applyAlignment="1">
      <alignment horizontal="center" vertical="center"/>
    </xf>
    <xf numFmtId="43" fontId="56" fillId="0" borderId="1" xfId="1" applyFont="1" applyFill="1" applyBorder="1" applyAlignment="1">
      <alignment horizontal="center" vertical="center" wrapText="1"/>
    </xf>
    <xf numFmtId="43" fontId="84" fillId="0" borderId="4" xfId="1" applyFont="1" applyFill="1" applyBorder="1" applyAlignment="1">
      <alignment horizontal="right" vertical="top"/>
    </xf>
    <xf numFmtId="43" fontId="84" fillId="0" borderId="12" xfId="1" applyFont="1" applyFill="1" applyBorder="1" applyAlignment="1">
      <alignment horizontal="right" vertical="top"/>
    </xf>
    <xf numFmtId="43" fontId="84" fillId="0" borderId="6" xfId="1" applyFont="1" applyFill="1" applyBorder="1" applyAlignment="1">
      <alignment horizontal="right" vertical="top"/>
    </xf>
    <xf numFmtId="0" fontId="55" fillId="0" borderId="0" xfId="0" applyFont="1" applyFill="1" applyAlignment="1">
      <alignment horizontal="center"/>
    </xf>
    <xf numFmtId="0" fontId="55" fillId="0" borderId="24" xfId="0" applyFont="1" applyFill="1" applyBorder="1" applyAlignment="1">
      <alignment horizontal="center"/>
    </xf>
    <xf numFmtId="0" fontId="55" fillId="0" borderId="4" xfId="0" applyFont="1" applyFill="1" applyBorder="1" applyAlignment="1">
      <alignment horizontal="right" vertical="top"/>
    </xf>
    <xf numFmtId="0" fontId="55" fillId="0" borderId="12" xfId="0" applyFont="1" applyFill="1" applyBorder="1" applyAlignment="1">
      <alignment horizontal="right" vertical="top"/>
    </xf>
    <xf numFmtId="0" fontId="55" fillId="0" borderId="6" xfId="0" applyFont="1" applyFill="1" applyBorder="1" applyAlignment="1">
      <alignment horizontal="right" vertical="top"/>
    </xf>
    <xf numFmtId="0" fontId="56" fillId="0" borderId="0" xfId="0" applyFont="1" applyFill="1" applyAlignment="1">
      <alignment horizontal="center"/>
    </xf>
    <xf numFmtId="0" fontId="56" fillId="0" borderId="24" xfId="0" applyFont="1" applyFill="1" applyBorder="1" applyAlignment="1">
      <alignment horizontal="center"/>
    </xf>
    <xf numFmtId="0" fontId="55" fillId="0" borderId="1" xfId="0" applyFont="1" applyFill="1" applyBorder="1" applyAlignment="1">
      <alignment horizontal="center" vertical="center"/>
    </xf>
    <xf numFmtId="49" fontId="55" fillId="0" borderId="1" xfId="0" applyNumberFormat="1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 shrinkToFit="1"/>
    </xf>
    <xf numFmtId="0" fontId="55" fillId="0" borderId="8" xfId="0" applyFont="1" applyFill="1" applyBorder="1" applyAlignment="1">
      <alignment horizontal="center" vertical="center"/>
    </xf>
    <xf numFmtId="0" fontId="55" fillId="0" borderId="3" xfId="0" applyFont="1" applyFill="1" applyBorder="1" applyAlignment="1">
      <alignment horizontal="center" vertical="center"/>
    </xf>
    <xf numFmtId="0" fontId="56" fillId="0" borderId="4" xfId="0" applyFont="1" applyFill="1" applyBorder="1" applyAlignment="1">
      <alignment horizontal="right" vertical="top"/>
    </xf>
    <xf numFmtId="0" fontId="56" fillId="0" borderId="12" xfId="0" applyFont="1" applyFill="1" applyBorder="1" applyAlignment="1">
      <alignment horizontal="right" vertical="top"/>
    </xf>
    <xf numFmtId="0" fontId="56" fillId="0" borderId="6" xfId="0" applyFont="1" applyFill="1" applyBorder="1" applyAlignment="1">
      <alignment horizontal="right" vertical="top"/>
    </xf>
    <xf numFmtId="43" fontId="55" fillId="0" borderId="8" xfId="1" applyFont="1" applyFill="1" applyBorder="1" applyAlignment="1">
      <alignment horizontal="center" vertical="center"/>
    </xf>
    <xf numFmtId="43" fontId="55" fillId="0" borderId="3" xfId="1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43" fontId="13" fillId="0" borderId="24" xfId="0" applyNumberFormat="1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4" fillId="6" borderId="3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43" fontId="13" fillId="0" borderId="1" xfId="1" applyFont="1" applyBorder="1" applyAlignment="1">
      <alignment horizontal="center"/>
    </xf>
    <xf numFmtId="0" fontId="13" fillId="49" borderId="0" xfId="0" applyFont="1" applyFill="1" applyBorder="1" applyAlignment="1">
      <alignment horizontal="left"/>
    </xf>
    <xf numFmtId="43" fontId="58" fillId="0" borderId="0" xfId="1" applyFont="1" applyAlignment="1">
      <alignment horizontal="center"/>
    </xf>
    <xf numFmtId="43" fontId="58" fillId="0" borderId="0" xfId="1" applyFont="1" applyBorder="1" applyAlignment="1">
      <alignment horizontal="center"/>
    </xf>
    <xf numFmtId="0" fontId="45" fillId="0" borderId="0" xfId="0" applyFont="1" applyFill="1" applyAlignment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43" fontId="45" fillId="0" borderId="0" xfId="1" applyFont="1" applyBorder="1" applyAlignment="1">
      <alignment horizontal="center"/>
    </xf>
    <xf numFmtId="0" fontId="37" fillId="7" borderId="1" xfId="0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right" vertical="center"/>
    </xf>
    <xf numFmtId="0" fontId="51" fillId="0" borderId="12" xfId="0" applyFont="1" applyFill="1" applyBorder="1" applyAlignment="1">
      <alignment horizontal="right" vertical="center"/>
    </xf>
    <xf numFmtId="0" fontId="51" fillId="0" borderId="6" xfId="0" applyFont="1" applyFill="1" applyBorder="1" applyAlignment="1">
      <alignment horizontal="right" vertical="center"/>
    </xf>
    <xf numFmtId="0" fontId="43" fillId="7" borderId="1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36" fillId="0" borderId="23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left" vertical="center" shrinkToFit="1"/>
    </xf>
    <xf numFmtId="0" fontId="36" fillId="0" borderId="6" xfId="0" applyFont="1" applyFill="1" applyBorder="1" applyAlignment="1">
      <alignment horizontal="left" vertical="center" shrinkToFit="1"/>
    </xf>
    <xf numFmtId="43" fontId="44" fillId="0" borderId="24" xfId="0" applyNumberFormat="1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43" fontId="44" fillId="0" borderId="0" xfId="0" applyNumberFormat="1" applyFont="1" applyFill="1" applyAlignment="1">
      <alignment horizontal="center" vertical="center"/>
    </xf>
    <xf numFmtId="0" fontId="43" fillId="0" borderId="24" xfId="0" applyNumberFormat="1" applyFont="1" applyFill="1" applyBorder="1" applyAlignment="1">
      <alignment horizontal="left" vertical="center"/>
    </xf>
    <xf numFmtId="43" fontId="45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43" fontId="13" fillId="0" borderId="3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/>
    </xf>
    <xf numFmtId="0" fontId="45" fillId="9" borderId="1" xfId="0" applyFont="1" applyFill="1" applyBorder="1" applyAlignment="1">
      <alignment horizontal="center" vertical="center" shrinkToFit="1"/>
    </xf>
    <xf numFmtId="0" fontId="43" fillId="7" borderId="1" xfId="0" applyFont="1" applyFill="1" applyBorder="1" applyAlignment="1">
      <alignment horizontal="center" vertical="center" shrinkToFit="1"/>
    </xf>
    <xf numFmtId="0" fontId="32" fillId="0" borderId="0" xfId="0" applyFont="1" applyFill="1" applyAlignment="1">
      <alignment horizontal="center" vertical="center"/>
    </xf>
    <xf numFmtId="0" fontId="13" fillId="0" borderId="5" xfId="1" applyNumberFormat="1" applyFont="1" applyFill="1" applyBorder="1" applyAlignment="1">
      <alignment horizontal="left" vertical="center"/>
    </xf>
    <xf numFmtId="0" fontId="13" fillId="0" borderId="23" xfId="1" applyNumberFormat="1" applyFont="1" applyFill="1" applyBorder="1" applyAlignment="1">
      <alignment horizontal="left" vertical="center"/>
    </xf>
    <xf numFmtId="0" fontId="13" fillId="0" borderId="7" xfId="1" applyNumberFormat="1" applyFont="1" applyFill="1" applyBorder="1" applyAlignment="1">
      <alignment horizontal="left" vertical="center"/>
    </xf>
    <xf numFmtId="43" fontId="11" fillId="0" borderId="1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3" fontId="14" fillId="4" borderId="9" xfId="1" applyFont="1" applyFill="1" applyBorder="1" applyAlignment="1">
      <alignment vertical="center" shrinkToFit="1"/>
    </xf>
    <xf numFmtId="43" fontId="14" fillId="4" borderId="9" xfId="0" applyNumberFormat="1" applyFont="1" applyFill="1" applyBorder="1" applyAlignment="1">
      <alignment vertical="center" shrinkToFit="1"/>
    </xf>
  </cellXfs>
  <cellStyles count="46">
    <cellStyle name="20% - ส่วนที่ถูกเน้น1" xfId="21" builtinId="30" customBuiltin="1"/>
    <cellStyle name="20% - ส่วนที่ถูกเน้น2" xfId="25" builtinId="34" customBuiltin="1"/>
    <cellStyle name="20% - ส่วนที่ถูกเน้น3" xfId="29" builtinId="38" customBuiltin="1"/>
    <cellStyle name="20% - ส่วนที่ถูกเน้น4" xfId="33" builtinId="42" customBuiltin="1"/>
    <cellStyle name="20% - ส่วนที่ถูกเน้น5" xfId="37" builtinId="46" customBuiltin="1"/>
    <cellStyle name="20% - ส่วนที่ถูกเน้น6" xfId="41" builtinId="50" customBuiltin="1"/>
    <cellStyle name="40% - ส่วนที่ถูกเน้น1" xfId="22" builtinId="31" customBuiltin="1"/>
    <cellStyle name="40% - ส่วนที่ถูกเน้น2" xfId="26" builtinId="35" customBuiltin="1"/>
    <cellStyle name="40% - ส่วนที่ถูกเน้น3" xfId="30" builtinId="39" customBuiltin="1"/>
    <cellStyle name="40% - ส่วนที่ถูกเน้น4" xfId="34" builtinId="43" customBuiltin="1"/>
    <cellStyle name="40% - ส่วนที่ถูกเน้น5" xfId="38" builtinId="47" customBuiltin="1"/>
    <cellStyle name="40% - ส่วนที่ถูกเน้น6" xfId="42" builtinId="51" customBuiltin="1"/>
    <cellStyle name="60% - ส่วนที่ถูกเน้น1" xfId="23" builtinId="32" customBuiltin="1"/>
    <cellStyle name="60% - ส่วนที่ถูกเน้น2" xfId="27" builtinId="36" customBuiltin="1"/>
    <cellStyle name="60% - ส่วนที่ถูกเน้น3" xfId="31" builtinId="40" customBuiltin="1"/>
    <cellStyle name="60% - ส่วนที่ถูกเน้น4" xfId="35" builtinId="44" customBuiltin="1"/>
    <cellStyle name="60% - ส่วนที่ถูกเน้น5" xfId="39" builtinId="48" customBuiltin="1"/>
    <cellStyle name="60% - ส่วนที่ถูกเน้น6" xfId="43" builtinId="52" customBuiltin="1"/>
    <cellStyle name="Normal 2" xfId="2" xr:uid="{00000000-0005-0000-0000-000000000000}"/>
    <cellStyle name="การคำนวณ" xfId="14" builtinId="22" customBuiltin="1"/>
    <cellStyle name="ข้อความเตือน" xfId="17" builtinId="11" customBuiltin="1"/>
    <cellStyle name="ข้อความอธิบาย" xfId="18" builtinId="53" customBuiltin="1"/>
    <cellStyle name="จุลภาค" xfId="1" builtinId="3"/>
    <cellStyle name="ชื่อเรื่อง" xfId="4" builtinId="15" customBuiltin="1"/>
    <cellStyle name="เซลล์ตรวจสอบ" xfId="16" builtinId="23" customBuiltin="1"/>
    <cellStyle name="เซลล์ที่มีลิงก์" xfId="15" builtinId="24" customBuiltin="1"/>
    <cellStyle name="ดี" xfId="9" builtinId="26" customBuiltin="1"/>
    <cellStyle name="ปกติ" xfId="0" builtinId="0"/>
    <cellStyle name="ปกติ 2" xfId="3" xr:uid="{00000000-0005-0000-0000-000003000000}"/>
    <cellStyle name="ปกติ 3" xfId="44" xr:uid="{7C23E789-F16A-49DD-8179-508B275FA115}"/>
    <cellStyle name="ป้อนค่า" xfId="12" builtinId="20" customBuiltin="1"/>
    <cellStyle name="ปานกลาง" xfId="11" builtinId="28" customBuiltin="1"/>
    <cellStyle name="ผลรวม" xfId="19" builtinId="25" customBuiltin="1"/>
    <cellStyle name="แย่" xfId="10" builtinId="27" customBuiltin="1"/>
    <cellStyle name="ส่วนที่ถูกเน้น1" xfId="20" builtinId="29" customBuiltin="1"/>
    <cellStyle name="ส่วนที่ถูกเน้น2" xfId="24" builtinId="33" customBuiltin="1"/>
    <cellStyle name="ส่วนที่ถูกเน้น3" xfId="28" builtinId="37" customBuiltin="1"/>
    <cellStyle name="ส่วนที่ถูกเน้น4" xfId="32" builtinId="41" customBuiltin="1"/>
    <cellStyle name="ส่วนที่ถูกเน้น5" xfId="36" builtinId="45" customBuiltin="1"/>
    <cellStyle name="ส่วนที่ถูกเน้น6" xfId="40" builtinId="49" customBuiltin="1"/>
    <cellStyle name="แสดงผล" xfId="13" builtinId="21" customBuiltin="1"/>
    <cellStyle name="หมายเหตุ 2" xfId="45" xr:uid="{EDF74F3C-E259-4CF0-B8E4-C29C3D70C42C}"/>
    <cellStyle name="หัวเรื่อง 1" xfId="5" builtinId="16" customBuiltin="1"/>
    <cellStyle name="หัวเรื่อง 2" xfId="6" builtinId="17" customBuiltin="1"/>
    <cellStyle name="หัวเรื่อง 3" xfId="7" builtinId="18" customBuiltin="1"/>
    <cellStyle name="หัวเรื่อง 4" xfId="8" builtinId="19" customBuiltin="1"/>
  </cellStyles>
  <dxfs count="0"/>
  <tableStyles count="0" defaultTableStyle="TableStyleMedium9" defaultPivotStyle="PivotStyleLight16"/>
  <colors>
    <mruColors>
      <color rgb="FFFFFFCC"/>
      <color rgb="FFFF7C80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84506851504243"/>
          <c:y val="4.3104357717997102E-2"/>
          <c:w val="0.77639512829043733"/>
          <c:h val="0.880533521508865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แผนภูมิแท่ง!$C$7</c:f>
              <c:strCache>
                <c:ptCount val="1"/>
                <c:pt idx="0">
                  <c:v>งบประมาณที่ได้รับ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043771451645449E-2"/>
                  <c:y val="2.1881655626214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EA-40F7-BB65-F9246420114A}"/>
                </c:ext>
              </c:extLst>
            </c:dLbl>
            <c:dLbl>
              <c:idx val="1"/>
              <c:layout>
                <c:manualLayout>
                  <c:x val="1.5890213073311666E-2"/>
                  <c:y val="-3.31675045161344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EA-40F7-BB65-F9246420114A}"/>
                </c:ext>
              </c:extLst>
            </c:dLbl>
            <c:dLbl>
              <c:idx val="2"/>
              <c:layout>
                <c:manualLayout>
                  <c:x val="2.4557602022390761E-2"/>
                  <c:y val="-3.31675045161344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EA-40F7-BB65-F9246420114A}"/>
                </c:ext>
              </c:extLst>
            </c:dLbl>
            <c:dLbl>
              <c:idx val="3"/>
              <c:layout>
                <c:manualLayout>
                  <c:x val="2.3113037197544241E-2"/>
                  <c:y val="-1.6583752258067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EA-40F7-BB65-F9246420114A}"/>
                </c:ext>
              </c:extLst>
            </c:dLbl>
            <c:dLbl>
              <c:idx val="4"/>
              <c:layout>
                <c:manualLayout>
                  <c:x val="-2.5713278147923936E-2"/>
                  <c:y val="1.7582535138547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EA-40F7-BB65-F92464201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2460000" vert="horz"/>
              <a:lstStyle/>
              <a:p>
                <a:pPr>
                  <a:defRPr b="1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แผนภูมิแท่ง!$B$8:$B$12</c:f>
              <c:strCache>
                <c:ptCount val="5"/>
                <c:pt idx="0">
                  <c:v>งบบุคลากร</c:v>
                </c:pt>
                <c:pt idx="1">
                  <c:v>งบดำเนินงาน</c:v>
                </c:pt>
                <c:pt idx="2">
                  <c:v>งบลงทุน</c:v>
                </c:pt>
                <c:pt idx="3">
                  <c:v>งบรายจ่ายอื่น</c:v>
                </c:pt>
                <c:pt idx="4">
                  <c:v>รวมทั้งสิ้น</c:v>
                </c:pt>
              </c:strCache>
            </c:strRef>
          </c:cat>
          <c:val>
            <c:numRef>
              <c:f>แผนภูมิแท่ง!$C$8:$C$12</c:f>
              <c:numCache>
                <c:formatCode>_(* #,##0.00_);_(* \(#,##0.00\);_(* "-"??_);_(@_)</c:formatCode>
                <c:ptCount val="5"/>
                <c:pt idx="0">
                  <c:v>695026000</c:v>
                </c:pt>
                <c:pt idx="1">
                  <c:v>216270500</c:v>
                </c:pt>
                <c:pt idx="2">
                  <c:v>68223500</c:v>
                </c:pt>
                <c:pt idx="3">
                  <c:v>14396800</c:v>
                </c:pt>
                <c:pt idx="4">
                  <c:v>993916800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EA-40F7-BB65-F9246420114A}"/>
            </c:ext>
          </c:extLst>
        </c:ser>
        <c:ser>
          <c:idx val="1"/>
          <c:order val="1"/>
          <c:tx>
            <c:strRef>
              <c:f>แผนภูมิแท่ง!$D$7</c:f>
              <c:strCache>
                <c:ptCount val="1"/>
                <c:pt idx="0">
                  <c:v>เป้าหมายการเบิกจ่าย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2139174910828444E-2"/>
                  <c:y val="3.214359195016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EA-40F7-BB65-F9246420114A}"/>
                </c:ext>
              </c:extLst>
            </c:dLbl>
            <c:dLbl>
              <c:idx val="1"/>
              <c:layout>
                <c:manualLayout>
                  <c:x val="2.88912964969302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EA-40F7-BB65-F9246420114A}"/>
                </c:ext>
              </c:extLst>
            </c:dLbl>
            <c:dLbl>
              <c:idx val="2"/>
              <c:layout>
                <c:manualLayout>
                  <c:x val="3.29938757655293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EA-40F7-BB65-F9246420114A}"/>
                </c:ext>
              </c:extLst>
            </c:dLbl>
            <c:dLbl>
              <c:idx val="3"/>
              <c:layout>
                <c:manualLayout>
                  <c:x val="3.0335861321776816E-2"/>
                  <c:y val="-6.63350090322688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EA-40F7-BB65-F9246420114A}"/>
                </c:ext>
              </c:extLst>
            </c:dLbl>
            <c:dLbl>
              <c:idx val="4"/>
              <c:layout>
                <c:manualLayout>
                  <c:x val="5.7650824416178768E-2"/>
                  <c:y val="1.1466774644724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EA-40F7-BB65-F92464201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2460000"/>
              <a:lstStyle/>
              <a:p>
                <a:pPr>
                  <a:defRPr b="1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แผนภูมิแท่ง!$B$8:$B$12</c:f>
              <c:strCache>
                <c:ptCount val="5"/>
                <c:pt idx="0">
                  <c:v>งบบุคลากร</c:v>
                </c:pt>
                <c:pt idx="1">
                  <c:v>งบดำเนินงาน</c:v>
                </c:pt>
                <c:pt idx="2">
                  <c:v>งบลงทุน</c:v>
                </c:pt>
                <c:pt idx="3">
                  <c:v>งบรายจ่ายอื่น</c:v>
                </c:pt>
                <c:pt idx="4">
                  <c:v>รวมทั้งสิ้น</c:v>
                </c:pt>
              </c:strCache>
            </c:strRef>
          </c:cat>
          <c:val>
            <c:numRef>
              <c:f>แผนภูมิแท่ง!$D$8:$D$12</c:f>
              <c:numCache>
                <c:formatCode>_(* #,##0.00_);_(* \(#,##0.00\);_(* "-"??_);_(@_)</c:formatCode>
                <c:ptCount val="5"/>
                <c:pt idx="0">
                  <c:v>1397262000</c:v>
                </c:pt>
                <c:pt idx="1">
                  <c:v>216270500</c:v>
                </c:pt>
                <c:pt idx="2">
                  <c:v>68223500</c:v>
                </c:pt>
                <c:pt idx="3">
                  <c:v>14396800</c:v>
                </c:pt>
                <c:pt idx="4">
                  <c:v>1696152800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7EA-40F7-BB65-F9246420114A}"/>
            </c:ext>
          </c:extLst>
        </c:ser>
        <c:ser>
          <c:idx val="2"/>
          <c:order val="2"/>
          <c:tx>
            <c:strRef>
              <c:f>แผนภูมิแท่ง!$E$7</c:f>
              <c:strCache>
                <c:ptCount val="1"/>
                <c:pt idx="0">
                  <c:v>เบิกจ่ายแล้ว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6626906252103114E-2"/>
                  <c:y val="3.4193886626575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EA-40F7-BB65-F9246420114A}"/>
                </c:ext>
              </c:extLst>
            </c:dLbl>
            <c:dLbl>
              <c:idx val="1"/>
              <c:layout>
                <c:manualLayout>
                  <c:x val="2.600216684723727E-2"/>
                  <c:y val="9.950251354840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EA-40F7-BB65-F9246420114A}"/>
                </c:ext>
              </c:extLst>
            </c:dLbl>
            <c:dLbl>
              <c:idx val="2"/>
              <c:layout>
                <c:manualLayout>
                  <c:x val="3.3224990971469845E-2"/>
                  <c:y val="1.6583752258067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EA-40F7-BB65-F9246420114A}"/>
                </c:ext>
              </c:extLst>
            </c:dLbl>
            <c:dLbl>
              <c:idx val="3"/>
              <c:layout>
                <c:manualLayout>
                  <c:x val="3.4669555796316358E-2"/>
                  <c:y val="1.9900502709680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EA-40F7-BB65-F9246420114A}"/>
                </c:ext>
              </c:extLst>
            </c:dLbl>
            <c:dLbl>
              <c:idx val="4"/>
              <c:layout>
                <c:manualLayout>
                  <c:x val="5.8097691634699439E-2"/>
                  <c:y val="3.420073840016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EA-40F7-BB65-F92464201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2460000"/>
              <a:lstStyle/>
              <a:p>
                <a:pPr>
                  <a:defRPr b="1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แผนภูมิแท่ง!$B$8:$B$12</c:f>
              <c:strCache>
                <c:ptCount val="5"/>
                <c:pt idx="0">
                  <c:v>งบบุคลากร</c:v>
                </c:pt>
                <c:pt idx="1">
                  <c:v>งบดำเนินงาน</c:v>
                </c:pt>
                <c:pt idx="2">
                  <c:v>งบลงทุน</c:v>
                </c:pt>
                <c:pt idx="3">
                  <c:v>งบรายจ่ายอื่น</c:v>
                </c:pt>
                <c:pt idx="4">
                  <c:v>รวมทั้งสิ้น</c:v>
                </c:pt>
              </c:strCache>
            </c:strRef>
          </c:cat>
          <c:val>
            <c:numRef>
              <c:f>แผนภูมิแท่ง!$E$8:$E$12</c:f>
              <c:numCache>
                <c:formatCode>_(* #,##0.00_);_(* \(#,##0.00\);_(* "-"??_);_(@_)</c:formatCode>
                <c:ptCount val="5"/>
                <c:pt idx="0">
                  <c:v>455978224.26999998</c:v>
                </c:pt>
                <c:pt idx="1">
                  <c:v>108116326.24000001</c:v>
                </c:pt>
                <c:pt idx="2">
                  <c:v>18036707.699999999</c:v>
                </c:pt>
                <c:pt idx="3">
                  <c:v>1250719.4200000002</c:v>
                </c:pt>
                <c:pt idx="4">
                  <c:v>583381977.63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7EA-40F7-BB65-F92464201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17696"/>
        <c:axId val="82748160"/>
      </c:barChart>
      <c:catAx>
        <c:axId val="82717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90" b="1" baseline="0"/>
            </a:pPr>
            <a:endParaRPr lang="th-TH"/>
          </a:p>
        </c:txPr>
        <c:crossAx val="82748160"/>
        <c:crosses val="autoZero"/>
        <c:auto val="1"/>
        <c:lblAlgn val="ctr"/>
        <c:lblOffset val="100"/>
        <c:noMultiLvlLbl val="0"/>
      </c:catAx>
      <c:valAx>
        <c:axId val="82748160"/>
        <c:scaling>
          <c:orientation val="minMax"/>
          <c:max val="230000000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endParaRPr lang="th-TH"/>
          </a:p>
        </c:txPr>
        <c:crossAx val="82717696"/>
        <c:crosses val="autoZero"/>
        <c:crossBetween val="between"/>
        <c:majorUnit val="220000000.00000003"/>
        <c:minorUnit val="110000000.00000001"/>
      </c:valAx>
    </c:plotArea>
    <c:legend>
      <c:legendPos val="r"/>
      <c:layout>
        <c:manualLayout>
          <c:xMode val="edge"/>
          <c:yMode val="edge"/>
          <c:x val="0.39220219857455074"/>
          <c:y val="6.5093186323810434E-2"/>
          <c:w val="0.26095267344019701"/>
          <c:h val="0.34576705599745533"/>
        </c:manualLayout>
      </c:layout>
      <c:overlay val="0"/>
      <c:txPr>
        <a:bodyPr/>
        <a:lstStyle/>
        <a:p>
          <a:pPr>
            <a:defRPr sz="2400" b="1" baseline="0">
              <a:latin typeface="TH SarabunPSK" panose="020B0500040200020003" pitchFamily="34" charset="-34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390524</xdr:rowOff>
    </xdr:from>
    <xdr:to>
      <xdr:col>9</xdr:col>
      <xdr:colOff>600075</xdr:colOff>
      <xdr:row>18</xdr:row>
      <xdr:rowOff>209550</xdr:rowOff>
    </xdr:to>
    <xdr:graphicFrame macro="">
      <xdr:nvGraphicFramePr>
        <xdr:cNvPr id="8" name="แผนภูมิ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</sheetPr>
  <dimension ref="A1:R115"/>
  <sheetViews>
    <sheetView view="pageBreakPreview" topLeftCell="D4" zoomScale="50" zoomScaleNormal="56" zoomScaleSheetLayoutView="50" workbookViewId="0">
      <pane ySplit="1290" topLeftCell="A13" activePane="bottomLeft"/>
      <selection activeCell="A4" sqref="A4"/>
      <selection pane="bottomLeft" activeCell="L8" sqref="L8"/>
    </sheetView>
  </sheetViews>
  <sheetFormatPr defaultRowHeight="39.75" x14ac:dyDescent="0.5"/>
  <cols>
    <col min="1" max="1" width="6.7109375" style="279" customWidth="1"/>
    <col min="2" max="2" width="47.140625" style="332" customWidth="1"/>
    <col min="3" max="3" width="39.85546875" style="288" customWidth="1"/>
    <col min="4" max="6" width="25.7109375" style="289" customWidth="1"/>
    <col min="7" max="7" width="26.85546875" style="289" customWidth="1"/>
    <col min="8" max="8" width="26.7109375" style="290" customWidth="1"/>
    <col min="9" max="11" width="25.7109375" style="290" customWidth="1"/>
    <col min="12" max="12" width="27.5703125" style="290" customWidth="1"/>
    <col min="13" max="13" width="26.42578125" style="290" bestFit="1" customWidth="1"/>
    <col min="14" max="14" width="18.28515625" style="290" customWidth="1"/>
    <col min="15" max="15" width="28.85546875" style="290" customWidth="1"/>
    <col min="16" max="16" width="35.7109375" style="291" customWidth="1"/>
    <col min="17" max="17" width="51" style="291" hidden="1" customWidth="1"/>
    <col min="18" max="18" width="37.42578125" style="291" hidden="1" customWidth="1"/>
    <col min="19" max="37" width="9.140625" style="291"/>
    <col min="38" max="38" width="9.140625" style="291" customWidth="1"/>
    <col min="39" max="16384" width="9.140625" style="291"/>
  </cols>
  <sheetData>
    <row r="1" spans="1:17" s="272" customFormat="1" ht="51.75" customHeight="1" x14ac:dyDescent="0.5">
      <c r="A1" s="1068" t="s">
        <v>57</v>
      </c>
      <c r="B1" s="1068"/>
      <c r="C1" s="1068"/>
      <c r="D1" s="1068"/>
      <c r="E1" s="1068"/>
      <c r="F1" s="1068"/>
      <c r="G1" s="1068"/>
      <c r="H1" s="1068"/>
      <c r="I1" s="1068"/>
      <c r="J1" s="1068"/>
      <c r="K1" s="1068"/>
      <c r="L1" s="1068"/>
      <c r="M1" s="1068"/>
      <c r="N1" s="1068"/>
      <c r="O1" s="1068"/>
      <c r="P1" s="1068"/>
    </row>
    <row r="2" spans="1:17" s="272" customFormat="1" ht="51.75" customHeight="1" x14ac:dyDescent="0.5">
      <c r="A2" s="1069" t="s">
        <v>830</v>
      </c>
      <c r="B2" s="1069"/>
      <c r="C2" s="1069"/>
      <c r="D2" s="1069"/>
      <c r="E2" s="1069"/>
      <c r="F2" s="1069"/>
      <c r="G2" s="1069"/>
      <c r="H2" s="1069"/>
      <c r="I2" s="1069"/>
      <c r="J2" s="1069"/>
      <c r="K2" s="1069"/>
      <c r="L2" s="1069"/>
      <c r="M2" s="1069"/>
      <c r="N2" s="1069"/>
      <c r="O2" s="1069"/>
      <c r="P2" s="1069"/>
    </row>
    <row r="3" spans="1:17" s="272" customFormat="1" ht="51.75" customHeight="1" x14ac:dyDescent="0.5">
      <c r="A3" s="1070" t="s">
        <v>1021</v>
      </c>
      <c r="B3" s="1070"/>
      <c r="C3" s="1070"/>
      <c r="D3" s="1070"/>
      <c r="E3" s="1070"/>
      <c r="F3" s="1070"/>
      <c r="G3" s="1070"/>
      <c r="H3" s="1070"/>
      <c r="I3" s="1070"/>
      <c r="J3" s="1070"/>
      <c r="K3" s="1070"/>
      <c r="L3" s="1070"/>
      <c r="M3" s="1070"/>
      <c r="N3" s="1070"/>
      <c r="O3" s="1070"/>
      <c r="P3" s="1070"/>
    </row>
    <row r="4" spans="1:17" s="273" customFormat="1" ht="48.75" customHeight="1" x14ac:dyDescent="0.5">
      <c r="A4" s="1071" t="s">
        <v>0</v>
      </c>
      <c r="B4" s="1072" t="s">
        <v>56</v>
      </c>
      <c r="C4" s="1072"/>
      <c r="D4" s="1072" t="s">
        <v>13</v>
      </c>
      <c r="E4" s="1072"/>
      <c r="F4" s="1072"/>
      <c r="G4" s="1072"/>
      <c r="H4" s="1072" t="s">
        <v>14</v>
      </c>
      <c r="I4" s="1072"/>
      <c r="J4" s="1072"/>
      <c r="K4" s="1072" t="s">
        <v>15</v>
      </c>
      <c r="L4" s="1072"/>
      <c r="M4" s="1072"/>
      <c r="N4" s="1072" t="s">
        <v>67</v>
      </c>
      <c r="O4" s="1072" t="s">
        <v>16</v>
      </c>
      <c r="P4" s="1072" t="s">
        <v>3</v>
      </c>
    </row>
    <row r="5" spans="1:17" s="273" customFormat="1" ht="48.75" customHeight="1" x14ac:dyDescent="0.5">
      <c r="A5" s="1071"/>
      <c r="B5" s="1072"/>
      <c r="C5" s="1072"/>
      <c r="D5" s="1055" t="s">
        <v>4</v>
      </c>
      <c r="E5" s="1055" t="s">
        <v>5</v>
      </c>
      <c r="F5" s="342" t="s">
        <v>6</v>
      </c>
      <c r="G5" s="1055" t="s">
        <v>10</v>
      </c>
      <c r="H5" s="342" t="s">
        <v>6</v>
      </c>
      <c r="I5" s="1055" t="s">
        <v>9</v>
      </c>
      <c r="J5" s="1055" t="s">
        <v>10</v>
      </c>
      <c r="K5" s="1055" t="s">
        <v>11</v>
      </c>
      <c r="L5" s="1055" t="s">
        <v>12</v>
      </c>
      <c r="M5" s="1072" t="s">
        <v>10</v>
      </c>
      <c r="N5" s="1072"/>
      <c r="O5" s="1072"/>
      <c r="P5" s="1072"/>
    </row>
    <row r="6" spans="1:17" s="273" customFormat="1" ht="48.75" customHeight="1" x14ac:dyDescent="0.5">
      <c r="A6" s="1071"/>
      <c r="B6" s="1072"/>
      <c r="C6" s="1072"/>
      <c r="D6" s="1056"/>
      <c r="E6" s="1056"/>
      <c r="F6" s="343" t="s">
        <v>7</v>
      </c>
      <c r="G6" s="1056"/>
      <c r="H6" s="343" t="s">
        <v>8</v>
      </c>
      <c r="I6" s="1056"/>
      <c r="J6" s="1056"/>
      <c r="K6" s="1056"/>
      <c r="L6" s="1056"/>
      <c r="M6" s="1072"/>
      <c r="N6" s="1072"/>
      <c r="O6" s="1072"/>
      <c r="P6" s="1072"/>
    </row>
    <row r="7" spans="1:17" s="276" customFormat="1" ht="52.5" customHeight="1" x14ac:dyDescent="0.5">
      <c r="A7" s="1064" t="s">
        <v>215</v>
      </c>
      <c r="B7" s="1065"/>
      <c r="C7" s="274" t="s">
        <v>828</v>
      </c>
      <c r="D7" s="275">
        <v>0</v>
      </c>
      <c r="E7" s="275">
        <v>0</v>
      </c>
      <c r="F7" s="275">
        <v>0</v>
      </c>
      <c r="G7" s="275">
        <f>SUM(D7:F7)</f>
        <v>0</v>
      </c>
      <c r="H7" s="275">
        <v>0</v>
      </c>
      <c r="I7" s="275">
        <v>0</v>
      </c>
      <c r="J7" s="275">
        <f>SUM(H7:I7)</f>
        <v>0</v>
      </c>
      <c r="K7" s="275">
        <v>0</v>
      </c>
      <c r="L7" s="275">
        <v>0</v>
      </c>
      <c r="M7" s="275">
        <f>SUM(K7:L7)</f>
        <v>0</v>
      </c>
      <c r="N7" s="275">
        <v>0</v>
      </c>
      <c r="O7" s="275">
        <f>621500+361400</f>
        <v>982900</v>
      </c>
      <c r="P7" s="275">
        <f>+G7+J7+M7+N7+O7</f>
        <v>982900</v>
      </c>
    </row>
    <row r="8" spans="1:17" s="277" customFormat="1" ht="52.5" customHeight="1" x14ac:dyDescent="0.5">
      <c r="A8" s="1066" t="s">
        <v>216</v>
      </c>
      <c r="B8" s="1067"/>
      <c r="C8" s="274" t="s">
        <v>844</v>
      </c>
      <c r="D8" s="275">
        <v>0</v>
      </c>
      <c r="E8" s="275">
        <v>0</v>
      </c>
      <c r="F8" s="275">
        <v>0</v>
      </c>
      <c r="G8" s="275">
        <f>SUM(D8:F8)</f>
        <v>0</v>
      </c>
      <c r="H8" s="275">
        <v>0</v>
      </c>
      <c r="I8" s="275">
        <v>0</v>
      </c>
      <c r="J8" s="275">
        <f>SUM(H8:I8)</f>
        <v>0</v>
      </c>
      <c r="K8" s="275">
        <v>0</v>
      </c>
      <c r="L8" s="275">
        <v>0</v>
      </c>
      <c r="M8" s="275">
        <f>SUM(K8:L8)</f>
        <v>0</v>
      </c>
      <c r="N8" s="275">
        <v>0</v>
      </c>
      <c r="O8" s="275">
        <f>310700+180700</f>
        <v>491400</v>
      </c>
      <c r="P8" s="275">
        <f>+G8+J8+M8+N8+O8</f>
        <v>491400</v>
      </c>
    </row>
    <row r="9" spans="1:17" s="277" customFormat="1" ht="52.5" customHeight="1" x14ac:dyDescent="0.5">
      <c r="A9" s="1060">
        <v>1</v>
      </c>
      <c r="B9" s="292" t="s">
        <v>543</v>
      </c>
      <c r="C9" s="274" t="s">
        <v>76</v>
      </c>
      <c r="D9" s="275">
        <v>0</v>
      </c>
      <c r="E9" s="275">
        <v>0</v>
      </c>
      <c r="F9" s="275">
        <v>0</v>
      </c>
      <c r="G9" s="275">
        <f>SUM(D9:F9)</f>
        <v>0</v>
      </c>
      <c r="H9" s="275">
        <v>0</v>
      </c>
      <c r="I9" s="275">
        <v>0</v>
      </c>
      <c r="J9" s="275">
        <f>SUM(H9:I9)</f>
        <v>0</v>
      </c>
      <c r="K9" s="275">
        <v>0</v>
      </c>
      <c r="L9" s="275">
        <v>0</v>
      </c>
      <c r="M9" s="275">
        <f>SUM(K9:L9)</f>
        <v>0</v>
      </c>
      <c r="N9" s="275">
        <v>0</v>
      </c>
      <c r="O9" s="275">
        <v>0</v>
      </c>
      <c r="P9" s="275">
        <f>+G9+J9+M9+N9+O9</f>
        <v>0</v>
      </c>
    </row>
    <row r="10" spans="1:17" s="277" customFormat="1" ht="52.5" customHeight="1" x14ac:dyDescent="0.5">
      <c r="A10" s="1060"/>
      <c r="B10" s="292" t="s">
        <v>544</v>
      </c>
      <c r="C10" s="274" t="s">
        <v>17</v>
      </c>
      <c r="D10" s="275">
        <v>0</v>
      </c>
      <c r="E10" s="275">
        <v>0</v>
      </c>
      <c r="F10" s="275">
        <v>0</v>
      </c>
      <c r="G10" s="275">
        <f>SUM(D10:F10)</f>
        <v>0</v>
      </c>
      <c r="H10" s="275">
        <v>0</v>
      </c>
      <c r="I10" s="275">
        <v>0</v>
      </c>
      <c r="J10" s="275">
        <f>SUM(H10:I10)</f>
        <v>0</v>
      </c>
      <c r="K10" s="275">
        <v>0</v>
      </c>
      <c r="L10" s="275">
        <v>0</v>
      </c>
      <c r="M10" s="275">
        <f>SUM(K10:L10)</f>
        <v>0</v>
      </c>
      <c r="N10" s="275">
        <v>0</v>
      </c>
      <c r="O10" s="275"/>
      <c r="P10" s="275">
        <f>+G10+J10+M10+N10+O10</f>
        <v>0</v>
      </c>
    </row>
    <row r="11" spans="1:17" s="277" customFormat="1" ht="52.5" customHeight="1" x14ac:dyDescent="0.9">
      <c r="A11" s="1060"/>
      <c r="B11" s="326" t="s">
        <v>545</v>
      </c>
      <c r="C11" s="274" t="s">
        <v>77</v>
      </c>
      <c r="D11" s="275">
        <f>+D8-D10</f>
        <v>0</v>
      </c>
      <c r="E11" s="275">
        <f>+E8-E10</f>
        <v>0</v>
      </c>
      <c r="F11" s="275">
        <f>+F8-F10</f>
        <v>0</v>
      </c>
      <c r="G11" s="275">
        <f>G8-G10</f>
        <v>0</v>
      </c>
      <c r="H11" s="275">
        <f>+H8-H10</f>
        <v>0</v>
      </c>
      <c r="I11" s="275">
        <f>+I8-I10</f>
        <v>0</v>
      </c>
      <c r="J11" s="275">
        <f t="shared" ref="J11:P11" si="0">J8-J10</f>
        <v>0</v>
      </c>
      <c r="K11" s="275">
        <f>+K8-K10</f>
        <v>0</v>
      </c>
      <c r="L11" s="275">
        <f>+L8-L10</f>
        <v>0</v>
      </c>
      <c r="M11" s="275">
        <f t="shared" si="0"/>
        <v>0</v>
      </c>
      <c r="N11" s="275">
        <f>+N8-N10</f>
        <v>0</v>
      </c>
      <c r="O11" s="275">
        <f>+O8-O10</f>
        <v>491400</v>
      </c>
      <c r="P11" s="275">
        <f t="shared" si="0"/>
        <v>491400</v>
      </c>
    </row>
    <row r="12" spans="1:17" s="277" customFormat="1" ht="52.5" customHeight="1" x14ac:dyDescent="0.9">
      <c r="A12" s="1060"/>
      <c r="B12" s="326" t="s">
        <v>546</v>
      </c>
      <c r="C12" s="274" t="s">
        <v>881</v>
      </c>
      <c r="D12" s="275">
        <f>+D8-D9-D10</f>
        <v>0</v>
      </c>
      <c r="E12" s="275">
        <f>+E8-E9-E10</f>
        <v>0</v>
      </c>
      <c r="F12" s="275">
        <f>+F8-F9-F10</f>
        <v>0</v>
      </c>
      <c r="G12" s="275">
        <f>G8-G9-G10</f>
        <v>0</v>
      </c>
      <c r="H12" s="275">
        <f>+H8-H9-H10</f>
        <v>0</v>
      </c>
      <c r="I12" s="275">
        <f>+I8-I9-I10</f>
        <v>0</v>
      </c>
      <c r="J12" s="275">
        <f>J8-J9-J10</f>
        <v>0</v>
      </c>
      <c r="K12" s="275">
        <f>+K8-K9-K10</f>
        <v>0</v>
      </c>
      <c r="L12" s="275">
        <f>+L8-L9-L10</f>
        <v>0</v>
      </c>
      <c r="M12" s="275">
        <f>M8-M9-M10</f>
        <v>0</v>
      </c>
      <c r="N12" s="275">
        <f>+N8-N9-N10</f>
        <v>0</v>
      </c>
      <c r="O12" s="275">
        <f>+O8-O9-O10</f>
        <v>491400</v>
      </c>
      <c r="P12" s="275">
        <f>P8-P9-P10</f>
        <v>491400</v>
      </c>
    </row>
    <row r="13" spans="1:17" s="277" customFormat="1" ht="52.5" customHeight="1" x14ac:dyDescent="0.9">
      <c r="A13" s="1060"/>
      <c r="B13" s="326" t="s">
        <v>547</v>
      </c>
      <c r="C13" s="274" t="s">
        <v>97</v>
      </c>
      <c r="D13" s="275" t="e">
        <f>+D10*100/D7</f>
        <v>#DIV/0!</v>
      </c>
      <c r="E13" s="275" t="e">
        <f t="shared" ref="E13:P13" si="1">+E10*100/E7</f>
        <v>#DIV/0!</v>
      </c>
      <c r="F13" s="275" t="e">
        <f t="shared" si="1"/>
        <v>#DIV/0!</v>
      </c>
      <c r="G13" s="275" t="e">
        <f t="shared" si="1"/>
        <v>#DIV/0!</v>
      </c>
      <c r="H13" s="275" t="e">
        <f t="shared" si="1"/>
        <v>#DIV/0!</v>
      </c>
      <c r="I13" s="275" t="e">
        <f t="shared" si="1"/>
        <v>#DIV/0!</v>
      </c>
      <c r="J13" s="275" t="e">
        <f t="shared" si="1"/>
        <v>#DIV/0!</v>
      </c>
      <c r="K13" s="275" t="e">
        <f t="shared" si="1"/>
        <v>#DIV/0!</v>
      </c>
      <c r="L13" s="275" t="e">
        <f t="shared" si="1"/>
        <v>#DIV/0!</v>
      </c>
      <c r="M13" s="275" t="e">
        <f t="shared" si="1"/>
        <v>#DIV/0!</v>
      </c>
      <c r="N13" s="275" t="e">
        <f t="shared" si="1"/>
        <v>#DIV/0!</v>
      </c>
      <c r="O13" s="275">
        <f t="shared" si="1"/>
        <v>0</v>
      </c>
      <c r="P13" s="275">
        <f t="shared" si="1"/>
        <v>0</v>
      </c>
    </row>
    <row r="14" spans="1:17" s="277" customFormat="1" ht="52.5" customHeight="1" x14ac:dyDescent="0.9">
      <c r="A14" s="1061"/>
      <c r="B14" s="333"/>
      <c r="C14" s="274" t="s">
        <v>845</v>
      </c>
      <c r="D14" s="275" t="e">
        <f>+D10*100/D8</f>
        <v>#DIV/0!</v>
      </c>
      <c r="E14" s="275" t="e">
        <f t="shared" ref="E14:P14" si="2">+E10*100/E8</f>
        <v>#DIV/0!</v>
      </c>
      <c r="F14" s="275" t="e">
        <f t="shared" si="2"/>
        <v>#DIV/0!</v>
      </c>
      <c r="G14" s="275" t="e">
        <f t="shared" si="2"/>
        <v>#DIV/0!</v>
      </c>
      <c r="H14" s="275" t="e">
        <f t="shared" si="2"/>
        <v>#DIV/0!</v>
      </c>
      <c r="I14" s="275" t="e">
        <f t="shared" si="2"/>
        <v>#DIV/0!</v>
      </c>
      <c r="J14" s="275" t="e">
        <f t="shared" si="2"/>
        <v>#DIV/0!</v>
      </c>
      <c r="K14" s="275" t="e">
        <f t="shared" si="2"/>
        <v>#DIV/0!</v>
      </c>
      <c r="L14" s="275" t="e">
        <f t="shared" si="2"/>
        <v>#DIV/0!</v>
      </c>
      <c r="M14" s="275" t="e">
        <f t="shared" si="2"/>
        <v>#DIV/0!</v>
      </c>
      <c r="N14" s="275" t="e">
        <f t="shared" si="2"/>
        <v>#DIV/0!</v>
      </c>
      <c r="O14" s="275">
        <f t="shared" si="2"/>
        <v>0</v>
      </c>
      <c r="P14" s="275">
        <f t="shared" si="2"/>
        <v>0</v>
      </c>
    </row>
    <row r="15" spans="1:17" s="277" customFormat="1" ht="52.5" customHeight="1" x14ac:dyDescent="0.5">
      <c r="A15" s="1057" t="s">
        <v>183</v>
      </c>
      <c r="B15" s="1062"/>
      <c r="C15" s="274" t="s">
        <v>828</v>
      </c>
      <c r="D15" s="275">
        <v>0</v>
      </c>
      <c r="E15" s="275">
        <v>0</v>
      </c>
      <c r="F15" s="275">
        <v>0</v>
      </c>
      <c r="G15" s="275">
        <f>SUM(D15:F15)</f>
        <v>0</v>
      </c>
      <c r="H15" s="275">
        <v>0</v>
      </c>
      <c r="I15" s="275">
        <v>0</v>
      </c>
      <c r="J15" s="275">
        <f>SUM(H15:I15)</f>
        <v>0</v>
      </c>
      <c r="K15" s="275">
        <v>0</v>
      </c>
      <c r="L15" s="275">
        <v>0</v>
      </c>
      <c r="M15" s="275">
        <f>SUM(K15:L15)</f>
        <v>0</v>
      </c>
      <c r="N15" s="275">
        <v>0</v>
      </c>
      <c r="O15" s="275">
        <f>5938000+10041500</f>
        <v>15979500</v>
      </c>
      <c r="P15" s="275">
        <f>+G15+J15+M15+N15+O15</f>
        <v>15979500</v>
      </c>
    </row>
    <row r="16" spans="1:17" s="277" customFormat="1" ht="52.5" customHeight="1" x14ac:dyDescent="0.5">
      <c r="A16" s="1057" t="s">
        <v>217</v>
      </c>
      <c r="B16" s="1057"/>
      <c r="C16" s="274" t="s">
        <v>844</v>
      </c>
      <c r="D16" s="275">
        <v>0</v>
      </c>
      <c r="E16" s="275">
        <v>0</v>
      </c>
      <c r="F16" s="275">
        <v>0</v>
      </c>
      <c r="G16" s="275">
        <f>SUM(D16:F16)</f>
        <v>0</v>
      </c>
      <c r="H16" s="275">
        <v>0</v>
      </c>
      <c r="I16" s="275">
        <v>0</v>
      </c>
      <c r="J16" s="275">
        <f>SUM(H16:I16)</f>
        <v>0</v>
      </c>
      <c r="K16" s="275">
        <v>0</v>
      </c>
      <c r="L16" s="275">
        <v>0</v>
      </c>
      <c r="M16" s="275">
        <f>SUM(K16:L16)</f>
        <v>0</v>
      </c>
      <c r="N16" s="275">
        <v>0</v>
      </c>
      <c r="O16" s="275">
        <f>5020700+2969000</f>
        <v>7989700</v>
      </c>
      <c r="P16" s="275">
        <f>+G16+J16+M16+N16+O16</f>
        <v>7989700</v>
      </c>
      <c r="Q16" s="277">
        <f>+P15-P16</f>
        <v>7989800</v>
      </c>
    </row>
    <row r="17" spans="1:17" s="277" customFormat="1" ht="52.5" customHeight="1" x14ac:dyDescent="0.5">
      <c r="A17" s="1060">
        <v>2</v>
      </c>
      <c r="B17" s="292" t="s">
        <v>548</v>
      </c>
      <c r="C17" s="274" t="s">
        <v>76</v>
      </c>
      <c r="D17" s="275">
        <v>0</v>
      </c>
      <c r="E17" s="275">
        <v>0</v>
      </c>
      <c r="F17" s="275">
        <v>0</v>
      </c>
      <c r="G17" s="275">
        <f>SUM(D17:F17)</f>
        <v>0</v>
      </c>
      <c r="H17" s="275">
        <v>0</v>
      </c>
      <c r="I17" s="275">
        <v>0</v>
      </c>
      <c r="J17" s="275">
        <f>SUM(H17:I17)</f>
        <v>0</v>
      </c>
      <c r="K17" s="275">
        <v>0</v>
      </c>
      <c r="L17" s="275">
        <v>0</v>
      </c>
      <c r="M17" s="275">
        <f>SUM(K17:L17)</f>
        <v>0</v>
      </c>
      <c r="N17" s="275">
        <v>0</v>
      </c>
      <c r="O17" s="275">
        <f>45410+2500000</f>
        <v>2545410</v>
      </c>
      <c r="P17" s="275">
        <f>+G17+J17+M17+N17+O17</f>
        <v>2545410</v>
      </c>
    </row>
    <row r="18" spans="1:17" s="277" customFormat="1" ht="52.5" customHeight="1" x14ac:dyDescent="0.5">
      <c r="A18" s="1060"/>
      <c r="B18" s="293" t="s">
        <v>218</v>
      </c>
      <c r="C18" s="274" t="s">
        <v>17</v>
      </c>
      <c r="D18" s="275">
        <v>0</v>
      </c>
      <c r="E18" s="275">
        <v>0</v>
      </c>
      <c r="F18" s="275">
        <v>0</v>
      </c>
      <c r="G18" s="275">
        <f>SUM(D18:F18)</f>
        <v>0</v>
      </c>
      <c r="H18" s="275">
        <v>0</v>
      </c>
      <c r="I18" s="275">
        <v>0</v>
      </c>
      <c r="J18" s="275">
        <f>SUM(H18:I18)</f>
        <v>0</v>
      </c>
      <c r="K18" s="275">
        <v>0</v>
      </c>
      <c r="L18" s="275">
        <v>0</v>
      </c>
      <c r="M18" s="275">
        <f>SUM(K18:L18)</f>
        <v>0</v>
      </c>
      <c r="N18" s="275">
        <v>0</v>
      </c>
      <c r="O18" s="275">
        <f>515473.32+82510+361478</f>
        <v>959461.32000000007</v>
      </c>
      <c r="P18" s="275">
        <f>+G18+J18+M18+N18+O18</f>
        <v>959461.32000000007</v>
      </c>
    </row>
    <row r="19" spans="1:17" s="277" customFormat="1" ht="52.5" customHeight="1" x14ac:dyDescent="0.5">
      <c r="A19" s="1060"/>
      <c r="B19" s="327" t="s">
        <v>549</v>
      </c>
      <c r="C19" s="274" t="s">
        <v>77</v>
      </c>
      <c r="D19" s="275">
        <f>+D16-D18</f>
        <v>0</v>
      </c>
      <c r="E19" s="275">
        <f>+E16-E18</f>
        <v>0</v>
      </c>
      <c r="F19" s="275">
        <f>+F16-F18</f>
        <v>0</v>
      </c>
      <c r="G19" s="275">
        <f>G16-G18</f>
        <v>0</v>
      </c>
      <c r="H19" s="275">
        <f>+H16-H18</f>
        <v>0</v>
      </c>
      <c r="I19" s="275">
        <f>+I16-I18</f>
        <v>0</v>
      </c>
      <c r="J19" s="275">
        <f t="shared" ref="J19" si="3">J16-J18</f>
        <v>0</v>
      </c>
      <c r="K19" s="275">
        <f>+K16-K18</f>
        <v>0</v>
      </c>
      <c r="L19" s="275">
        <f>+L16-L18</f>
        <v>0</v>
      </c>
      <c r="M19" s="275">
        <f t="shared" ref="M19" si="4">M16-M18</f>
        <v>0</v>
      </c>
      <c r="N19" s="275">
        <f>+N16-N18</f>
        <v>0</v>
      </c>
      <c r="O19" s="275">
        <f>+O16-O18</f>
        <v>7030238.6799999997</v>
      </c>
      <c r="P19" s="275">
        <f t="shared" ref="P19" si="5">P16-P18</f>
        <v>7030238.6799999997</v>
      </c>
    </row>
    <row r="20" spans="1:17" s="277" customFormat="1" ht="52.5" customHeight="1" x14ac:dyDescent="0.5">
      <c r="A20" s="1060"/>
      <c r="B20" s="293" t="s">
        <v>219</v>
      </c>
      <c r="C20" s="274" t="s">
        <v>881</v>
      </c>
      <c r="D20" s="275">
        <f>+D16-D17-D18</f>
        <v>0</v>
      </c>
      <c r="E20" s="275">
        <f>+E16-E17-E18</f>
        <v>0</v>
      </c>
      <c r="F20" s="275">
        <f>+F16-F17-F18</f>
        <v>0</v>
      </c>
      <c r="G20" s="275">
        <f>G16-G17-G18</f>
        <v>0</v>
      </c>
      <c r="H20" s="275">
        <f>+H16-H17-H18</f>
        <v>0</v>
      </c>
      <c r="I20" s="275">
        <f>+I16-I17-I18</f>
        <v>0</v>
      </c>
      <c r="J20" s="275">
        <f>J16-J17-J18</f>
        <v>0</v>
      </c>
      <c r="K20" s="275">
        <f>+K16-K17-K18</f>
        <v>0</v>
      </c>
      <c r="L20" s="275">
        <f>+L16-L17-L18</f>
        <v>0</v>
      </c>
      <c r="M20" s="275">
        <f>M16-M17-M18</f>
        <v>0</v>
      </c>
      <c r="N20" s="275">
        <f>+N16-N17-N18</f>
        <v>0</v>
      </c>
      <c r="O20" s="275">
        <f>+O16-O17-O18</f>
        <v>4484828.68</v>
      </c>
      <c r="P20" s="275">
        <f>P16-P17-P18</f>
        <v>4484828.68</v>
      </c>
    </row>
    <row r="21" spans="1:17" s="277" customFormat="1" ht="52.5" customHeight="1" x14ac:dyDescent="0.5">
      <c r="A21" s="1060"/>
      <c r="B21" s="293" t="s">
        <v>220</v>
      </c>
      <c r="C21" s="274" t="s">
        <v>97</v>
      </c>
      <c r="D21" s="275" t="e">
        <f>+D18*100/D15</f>
        <v>#DIV/0!</v>
      </c>
      <c r="E21" s="275" t="e">
        <f t="shared" ref="E21:P21" si="6">+E18*100/E15</f>
        <v>#DIV/0!</v>
      </c>
      <c r="F21" s="275" t="e">
        <f t="shared" si="6"/>
        <v>#DIV/0!</v>
      </c>
      <c r="G21" s="275" t="e">
        <f t="shared" si="6"/>
        <v>#DIV/0!</v>
      </c>
      <c r="H21" s="275" t="e">
        <f t="shared" si="6"/>
        <v>#DIV/0!</v>
      </c>
      <c r="I21" s="275" t="e">
        <f t="shared" si="6"/>
        <v>#DIV/0!</v>
      </c>
      <c r="J21" s="275" t="e">
        <f t="shared" si="6"/>
        <v>#DIV/0!</v>
      </c>
      <c r="K21" s="275" t="e">
        <f t="shared" si="6"/>
        <v>#DIV/0!</v>
      </c>
      <c r="L21" s="275" t="e">
        <f t="shared" si="6"/>
        <v>#DIV/0!</v>
      </c>
      <c r="M21" s="275" t="e">
        <f t="shared" si="6"/>
        <v>#DIV/0!</v>
      </c>
      <c r="N21" s="275" t="e">
        <f t="shared" si="6"/>
        <v>#DIV/0!</v>
      </c>
      <c r="O21" s="275">
        <f t="shared" si="6"/>
        <v>6.004326293062987</v>
      </c>
      <c r="P21" s="275">
        <f t="shared" si="6"/>
        <v>6.004326293062987</v>
      </c>
    </row>
    <row r="22" spans="1:17" s="277" customFormat="1" ht="52.5" customHeight="1" x14ac:dyDescent="0.5">
      <c r="A22" s="1061"/>
      <c r="B22" s="334" t="s">
        <v>550</v>
      </c>
      <c r="C22" s="274" t="s">
        <v>845</v>
      </c>
      <c r="D22" s="275" t="e">
        <f>+D18*100/D16</f>
        <v>#DIV/0!</v>
      </c>
      <c r="E22" s="275" t="e">
        <f t="shared" ref="E22:P22" si="7">+E18*100/E16</f>
        <v>#DIV/0!</v>
      </c>
      <c r="F22" s="275" t="e">
        <f t="shared" si="7"/>
        <v>#DIV/0!</v>
      </c>
      <c r="G22" s="275" t="e">
        <f t="shared" si="7"/>
        <v>#DIV/0!</v>
      </c>
      <c r="H22" s="275" t="e">
        <f t="shared" si="7"/>
        <v>#DIV/0!</v>
      </c>
      <c r="I22" s="275" t="e">
        <f t="shared" si="7"/>
        <v>#DIV/0!</v>
      </c>
      <c r="J22" s="275" t="e">
        <f t="shared" si="7"/>
        <v>#DIV/0!</v>
      </c>
      <c r="K22" s="275" t="e">
        <f t="shared" si="7"/>
        <v>#DIV/0!</v>
      </c>
      <c r="L22" s="275" t="e">
        <f t="shared" si="7"/>
        <v>#DIV/0!</v>
      </c>
      <c r="M22" s="275" t="e">
        <f t="shared" si="7"/>
        <v>#DIV/0!</v>
      </c>
      <c r="N22" s="275" t="e">
        <f t="shared" si="7"/>
        <v>#DIV/0!</v>
      </c>
      <c r="O22" s="275">
        <f t="shared" si="7"/>
        <v>12.008727736961339</v>
      </c>
      <c r="P22" s="275">
        <f t="shared" si="7"/>
        <v>12.008727736961339</v>
      </c>
    </row>
    <row r="23" spans="1:17" s="277" customFormat="1" ht="52.5" customHeight="1" x14ac:dyDescent="0.5">
      <c r="A23" s="1057" t="s">
        <v>210</v>
      </c>
      <c r="B23" s="1057"/>
      <c r="C23" s="274" t="s">
        <v>828</v>
      </c>
      <c r="D23" s="275">
        <v>0</v>
      </c>
      <c r="E23" s="275">
        <v>0</v>
      </c>
      <c r="F23" s="275">
        <v>0</v>
      </c>
      <c r="G23" s="275">
        <f>SUM(D23:F23)</f>
        <v>0</v>
      </c>
      <c r="H23" s="275">
        <v>4643900</v>
      </c>
      <c r="I23" s="275">
        <v>5232600</v>
      </c>
      <c r="J23" s="275">
        <f>SUM(H23:I23)</f>
        <v>9876500</v>
      </c>
      <c r="K23" s="275">
        <v>0</v>
      </c>
      <c r="L23" s="275">
        <v>0</v>
      </c>
      <c r="M23" s="275">
        <f>SUM(K23:L23)</f>
        <v>0</v>
      </c>
      <c r="N23" s="275">
        <v>0</v>
      </c>
      <c r="O23" s="275">
        <v>0</v>
      </c>
      <c r="P23" s="275">
        <f>+G23+J23+M23+N23+O23</f>
        <v>9876500</v>
      </c>
    </row>
    <row r="24" spans="1:17" s="277" customFormat="1" ht="52.5" customHeight="1" x14ac:dyDescent="0.5">
      <c r="A24" s="1060">
        <v>3</v>
      </c>
      <c r="B24" s="292" t="s">
        <v>551</v>
      </c>
      <c r="C24" s="274" t="s">
        <v>844</v>
      </c>
      <c r="D24" s="275">
        <v>0</v>
      </c>
      <c r="E24" s="275">
        <v>0</v>
      </c>
      <c r="F24" s="275">
        <v>0</v>
      </c>
      <c r="G24" s="275">
        <f>SUM(D24:F24)</f>
        <v>0</v>
      </c>
      <c r="H24" s="275">
        <f>+H23/2-25</f>
        <v>2321925</v>
      </c>
      <c r="I24" s="275">
        <f>+I23/2-25</f>
        <v>2616275</v>
      </c>
      <c r="J24" s="275">
        <f>SUM(H24:I24)</f>
        <v>4938200</v>
      </c>
      <c r="K24" s="275">
        <v>0</v>
      </c>
      <c r="L24" s="275">
        <v>0</v>
      </c>
      <c r="M24" s="275">
        <f>SUM(K24:L24)</f>
        <v>0</v>
      </c>
      <c r="N24" s="275">
        <v>0</v>
      </c>
      <c r="O24" s="275">
        <v>0</v>
      </c>
      <c r="P24" s="275">
        <f>+G24+J24+M24+N24+O24</f>
        <v>4938200</v>
      </c>
      <c r="Q24" s="277">
        <f>+P23-P24</f>
        <v>4938300</v>
      </c>
    </row>
    <row r="25" spans="1:17" s="277" customFormat="1" ht="52.5" customHeight="1" x14ac:dyDescent="0.5">
      <c r="A25" s="1060"/>
      <c r="B25" s="292" t="s">
        <v>552</v>
      </c>
      <c r="C25" s="274" t="s">
        <v>76</v>
      </c>
      <c r="D25" s="275">
        <v>0</v>
      </c>
      <c r="E25" s="275">
        <v>0</v>
      </c>
      <c r="F25" s="275">
        <v>0</v>
      </c>
      <c r="G25" s="275">
        <f>SUM(D25:F25)</f>
        <v>0</v>
      </c>
      <c r="H25" s="275">
        <v>0</v>
      </c>
      <c r="I25" s="275">
        <v>0</v>
      </c>
      <c r="J25" s="275">
        <f>SUM(H25:I25)</f>
        <v>0</v>
      </c>
      <c r="K25" s="275">
        <v>0</v>
      </c>
      <c r="L25" s="275">
        <v>0</v>
      </c>
      <c r="M25" s="275">
        <f>SUM(K25:L25)</f>
        <v>0</v>
      </c>
      <c r="N25" s="275">
        <v>0</v>
      </c>
      <c r="O25" s="275">
        <v>0</v>
      </c>
      <c r="P25" s="275">
        <f>+G25+J25+M25+N25+O25</f>
        <v>0</v>
      </c>
      <c r="Q25" s="277" t="e">
        <f>SUM(#REF!)</f>
        <v>#REF!</v>
      </c>
    </row>
    <row r="26" spans="1:17" s="277" customFormat="1" ht="52.5" customHeight="1" x14ac:dyDescent="0.5">
      <c r="A26" s="1060"/>
      <c r="B26" s="292" t="s">
        <v>223</v>
      </c>
      <c r="C26" s="274" t="s">
        <v>17</v>
      </c>
      <c r="D26" s="275">
        <v>0</v>
      </c>
      <c r="E26" s="275">
        <v>0</v>
      </c>
      <c r="F26" s="275">
        <v>0</v>
      </c>
      <c r="G26" s="275">
        <f>SUM(D26:F26)</f>
        <v>0</v>
      </c>
      <c r="H26" s="275">
        <f>3481460.11-I26</f>
        <v>476498.52</v>
      </c>
      <c r="I26" s="275">
        <v>3004961.59</v>
      </c>
      <c r="J26" s="275">
        <f>SUM(H26:I26)</f>
        <v>3481460.11</v>
      </c>
      <c r="K26" s="275">
        <v>0</v>
      </c>
      <c r="L26" s="275">
        <v>0</v>
      </c>
      <c r="M26" s="275">
        <f>SUM(K26:L26)</f>
        <v>0</v>
      </c>
      <c r="N26" s="275">
        <v>0</v>
      </c>
      <c r="O26" s="275">
        <v>0</v>
      </c>
      <c r="P26" s="275">
        <f>+G26+J26+M26+N26+O26</f>
        <v>3481460.11</v>
      </c>
    </row>
    <row r="27" spans="1:17" s="278" customFormat="1" ht="52.5" customHeight="1" x14ac:dyDescent="0.5">
      <c r="A27" s="1060"/>
      <c r="B27" s="293" t="s">
        <v>553</v>
      </c>
      <c r="C27" s="274" t="s">
        <v>77</v>
      </c>
      <c r="D27" s="275">
        <f>+D24-D26</f>
        <v>0</v>
      </c>
      <c r="E27" s="275">
        <f>+E24-E26</f>
        <v>0</v>
      </c>
      <c r="F27" s="275">
        <f>+F24-F26</f>
        <v>0</v>
      </c>
      <c r="G27" s="275">
        <f>G24-G26</f>
        <v>0</v>
      </c>
      <c r="H27" s="275">
        <f>+H24-H26</f>
        <v>1845426.48</v>
      </c>
      <c r="I27" s="275">
        <f>+I24-I26</f>
        <v>-388686.58999999985</v>
      </c>
      <c r="J27" s="275">
        <f t="shared" ref="J27" si="8">J24-J26</f>
        <v>1456739.8900000001</v>
      </c>
      <c r="K27" s="275">
        <f>+K24-K26</f>
        <v>0</v>
      </c>
      <c r="L27" s="275">
        <f>+L24-L26</f>
        <v>0</v>
      </c>
      <c r="M27" s="275">
        <f t="shared" ref="M27" si="9">M24-M26</f>
        <v>0</v>
      </c>
      <c r="N27" s="275">
        <f>+N24-N26</f>
        <v>0</v>
      </c>
      <c r="O27" s="275">
        <f>+O24-O26</f>
        <v>0</v>
      </c>
      <c r="P27" s="275">
        <f t="shared" ref="P27" si="10">P24-P26</f>
        <v>1456739.8900000001</v>
      </c>
    </row>
    <row r="28" spans="1:17" s="278" customFormat="1" ht="52.5" customHeight="1" x14ac:dyDescent="0.5">
      <c r="A28" s="1060"/>
      <c r="B28" s="300"/>
      <c r="C28" s="274" t="s">
        <v>881</v>
      </c>
      <c r="D28" s="275">
        <f>+D24-D25-D26</f>
        <v>0</v>
      </c>
      <c r="E28" s="275">
        <f>+E24-E25-E26</f>
        <v>0</v>
      </c>
      <c r="F28" s="275">
        <f>+F24-F25-F26</f>
        <v>0</v>
      </c>
      <c r="G28" s="275">
        <f>G24-G25-G26</f>
        <v>0</v>
      </c>
      <c r="H28" s="275">
        <f>+H24-H25-H26</f>
        <v>1845426.48</v>
      </c>
      <c r="I28" s="275">
        <f>+I24-I25-I26</f>
        <v>-388686.58999999985</v>
      </c>
      <c r="J28" s="275">
        <f>J24-J25-J26</f>
        <v>1456739.8900000001</v>
      </c>
      <c r="K28" s="275">
        <f>+K24-K25-K26</f>
        <v>0</v>
      </c>
      <c r="L28" s="275">
        <f>+L24-L25-L26</f>
        <v>0</v>
      </c>
      <c r="M28" s="275">
        <f>M24-M25-M26</f>
        <v>0</v>
      </c>
      <c r="N28" s="275">
        <f>+N24-N25-N26</f>
        <v>0</v>
      </c>
      <c r="O28" s="275">
        <f>+O24-O25-O26</f>
        <v>0</v>
      </c>
      <c r="P28" s="275">
        <f>P24-P25-P26</f>
        <v>1456739.8900000001</v>
      </c>
    </row>
    <row r="29" spans="1:17" s="277" customFormat="1" ht="52.5" customHeight="1" x14ac:dyDescent="0.5">
      <c r="A29" s="1060"/>
      <c r="B29" s="471"/>
      <c r="C29" s="274" t="s">
        <v>97</v>
      </c>
      <c r="D29" s="275" t="e">
        <f>+D26*100/D23</f>
        <v>#DIV/0!</v>
      </c>
      <c r="E29" s="275" t="e">
        <f t="shared" ref="E29:P29" si="11">+E26*100/E23</f>
        <v>#DIV/0!</v>
      </c>
      <c r="F29" s="275" t="e">
        <f t="shared" si="11"/>
        <v>#DIV/0!</v>
      </c>
      <c r="G29" s="275" t="e">
        <f t="shared" si="11"/>
        <v>#DIV/0!</v>
      </c>
      <c r="H29" s="275">
        <f t="shared" si="11"/>
        <v>10.260740326019079</v>
      </c>
      <c r="I29" s="275">
        <f t="shared" si="11"/>
        <v>57.427695409547837</v>
      </c>
      <c r="J29" s="275">
        <f t="shared" si="11"/>
        <v>35.249937832228014</v>
      </c>
      <c r="K29" s="275" t="e">
        <f t="shared" si="11"/>
        <v>#DIV/0!</v>
      </c>
      <c r="L29" s="275" t="e">
        <f t="shared" si="11"/>
        <v>#DIV/0!</v>
      </c>
      <c r="M29" s="275" t="e">
        <f t="shared" si="11"/>
        <v>#DIV/0!</v>
      </c>
      <c r="N29" s="275" t="e">
        <f t="shared" si="11"/>
        <v>#DIV/0!</v>
      </c>
      <c r="O29" s="275" t="e">
        <f t="shared" si="11"/>
        <v>#DIV/0!</v>
      </c>
      <c r="P29" s="275">
        <f t="shared" si="11"/>
        <v>35.249937832228014</v>
      </c>
    </row>
    <row r="30" spans="1:17" s="277" customFormat="1" ht="52.5" customHeight="1" x14ac:dyDescent="0.5">
      <c r="A30" s="1061"/>
      <c r="B30" s="335">
        <f>+B28-B29</f>
        <v>0</v>
      </c>
      <c r="C30" s="274" t="s">
        <v>845</v>
      </c>
      <c r="D30" s="275" t="e">
        <f>+D26*100/D24</f>
        <v>#DIV/0!</v>
      </c>
      <c r="E30" s="275" t="e">
        <f t="shared" ref="E30:P30" si="12">+E26*100/E24</f>
        <v>#DIV/0!</v>
      </c>
      <c r="F30" s="275" t="e">
        <f t="shared" si="12"/>
        <v>#DIV/0!</v>
      </c>
      <c r="G30" s="275" t="e">
        <f t="shared" si="12"/>
        <v>#DIV/0!</v>
      </c>
      <c r="H30" s="275">
        <f t="shared" si="12"/>
        <v>20.521701605349008</v>
      </c>
      <c r="I30" s="275">
        <f t="shared" si="12"/>
        <v>114.85648832787074</v>
      </c>
      <c r="J30" s="275">
        <f t="shared" si="12"/>
        <v>70.500589486047545</v>
      </c>
      <c r="K30" s="275" t="e">
        <f t="shared" si="12"/>
        <v>#DIV/0!</v>
      </c>
      <c r="L30" s="275" t="e">
        <f t="shared" si="12"/>
        <v>#DIV/0!</v>
      </c>
      <c r="M30" s="275" t="e">
        <f t="shared" si="12"/>
        <v>#DIV/0!</v>
      </c>
      <c r="N30" s="275" t="e">
        <f t="shared" si="12"/>
        <v>#DIV/0!</v>
      </c>
      <c r="O30" s="275" t="e">
        <f t="shared" si="12"/>
        <v>#DIV/0!</v>
      </c>
      <c r="P30" s="275">
        <f t="shared" si="12"/>
        <v>70.500589486047545</v>
      </c>
    </row>
    <row r="31" spans="1:17" s="277" customFormat="1" ht="52.5" customHeight="1" x14ac:dyDescent="0.5">
      <c r="A31" s="1063" t="s">
        <v>221</v>
      </c>
      <c r="B31" s="1063"/>
      <c r="C31" s="274" t="s">
        <v>828</v>
      </c>
      <c r="D31" s="275">
        <v>627075500</v>
      </c>
      <c r="E31" s="275">
        <v>246152200</v>
      </c>
      <c r="F31" s="275">
        <v>516824300</v>
      </c>
      <c r="G31" s="275">
        <f>SUM(D31:F31)</f>
        <v>1390052000</v>
      </c>
      <c r="H31" s="275">
        <v>30007600</v>
      </c>
      <c r="I31" s="275">
        <v>0</v>
      </c>
      <c r="J31" s="275">
        <f>SUM(H31:I31)</f>
        <v>30007600</v>
      </c>
      <c r="K31" s="275">
        <v>0</v>
      </c>
      <c r="L31" s="275">
        <v>0</v>
      </c>
      <c r="M31" s="275">
        <f>SUM(K31:L31)</f>
        <v>0</v>
      </c>
      <c r="N31" s="275">
        <v>0</v>
      </c>
      <c r="O31" s="275">
        <v>0</v>
      </c>
      <c r="P31" s="275">
        <f>+G31+J31+M31+N31+O31</f>
        <v>1420059600</v>
      </c>
    </row>
    <row r="32" spans="1:17" s="277" customFormat="1" ht="52.5" customHeight="1" x14ac:dyDescent="0.5">
      <c r="A32" s="1060">
        <v>4</v>
      </c>
      <c r="B32" s="294" t="s">
        <v>222</v>
      </c>
      <c r="C32" s="274" t="s">
        <v>844</v>
      </c>
      <c r="D32" s="275">
        <f>+D31/2</f>
        <v>313537750</v>
      </c>
      <c r="E32" s="275">
        <f t="shared" ref="E32:F32" si="13">+E31/2</f>
        <v>123076100</v>
      </c>
      <c r="F32" s="275">
        <f t="shared" si="13"/>
        <v>258412150</v>
      </c>
      <c r="G32" s="275">
        <f>SUM(D32:F32)</f>
        <v>695026000</v>
      </c>
      <c r="H32" s="275">
        <v>15003700</v>
      </c>
      <c r="I32" s="275">
        <v>0</v>
      </c>
      <c r="J32" s="275">
        <f>SUM(H32:I32)</f>
        <v>15003700</v>
      </c>
      <c r="K32" s="275">
        <v>0</v>
      </c>
      <c r="L32" s="275">
        <v>0</v>
      </c>
      <c r="M32" s="275">
        <f>SUM(K32:L32)</f>
        <v>0</v>
      </c>
      <c r="N32" s="275">
        <v>0</v>
      </c>
      <c r="O32" s="275">
        <v>0</v>
      </c>
      <c r="P32" s="275">
        <f>+G32+J32+M32+N32+O32</f>
        <v>710029700</v>
      </c>
    </row>
    <row r="33" spans="1:17" s="277" customFormat="1" ht="52.5" customHeight="1" x14ac:dyDescent="0.5">
      <c r="A33" s="1060"/>
      <c r="B33" s="294" t="s">
        <v>554</v>
      </c>
      <c r="C33" s="274" t="s">
        <v>76</v>
      </c>
      <c r="D33" s="275">
        <v>0</v>
      </c>
      <c r="E33" s="275">
        <v>0</v>
      </c>
      <c r="F33" s="275">
        <v>0</v>
      </c>
      <c r="G33" s="275">
        <f>SUM(D33:F33)</f>
        <v>0</v>
      </c>
      <c r="H33" s="275">
        <v>0</v>
      </c>
      <c r="I33" s="275">
        <v>0</v>
      </c>
      <c r="J33" s="275">
        <f>SUM(H33:I33)</f>
        <v>0</v>
      </c>
      <c r="K33" s="275">
        <v>0</v>
      </c>
      <c r="L33" s="275">
        <v>0</v>
      </c>
      <c r="M33" s="275">
        <f>SUM(K33:L33)</f>
        <v>0</v>
      </c>
      <c r="N33" s="275">
        <v>0</v>
      </c>
      <c r="O33" s="275">
        <v>0</v>
      </c>
      <c r="P33" s="275">
        <f>+G33+J33+M33+N33+O33</f>
        <v>0</v>
      </c>
    </row>
    <row r="34" spans="1:17" s="277" customFormat="1" ht="52.5" customHeight="1" x14ac:dyDescent="0.5">
      <c r="A34" s="1060"/>
      <c r="B34" s="295" t="s">
        <v>225</v>
      </c>
      <c r="C34" s="274" t="s">
        <v>17</v>
      </c>
      <c r="D34" s="275">
        <v>211642382.62</v>
      </c>
      <c r="E34" s="275">
        <v>80930609.780000001</v>
      </c>
      <c r="F34" s="275">
        <v>163405231.87</v>
      </c>
      <c r="G34" s="275">
        <f>SUM(D34:F34)</f>
        <v>455978224.26999998</v>
      </c>
      <c r="H34" s="275">
        <f>4947939.93+4428780.2</f>
        <v>9376720.129999999</v>
      </c>
      <c r="I34" s="275">
        <v>0</v>
      </c>
      <c r="J34" s="275">
        <f>SUM(H34:I34)</f>
        <v>9376720.129999999</v>
      </c>
      <c r="K34" s="275">
        <v>0</v>
      </c>
      <c r="L34" s="275">
        <v>0</v>
      </c>
      <c r="M34" s="275">
        <f>SUM(K34:L34)</f>
        <v>0</v>
      </c>
      <c r="N34" s="275">
        <v>0</v>
      </c>
      <c r="O34" s="275">
        <v>0</v>
      </c>
      <c r="P34" s="275">
        <f>+G34+J34+M34+N34+O34</f>
        <v>465354944.39999998</v>
      </c>
    </row>
    <row r="35" spans="1:17" s="278" customFormat="1" ht="52.5" customHeight="1" x14ac:dyDescent="0.5">
      <c r="A35" s="1060"/>
      <c r="B35" s="295" t="s">
        <v>555</v>
      </c>
      <c r="C35" s="274" t="s">
        <v>77</v>
      </c>
      <c r="D35" s="275">
        <f>+D32-D34</f>
        <v>101895367.38</v>
      </c>
      <c r="E35" s="275">
        <f>+E32-E34</f>
        <v>42145490.219999999</v>
      </c>
      <c r="F35" s="275">
        <f>+F32-F34</f>
        <v>95006918.129999995</v>
      </c>
      <c r="G35" s="275">
        <f>G32-G34</f>
        <v>239047775.73000002</v>
      </c>
      <c r="H35" s="275">
        <f>+H32-H34</f>
        <v>5626979.870000001</v>
      </c>
      <c r="I35" s="275">
        <f>+I32-I34</f>
        <v>0</v>
      </c>
      <c r="J35" s="275">
        <f t="shared" ref="J35" si="14">J32-J34</f>
        <v>5626979.870000001</v>
      </c>
      <c r="K35" s="275">
        <f>+K32-K34</f>
        <v>0</v>
      </c>
      <c r="L35" s="275">
        <f>+L32-L34</f>
        <v>0</v>
      </c>
      <c r="M35" s="275">
        <f t="shared" ref="M35" si="15">M32-M34</f>
        <v>0</v>
      </c>
      <c r="N35" s="275">
        <f>+N32-N34</f>
        <v>0</v>
      </c>
      <c r="O35" s="275">
        <f>+O32-O34</f>
        <v>0</v>
      </c>
      <c r="P35" s="275">
        <f t="shared" ref="P35" si="16">P32-P34</f>
        <v>244674755.60000002</v>
      </c>
    </row>
    <row r="36" spans="1:17" s="278" customFormat="1" ht="52.5" customHeight="1" x14ac:dyDescent="0.5">
      <c r="A36" s="1060"/>
      <c r="B36" s="300"/>
      <c r="C36" s="274" t="s">
        <v>881</v>
      </c>
      <c r="D36" s="275">
        <f>+D32-D33-D34</f>
        <v>101895367.38</v>
      </c>
      <c r="E36" s="275">
        <f>+E32-E33-E34</f>
        <v>42145490.219999999</v>
      </c>
      <c r="F36" s="275">
        <f>+F32-F33-F34</f>
        <v>95006918.129999995</v>
      </c>
      <c r="G36" s="275">
        <f>G32-G33-G34</f>
        <v>239047775.73000002</v>
      </c>
      <c r="H36" s="275">
        <f>+H32-H33-H34</f>
        <v>5626979.870000001</v>
      </c>
      <c r="I36" s="275">
        <f>+I32-I33-I34</f>
        <v>0</v>
      </c>
      <c r="J36" s="275">
        <f>J32-J33-J34</f>
        <v>5626979.870000001</v>
      </c>
      <c r="K36" s="275">
        <f>+K32-K33-K34</f>
        <v>0</v>
      </c>
      <c r="L36" s="275">
        <f>+L32-L33-L34</f>
        <v>0</v>
      </c>
      <c r="M36" s="275">
        <f>M32-M33-M34</f>
        <v>0</v>
      </c>
      <c r="N36" s="275">
        <f>+N32-N33-N34</f>
        <v>0</v>
      </c>
      <c r="O36" s="275">
        <f>+O32-O33-O34</f>
        <v>0</v>
      </c>
      <c r="P36" s="275">
        <f>P32-P33-P34</f>
        <v>244674755.60000002</v>
      </c>
    </row>
    <row r="37" spans="1:17" s="277" customFormat="1" ht="52.5" customHeight="1" x14ac:dyDescent="0.5">
      <c r="A37" s="1060"/>
      <c r="B37" s="300"/>
      <c r="C37" s="274" t="s">
        <v>97</v>
      </c>
      <c r="D37" s="275">
        <f>+D34*100/D31</f>
        <v>33.7507018883691</v>
      </c>
      <c r="E37" s="275">
        <f t="shared" ref="E37:P37" si="17">+E34*100/E31</f>
        <v>32.878280096623143</v>
      </c>
      <c r="F37" s="275">
        <f t="shared" si="17"/>
        <v>31.617172774190379</v>
      </c>
      <c r="G37" s="275">
        <f t="shared" si="17"/>
        <v>32.802961635248181</v>
      </c>
      <c r="H37" s="275">
        <f t="shared" si="17"/>
        <v>31.247817652861272</v>
      </c>
      <c r="I37" s="275" t="e">
        <f t="shared" si="17"/>
        <v>#DIV/0!</v>
      </c>
      <c r="J37" s="275">
        <f t="shared" si="17"/>
        <v>31.247817652861272</v>
      </c>
      <c r="K37" s="275" t="e">
        <f t="shared" si="17"/>
        <v>#DIV/0!</v>
      </c>
      <c r="L37" s="275" t="e">
        <f t="shared" si="17"/>
        <v>#DIV/0!</v>
      </c>
      <c r="M37" s="275" t="e">
        <f t="shared" si="17"/>
        <v>#DIV/0!</v>
      </c>
      <c r="N37" s="275" t="e">
        <f t="shared" si="17"/>
        <v>#DIV/0!</v>
      </c>
      <c r="O37" s="275" t="e">
        <f t="shared" si="17"/>
        <v>#DIV/0!</v>
      </c>
      <c r="P37" s="275">
        <f t="shared" si="17"/>
        <v>32.770099536667331</v>
      </c>
    </row>
    <row r="38" spans="1:17" s="277" customFormat="1" ht="52.5" customHeight="1" x14ac:dyDescent="0.5">
      <c r="A38" s="1061"/>
      <c r="B38" s="336"/>
      <c r="C38" s="274" t="s">
        <v>845</v>
      </c>
      <c r="D38" s="275">
        <f>+D34*100/D32</f>
        <v>67.501403776738201</v>
      </c>
      <c r="E38" s="275">
        <f t="shared" ref="E38:P38" si="18">+E34*100/E32</f>
        <v>65.756560193246287</v>
      </c>
      <c r="F38" s="275">
        <f t="shared" si="18"/>
        <v>63.234345548380759</v>
      </c>
      <c r="G38" s="275">
        <f t="shared" si="18"/>
        <v>65.605923270496362</v>
      </c>
      <c r="H38" s="275">
        <f t="shared" si="18"/>
        <v>62.496051840545988</v>
      </c>
      <c r="I38" s="275" t="e">
        <f t="shared" si="18"/>
        <v>#DIV/0!</v>
      </c>
      <c r="J38" s="275">
        <f t="shared" si="18"/>
        <v>62.496051840545988</v>
      </c>
      <c r="K38" s="275" t="e">
        <f t="shared" si="18"/>
        <v>#DIV/0!</v>
      </c>
      <c r="L38" s="275" t="e">
        <f t="shared" si="18"/>
        <v>#DIV/0!</v>
      </c>
      <c r="M38" s="275" t="e">
        <f t="shared" si="18"/>
        <v>#DIV/0!</v>
      </c>
      <c r="N38" s="275" t="e">
        <f t="shared" si="18"/>
        <v>#DIV/0!</v>
      </c>
      <c r="O38" s="275" t="e">
        <f t="shared" si="18"/>
        <v>#DIV/0!</v>
      </c>
      <c r="P38" s="275">
        <f t="shared" si="18"/>
        <v>65.540208303962501</v>
      </c>
    </row>
    <row r="39" spans="1:17" s="277" customFormat="1" ht="52.5" customHeight="1" x14ac:dyDescent="0.5">
      <c r="A39" s="1057" t="s">
        <v>315</v>
      </c>
      <c r="B39" s="1057"/>
      <c r="C39" s="274" t="s">
        <v>828</v>
      </c>
      <c r="D39" s="275">
        <v>0</v>
      </c>
      <c r="E39" s="275">
        <v>0</v>
      </c>
      <c r="F39" s="275">
        <v>0</v>
      </c>
      <c r="G39" s="275">
        <f>SUM(D39:F39)</f>
        <v>0</v>
      </c>
      <c r="H39" s="275">
        <v>0</v>
      </c>
      <c r="I39" s="275">
        <v>0</v>
      </c>
      <c r="J39" s="275">
        <f>SUM(H39:I39)</f>
        <v>0</v>
      </c>
      <c r="K39" s="275">
        <v>0</v>
      </c>
      <c r="L39" s="275">
        <v>0</v>
      </c>
      <c r="M39" s="275">
        <f>SUM(K39:L39)</f>
        <v>0</v>
      </c>
      <c r="N39" s="275">
        <v>0</v>
      </c>
      <c r="O39" s="275">
        <v>1567000</v>
      </c>
      <c r="P39" s="275">
        <f>+G39+J39+M39+N39+O39</f>
        <v>1567000</v>
      </c>
    </row>
    <row r="40" spans="1:17" s="277" customFormat="1" ht="52.5" customHeight="1" x14ac:dyDescent="0.5">
      <c r="A40" s="1057" t="s">
        <v>832</v>
      </c>
      <c r="B40" s="1062"/>
      <c r="C40" s="274" t="s">
        <v>844</v>
      </c>
      <c r="D40" s="275">
        <v>0</v>
      </c>
      <c r="E40" s="275">
        <v>0</v>
      </c>
      <c r="F40" s="275">
        <v>0</v>
      </c>
      <c r="G40" s="275">
        <f>SUM(D40:F40)</f>
        <v>0</v>
      </c>
      <c r="H40" s="275">
        <v>0</v>
      </c>
      <c r="I40" s="275">
        <v>0</v>
      </c>
      <c r="J40" s="275">
        <f>SUM(H40:I40)</f>
        <v>0</v>
      </c>
      <c r="K40" s="275">
        <v>0</v>
      </c>
      <c r="L40" s="275">
        <v>0</v>
      </c>
      <c r="M40" s="275">
        <f>SUM(K40:L40)</f>
        <v>0</v>
      </c>
      <c r="N40" s="275">
        <v>0</v>
      </c>
      <c r="O40" s="275">
        <v>783500</v>
      </c>
      <c r="P40" s="275">
        <f>+G40+J40+M40+N40+O40</f>
        <v>783500</v>
      </c>
      <c r="Q40" s="277">
        <f>+P39-P40</f>
        <v>783500</v>
      </c>
    </row>
    <row r="41" spans="1:17" s="277" customFormat="1" ht="52.5" customHeight="1" x14ac:dyDescent="0.5">
      <c r="A41" s="1058">
        <v>5</v>
      </c>
      <c r="B41" s="292" t="s">
        <v>833</v>
      </c>
      <c r="C41" s="274" t="s">
        <v>76</v>
      </c>
      <c r="D41" s="275">
        <v>0</v>
      </c>
      <c r="E41" s="275">
        <v>0</v>
      </c>
      <c r="F41" s="275">
        <v>0</v>
      </c>
      <c r="G41" s="275">
        <f>SUM(D41:F41)</f>
        <v>0</v>
      </c>
      <c r="H41" s="275">
        <v>0</v>
      </c>
      <c r="I41" s="275">
        <v>0</v>
      </c>
      <c r="J41" s="275">
        <f>SUM(H41:I41)</f>
        <v>0</v>
      </c>
      <c r="K41" s="275">
        <v>0</v>
      </c>
      <c r="L41" s="275">
        <v>0</v>
      </c>
      <c r="M41" s="275">
        <f>SUM(K41:L41)</f>
        <v>0</v>
      </c>
      <c r="N41" s="275">
        <v>0</v>
      </c>
      <c r="O41" s="275">
        <v>65710</v>
      </c>
      <c r="P41" s="275">
        <f>+G41+J41+M41+N41+O41</f>
        <v>65710</v>
      </c>
      <c r="Q41" s="277">
        <f>SUM(Q32:Q40)</f>
        <v>783500</v>
      </c>
    </row>
    <row r="42" spans="1:17" s="277" customFormat="1" ht="52.5" customHeight="1" x14ac:dyDescent="0.5">
      <c r="A42" s="1058"/>
      <c r="B42" s="297" t="s">
        <v>834</v>
      </c>
      <c r="C42" s="274" t="s">
        <v>17</v>
      </c>
      <c r="D42" s="275">
        <v>0</v>
      </c>
      <c r="E42" s="275">
        <v>0</v>
      </c>
      <c r="F42" s="275">
        <v>0</v>
      </c>
      <c r="G42" s="275">
        <f>SUM(D42:F42)</f>
        <v>0</v>
      </c>
      <c r="H42" s="275">
        <v>0</v>
      </c>
      <c r="I42" s="275">
        <v>0</v>
      </c>
      <c r="J42" s="275">
        <f>SUM(H42:I42)</f>
        <v>0</v>
      </c>
      <c r="K42" s="275">
        <v>0</v>
      </c>
      <c r="L42" s="275">
        <v>0</v>
      </c>
      <c r="M42" s="275">
        <f>SUM(K42:L42)</f>
        <v>0</v>
      </c>
      <c r="N42" s="275">
        <v>0</v>
      </c>
      <c r="O42" s="275">
        <v>99654.5</v>
      </c>
      <c r="P42" s="275">
        <f>+G42+J42+M42+N42+O42</f>
        <v>99654.5</v>
      </c>
    </row>
    <row r="43" spans="1:17" s="278" customFormat="1" ht="52.5" customHeight="1" x14ac:dyDescent="0.5">
      <c r="A43" s="1058"/>
      <c r="B43" s="295" t="s">
        <v>835</v>
      </c>
      <c r="C43" s="274" t="s">
        <v>77</v>
      </c>
      <c r="D43" s="275">
        <f>+D40-D42</f>
        <v>0</v>
      </c>
      <c r="E43" s="275">
        <f>+E40-E42</f>
        <v>0</v>
      </c>
      <c r="F43" s="275">
        <f>+F40-F42</f>
        <v>0</v>
      </c>
      <c r="G43" s="275">
        <f>G40-G42</f>
        <v>0</v>
      </c>
      <c r="H43" s="275">
        <f>+H40-H42</f>
        <v>0</v>
      </c>
      <c r="I43" s="275">
        <f>+I40-I42</f>
        <v>0</v>
      </c>
      <c r="J43" s="275">
        <f t="shared" ref="J43" si="19">J40-J42</f>
        <v>0</v>
      </c>
      <c r="K43" s="275">
        <f>+K40-K42</f>
        <v>0</v>
      </c>
      <c r="L43" s="275">
        <f>+L40-L42</f>
        <v>0</v>
      </c>
      <c r="M43" s="275">
        <f t="shared" ref="M43" si="20">M40-M42</f>
        <v>0</v>
      </c>
      <c r="N43" s="275">
        <f>+N40-N42</f>
        <v>0</v>
      </c>
      <c r="O43" s="275">
        <f>+O40-O42</f>
        <v>683845.5</v>
      </c>
      <c r="P43" s="275">
        <f t="shared" ref="P43" si="21">P40-P42</f>
        <v>683845.5</v>
      </c>
    </row>
    <row r="44" spans="1:17" s="278" customFormat="1" ht="52.5" customHeight="1" x14ac:dyDescent="0.5">
      <c r="A44" s="1058"/>
      <c r="B44" s="293"/>
      <c r="C44" s="274" t="s">
        <v>881</v>
      </c>
      <c r="D44" s="275">
        <f>+D40-D41-D42</f>
        <v>0</v>
      </c>
      <c r="E44" s="275">
        <f>+E40-E41-E42</f>
        <v>0</v>
      </c>
      <c r="F44" s="275">
        <f>+F40-F41-F42</f>
        <v>0</v>
      </c>
      <c r="G44" s="275">
        <f>G40-G41-G42</f>
        <v>0</v>
      </c>
      <c r="H44" s="275">
        <f>+H40-H41-H42</f>
        <v>0</v>
      </c>
      <c r="I44" s="275">
        <f>+I40-I41-I42</f>
        <v>0</v>
      </c>
      <c r="J44" s="275">
        <f>J40-J41-J42</f>
        <v>0</v>
      </c>
      <c r="K44" s="275">
        <f>+K40-K41-K42</f>
        <v>0</v>
      </c>
      <c r="L44" s="275">
        <f>+L40-L41-L42</f>
        <v>0</v>
      </c>
      <c r="M44" s="275">
        <f>M40-M41-M42</f>
        <v>0</v>
      </c>
      <c r="N44" s="275">
        <f>+N40-N41-N42</f>
        <v>0</v>
      </c>
      <c r="O44" s="275">
        <f>+O40-O41-O42</f>
        <v>618135.5</v>
      </c>
      <c r="P44" s="275">
        <f>P40-P41-P42</f>
        <v>618135.5</v>
      </c>
    </row>
    <row r="45" spans="1:17" s="277" customFormat="1" ht="52.5" customHeight="1" x14ac:dyDescent="0.5">
      <c r="A45" s="1058"/>
      <c r="B45" s="295"/>
      <c r="C45" s="274" t="s">
        <v>97</v>
      </c>
      <c r="D45" s="275" t="e">
        <f>+D42*100/D39</f>
        <v>#DIV/0!</v>
      </c>
      <c r="E45" s="275" t="e">
        <f t="shared" ref="E45:P45" si="22">+E42*100/E39</f>
        <v>#DIV/0!</v>
      </c>
      <c r="F45" s="275" t="e">
        <f t="shared" si="22"/>
        <v>#DIV/0!</v>
      </c>
      <c r="G45" s="275" t="e">
        <f t="shared" si="22"/>
        <v>#DIV/0!</v>
      </c>
      <c r="H45" s="275" t="e">
        <f t="shared" si="22"/>
        <v>#DIV/0!</v>
      </c>
      <c r="I45" s="275" t="e">
        <f t="shared" si="22"/>
        <v>#DIV/0!</v>
      </c>
      <c r="J45" s="275" t="e">
        <f t="shared" si="22"/>
        <v>#DIV/0!</v>
      </c>
      <c r="K45" s="275" t="e">
        <f t="shared" si="22"/>
        <v>#DIV/0!</v>
      </c>
      <c r="L45" s="275" t="e">
        <f t="shared" si="22"/>
        <v>#DIV/0!</v>
      </c>
      <c r="M45" s="275" t="e">
        <f t="shared" si="22"/>
        <v>#DIV/0!</v>
      </c>
      <c r="N45" s="275" t="e">
        <f t="shared" si="22"/>
        <v>#DIV/0!</v>
      </c>
      <c r="O45" s="275">
        <f t="shared" si="22"/>
        <v>6.3595724313975746</v>
      </c>
      <c r="P45" s="275">
        <f t="shared" si="22"/>
        <v>6.3595724313975746</v>
      </c>
    </row>
    <row r="46" spans="1:17" s="277" customFormat="1" ht="52.5" customHeight="1" x14ac:dyDescent="0.5">
      <c r="A46" s="1059"/>
      <c r="B46" s="337"/>
      <c r="C46" s="274" t="s">
        <v>845</v>
      </c>
      <c r="D46" s="275" t="e">
        <f>+D42*100/D40</f>
        <v>#DIV/0!</v>
      </c>
      <c r="E46" s="275" t="e">
        <f t="shared" ref="E46:P46" si="23">+E42*100/E40</f>
        <v>#DIV/0!</v>
      </c>
      <c r="F46" s="275" t="e">
        <f t="shared" si="23"/>
        <v>#DIV/0!</v>
      </c>
      <c r="G46" s="275" t="e">
        <f t="shared" si="23"/>
        <v>#DIV/0!</v>
      </c>
      <c r="H46" s="275" t="e">
        <f t="shared" si="23"/>
        <v>#DIV/0!</v>
      </c>
      <c r="I46" s="275" t="e">
        <f t="shared" si="23"/>
        <v>#DIV/0!</v>
      </c>
      <c r="J46" s="275" t="e">
        <f t="shared" si="23"/>
        <v>#DIV/0!</v>
      </c>
      <c r="K46" s="275" t="e">
        <f t="shared" si="23"/>
        <v>#DIV/0!</v>
      </c>
      <c r="L46" s="275" t="e">
        <f t="shared" si="23"/>
        <v>#DIV/0!</v>
      </c>
      <c r="M46" s="275" t="e">
        <f t="shared" si="23"/>
        <v>#DIV/0!</v>
      </c>
      <c r="N46" s="275" t="e">
        <f t="shared" si="23"/>
        <v>#DIV/0!</v>
      </c>
      <c r="O46" s="275">
        <f t="shared" si="23"/>
        <v>12.719144862795149</v>
      </c>
      <c r="P46" s="275">
        <f t="shared" si="23"/>
        <v>12.719144862795149</v>
      </c>
    </row>
    <row r="47" spans="1:17" s="277" customFormat="1" ht="52.5" customHeight="1" x14ac:dyDescent="0.5">
      <c r="A47" s="1057" t="s">
        <v>315</v>
      </c>
      <c r="B47" s="1057"/>
      <c r="C47" s="274" t="s">
        <v>828</v>
      </c>
      <c r="D47" s="275">
        <v>0</v>
      </c>
      <c r="E47" s="275">
        <v>0</v>
      </c>
      <c r="F47" s="275">
        <v>0</v>
      </c>
      <c r="G47" s="275">
        <f>SUM(D47:F47)</f>
        <v>0</v>
      </c>
      <c r="H47" s="275">
        <v>487500</v>
      </c>
      <c r="I47" s="275">
        <v>0</v>
      </c>
      <c r="J47" s="275">
        <f>SUM(H47:I47)</f>
        <v>487500</v>
      </c>
      <c r="K47" s="275">
        <v>0</v>
      </c>
      <c r="L47" s="275">
        <v>0</v>
      </c>
      <c r="M47" s="275">
        <f>SUM(K47:L47)</f>
        <v>0</v>
      </c>
      <c r="N47" s="275">
        <v>0</v>
      </c>
      <c r="O47" s="275">
        <v>4624600</v>
      </c>
      <c r="P47" s="275">
        <f>+G47+J47+M47+N47+O47</f>
        <v>5112100</v>
      </c>
    </row>
    <row r="48" spans="1:17" s="277" customFormat="1" ht="52.5" customHeight="1" x14ac:dyDescent="0.5">
      <c r="A48" s="1057" t="s">
        <v>316</v>
      </c>
      <c r="B48" s="1062"/>
      <c r="C48" s="274" t="s">
        <v>844</v>
      </c>
      <c r="D48" s="275">
        <v>0</v>
      </c>
      <c r="E48" s="275">
        <v>0</v>
      </c>
      <c r="F48" s="275">
        <v>0</v>
      </c>
      <c r="G48" s="275">
        <f>SUM(D48:F48)</f>
        <v>0</v>
      </c>
      <c r="H48" s="275">
        <v>243700</v>
      </c>
      <c r="I48" s="275">
        <v>0</v>
      </c>
      <c r="J48" s="275">
        <f>SUM(H48:I48)</f>
        <v>243700</v>
      </c>
      <c r="K48" s="275">
        <v>0</v>
      </c>
      <c r="L48" s="275">
        <v>0</v>
      </c>
      <c r="M48" s="275">
        <f>SUM(K48:L48)</f>
        <v>0</v>
      </c>
      <c r="N48" s="275">
        <v>0</v>
      </c>
      <c r="O48" s="275">
        <v>2312300</v>
      </c>
      <c r="P48" s="275">
        <f>+G48+J48+M48+N48+O48</f>
        <v>2556000</v>
      </c>
      <c r="Q48" s="277">
        <f>+P47-P48</f>
        <v>2556100</v>
      </c>
    </row>
    <row r="49" spans="1:17" s="277" customFormat="1" ht="52.5" customHeight="1" x14ac:dyDescent="0.5">
      <c r="A49" s="1058">
        <v>6</v>
      </c>
      <c r="B49" s="292" t="s">
        <v>838</v>
      </c>
      <c r="C49" s="274" t="s">
        <v>76</v>
      </c>
      <c r="D49" s="275">
        <v>0</v>
      </c>
      <c r="E49" s="275">
        <v>0</v>
      </c>
      <c r="F49" s="275">
        <v>0</v>
      </c>
      <c r="G49" s="275">
        <f>SUM(D49:F49)</f>
        <v>0</v>
      </c>
      <c r="H49" s="275">
        <v>0</v>
      </c>
      <c r="I49" s="275">
        <v>0</v>
      </c>
      <c r="J49" s="275">
        <f>SUM(H49:I49)</f>
        <v>0</v>
      </c>
      <c r="K49" s="275">
        <v>0</v>
      </c>
      <c r="L49" s="275">
        <v>0</v>
      </c>
      <c r="M49" s="275">
        <f>SUM(K49:L49)</f>
        <v>0</v>
      </c>
      <c r="N49" s="275">
        <v>0</v>
      </c>
      <c r="O49" s="275">
        <v>0</v>
      </c>
      <c r="P49" s="275">
        <f>+G49+J49+M49+N49+O49</f>
        <v>0</v>
      </c>
      <c r="Q49" s="277">
        <f>SUM(Q40:Q48)</f>
        <v>4123100</v>
      </c>
    </row>
    <row r="50" spans="1:17" s="277" customFormat="1" ht="52.5" customHeight="1" x14ac:dyDescent="0.5">
      <c r="A50" s="1058"/>
      <c r="B50" s="292" t="s">
        <v>224</v>
      </c>
      <c r="C50" s="274" t="s">
        <v>17</v>
      </c>
      <c r="D50" s="275">
        <v>0</v>
      </c>
      <c r="E50" s="275">
        <v>0</v>
      </c>
      <c r="F50" s="275">
        <v>0</v>
      </c>
      <c r="G50" s="275">
        <f>SUM(D50:F50)</f>
        <v>0</v>
      </c>
      <c r="H50" s="275">
        <v>12500</v>
      </c>
      <c r="I50" s="275">
        <v>0</v>
      </c>
      <c r="J50" s="275">
        <f>SUM(H50:I50)</f>
        <v>12500</v>
      </c>
      <c r="K50" s="275">
        <v>0</v>
      </c>
      <c r="L50" s="275">
        <v>0</v>
      </c>
      <c r="M50" s="275">
        <f>SUM(K50:L50)</f>
        <v>0</v>
      </c>
      <c r="N50" s="275">
        <v>0</v>
      </c>
      <c r="O50" s="275">
        <f>4000+70000+2280</f>
        <v>76280</v>
      </c>
      <c r="P50" s="275">
        <f>+G50+J50+M50+N50+O50</f>
        <v>88780</v>
      </c>
    </row>
    <row r="51" spans="1:17" s="278" customFormat="1" ht="52.5" customHeight="1" x14ac:dyDescent="0.5">
      <c r="A51" s="1058"/>
      <c r="B51" s="295" t="s">
        <v>556</v>
      </c>
      <c r="C51" s="274" t="s">
        <v>77</v>
      </c>
      <c r="D51" s="275">
        <f>+D48-D50</f>
        <v>0</v>
      </c>
      <c r="E51" s="275">
        <f>+E48-E50</f>
        <v>0</v>
      </c>
      <c r="F51" s="275">
        <f>+F48-F50</f>
        <v>0</v>
      </c>
      <c r="G51" s="275">
        <f>G48-G50</f>
        <v>0</v>
      </c>
      <c r="H51" s="275">
        <f>+H48-H50</f>
        <v>231200</v>
      </c>
      <c r="I51" s="275">
        <f>+I48-I50</f>
        <v>0</v>
      </c>
      <c r="J51" s="275">
        <f t="shared" ref="J51" si="24">J48-J50</f>
        <v>231200</v>
      </c>
      <c r="K51" s="275">
        <f>+K48-K50</f>
        <v>0</v>
      </c>
      <c r="L51" s="275">
        <f>+L48-L50</f>
        <v>0</v>
      </c>
      <c r="M51" s="275">
        <f t="shared" ref="M51" si="25">M48-M50</f>
        <v>0</v>
      </c>
      <c r="N51" s="275">
        <f>+N48-N50</f>
        <v>0</v>
      </c>
      <c r="O51" s="275">
        <f>+O48-O50</f>
        <v>2236020</v>
      </c>
      <c r="P51" s="275">
        <f t="shared" ref="P51" si="26">P48-P50</f>
        <v>2467220</v>
      </c>
    </row>
    <row r="52" spans="1:17" s="278" customFormat="1" ht="52.5" customHeight="1" x14ac:dyDescent="0.5">
      <c r="A52" s="1058"/>
      <c r="B52" s="736" t="s">
        <v>839</v>
      </c>
      <c r="C52" s="274" t="s">
        <v>881</v>
      </c>
      <c r="D52" s="275">
        <f>+D48-D49-D50</f>
        <v>0</v>
      </c>
      <c r="E52" s="275">
        <f>+E48-E49-E50</f>
        <v>0</v>
      </c>
      <c r="F52" s="275">
        <f>+F48-F49-F50</f>
        <v>0</v>
      </c>
      <c r="G52" s="275">
        <f>G48-G49-G50</f>
        <v>0</v>
      </c>
      <c r="H52" s="275">
        <f>+H48-H49-H50</f>
        <v>231200</v>
      </c>
      <c r="I52" s="275">
        <f>+I48-I49-I50</f>
        <v>0</v>
      </c>
      <c r="J52" s="275">
        <f>J48-J49-J50</f>
        <v>231200</v>
      </c>
      <c r="K52" s="275">
        <f>+K48-K49-K50</f>
        <v>0</v>
      </c>
      <c r="L52" s="275">
        <f>+L48-L49-L50</f>
        <v>0</v>
      </c>
      <c r="M52" s="275">
        <f>M48-M49-M50</f>
        <v>0</v>
      </c>
      <c r="N52" s="275">
        <f>+N48-N49-N50</f>
        <v>0</v>
      </c>
      <c r="O52" s="275">
        <f>+O48-O49-O50</f>
        <v>2236020</v>
      </c>
      <c r="P52" s="275">
        <f>P48-P49-P50</f>
        <v>2467220</v>
      </c>
    </row>
    <row r="53" spans="1:17" s="277" customFormat="1" ht="52.5" customHeight="1" x14ac:dyDescent="0.5">
      <c r="A53" s="1058"/>
      <c r="B53" s="294" t="s">
        <v>836</v>
      </c>
      <c r="C53" s="274" t="s">
        <v>97</v>
      </c>
      <c r="D53" s="275" t="e">
        <f>+D50*100/D47</f>
        <v>#DIV/0!</v>
      </c>
      <c r="E53" s="275" t="e">
        <f t="shared" ref="E53:P53" si="27">+E50*100/E47</f>
        <v>#DIV/0!</v>
      </c>
      <c r="F53" s="275" t="e">
        <f t="shared" si="27"/>
        <v>#DIV/0!</v>
      </c>
      <c r="G53" s="275" t="e">
        <f t="shared" si="27"/>
        <v>#DIV/0!</v>
      </c>
      <c r="H53" s="275">
        <f t="shared" si="27"/>
        <v>2.5641025641025643</v>
      </c>
      <c r="I53" s="275" t="e">
        <f t="shared" si="27"/>
        <v>#DIV/0!</v>
      </c>
      <c r="J53" s="275">
        <f t="shared" si="27"/>
        <v>2.5641025641025643</v>
      </c>
      <c r="K53" s="275" t="e">
        <f t="shared" si="27"/>
        <v>#DIV/0!</v>
      </c>
      <c r="L53" s="275" t="e">
        <f t="shared" si="27"/>
        <v>#DIV/0!</v>
      </c>
      <c r="M53" s="275" t="e">
        <f t="shared" si="27"/>
        <v>#DIV/0!</v>
      </c>
      <c r="N53" s="275" t="e">
        <f t="shared" si="27"/>
        <v>#DIV/0!</v>
      </c>
      <c r="O53" s="275">
        <f t="shared" si="27"/>
        <v>1.6494399515633784</v>
      </c>
      <c r="P53" s="275">
        <f t="shared" si="27"/>
        <v>1.7366639932708672</v>
      </c>
    </row>
    <row r="54" spans="1:17" s="277" customFormat="1" ht="52.5" customHeight="1" x14ac:dyDescent="0.5">
      <c r="A54" s="1059"/>
      <c r="B54" s="925" t="s">
        <v>837</v>
      </c>
      <c r="C54" s="274" t="s">
        <v>845</v>
      </c>
      <c r="D54" s="275" t="e">
        <f>+D50*100/D48</f>
        <v>#DIV/0!</v>
      </c>
      <c r="E54" s="275" t="e">
        <f t="shared" ref="E54:P54" si="28">+E50*100/E48</f>
        <v>#DIV/0!</v>
      </c>
      <c r="F54" s="275" t="e">
        <f t="shared" si="28"/>
        <v>#DIV/0!</v>
      </c>
      <c r="G54" s="275" t="e">
        <f t="shared" si="28"/>
        <v>#DIV/0!</v>
      </c>
      <c r="H54" s="275">
        <f t="shared" si="28"/>
        <v>5.1292572835453427</v>
      </c>
      <c r="I54" s="275" t="e">
        <f t="shared" si="28"/>
        <v>#DIV/0!</v>
      </c>
      <c r="J54" s="275">
        <f t="shared" si="28"/>
        <v>5.1292572835453427</v>
      </c>
      <c r="K54" s="275" t="e">
        <f t="shared" si="28"/>
        <v>#DIV/0!</v>
      </c>
      <c r="L54" s="275" t="e">
        <f t="shared" si="28"/>
        <v>#DIV/0!</v>
      </c>
      <c r="M54" s="275" t="e">
        <f t="shared" si="28"/>
        <v>#DIV/0!</v>
      </c>
      <c r="N54" s="275" t="e">
        <f t="shared" si="28"/>
        <v>#DIV/0!</v>
      </c>
      <c r="O54" s="275">
        <f t="shared" si="28"/>
        <v>3.2988799031267568</v>
      </c>
      <c r="P54" s="275">
        <f t="shared" si="28"/>
        <v>3.4733959311424099</v>
      </c>
    </row>
    <row r="55" spans="1:17" s="277" customFormat="1" ht="52.5" customHeight="1" x14ac:dyDescent="0.5">
      <c r="A55" s="1057" t="s">
        <v>226</v>
      </c>
      <c r="B55" s="1057"/>
      <c r="C55" s="274" t="s">
        <v>828</v>
      </c>
      <c r="D55" s="275">
        <v>0</v>
      </c>
      <c r="E55" s="275">
        <v>0</v>
      </c>
      <c r="F55" s="275">
        <v>0</v>
      </c>
      <c r="G55" s="275">
        <f>SUM(D55:F55)</f>
        <v>0</v>
      </c>
      <c r="H55" s="275">
        <v>188451000</v>
      </c>
      <c r="I55" s="275">
        <v>10704700</v>
      </c>
      <c r="J55" s="275">
        <f>SUM(H55:I55)</f>
        <v>199155700</v>
      </c>
      <c r="K55" s="275">
        <v>5732400</v>
      </c>
      <c r="L55" s="275">
        <v>47423100</v>
      </c>
      <c r="M55" s="275">
        <f>SUM(K55:L55)</f>
        <v>53155500</v>
      </c>
      <c r="N55" s="275">
        <v>0</v>
      </c>
      <c r="O55" s="275">
        <v>0</v>
      </c>
      <c r="P55" s="275">
        <f>+G55+J55+M55+N55+O55</f>
        <v>252311200</v>
      </c>
    </row>
    <row r="56" spans="1:17" s="277" customFormat="1" ht="52.5" customHeight="1" x14ac:dyDescent="0.5">
      <c r="A56" s="1057" t="s">
        <v>227</v>
      </c>
      <c r="B56" s="1057"/>
      <c r="C56" s="274" t="s">
        <v>844</v>
      </c>
      <c r="D56" s="275">
        <v>0</v>
      </c>
      <c r="E56" s="275">
        <v>0</v>
      </c>
      <c r="F56" s="275">
        <v>0</v>
      </c>
      <c r="G56" s="275">
        <f>SUM(D56:F56)</f>
        <v>0</v>
      </c>
      <c r="H56" s="275">
        <f>+H55/2-25</f>
        <v>94225475</v>
      </c>
      <c r="I56" s="275">
        <f>+I55/2-25</f>
        <v>5352325</v>
      </c>
      <c r="J56" s="275">
        <f>SUM(H56:I56)</f>
        <v>99577800</v>
      </c>
      <c r="K56" s="275">
        <v>5732400</v>
      </c>
      <c r="L56" s="275">
        <v>32745800</v>
      </c>
      <c r="M56" s="275">
        <f>SUM(K56:L56)</f>
        <v>38478200</v>
      </c>
      <c r="N56" s="275">
        <v>0</v>
      </c>
      <c r="O56" s="275">
        <v>0</v>
      </c>
      <c r="P56" s="275">
        <f>+G56+J56+M56+N56+O56</f>
        <v>138056000</v>
      </c>
      <c r="Q56" s="277">
        <f>+P55-P56</f>
        <v>114255200</v>
      </c>
    </row>
    <row r="57" spans="1:17" s="277" customFormat="1" ht="52.5" customHeight="1" x14ac:dyDescent="0.5">
      <c r="A57" s="1060">
        <v>7</v>
      </c>
      <c r="B57" s="324" t="s">
        <v>840</v>
      </c>
      <c r="C57" s="274" t="s">
        <v>76</v>
      </c>
      <c r="D57" s="275">
        <v>0</v>
      </c>
      <c r="E57" s="275">
        <v>0</v>
      </c>
      <c r="F57" s="275">
        <v>0</v>
      </c>
      <c r="G57" s="275">
        <f>SUM(D57:F57)</f>
        <v>0</v>
      </c>
      <c r="H57" s="275">
        <f>21835106.79-I57</f>
        <v>19726741.789999999</v>
      </c>
      <c r="I57" s="275">
        <v>2108365</v>
      </c>
      <c r="J57" s="275">
        <f>SUM(H57:I57)</f>
        <v>21835106.789999999</v>
      </c>
      <c r="K57" s="275">
        <v>0</v>
      </c>
      <c r="L57" s="275">
        <v>18698650</v>
      </c>
      <c r="M57" s="275">
        <f>SUM(K57:L57)</f>
        <v>18698650</v>
      </c>
      <c r="N57" s="275">
        <v>0</v>
      </c>
      <c r="O57" s="275">
        <v>0</v>
      </c>
      <c r="P57" s="275">
        <f>+G57+J57+M57+N57+O57</f>
        <v>40533756.789999999</v>
      </c>
      <c r="Q57" s="277">
        <f>SUM(Q48:Q56)</f>
        <v>120934400</v>
      </c>
    </row>
    <row r="58" spans="1:17" s="277" customFormat="1" ht="52.5" customHeight="1" x14ac:dyDescent="0.5">
      <c r="A58" s="1060"/>
      <c r="B58" s="294" t="s">
        <v>841</v>
      </c>
      <c r="C58" s="274" t="s">
        <v>17</v>
      </c>
      <c r="D58" s="275">
        <v>0</v>
      </c>
      <c r="E58" s="275">
        <v>0</v>
      </c>
      <c r="F58" s="275">
        <v>0</v>
      </c>
      <c r="G58" s="275">
        <f>SUM(D58:F58)</f>
        <v>0</v>
      </c>
      <c r="H58" s="275">
        <f>57246908.13-I58</f>
        <v>48884844.700000003</v>
      </c>
      <c r="I58" s="275">
        <v>8362063.4299999997</v>
      </c>
      <c r="J58" s="275">
        <f>SUM(H58:I58)</f>
        <v>57246908.130000003</v>
      </c>
      <c r="K58" s="275">
        <v>5299703.01</v>
      </c>
      <c r="L58" s="275">
        <v>1231125</v>
      </c>
      <c r="M58" s="275">
        <f>SUM(K58:L58)</f>
        <v>6530828.0099999998</v>
      </c>
      <c r="N58" s="275">
        <v>0</v>
      </c>
      <c r="O58" s="275">
        <v>0</v>
      </c>
      <c r="P58" s="275">
        <f>+G58+J58+M58+N58+O58</f>
        <v>63777736.140000001</v>
      </c>
    </row>
    <row r="59" spans="1:17" s="278" customFormat="1" ht="52.5" customHeight="1" x14ac:dyDescent="0.5">
      <c r="A59" s="1060"/>
      <c r="B59" s="295" t="s">
        <v>557</v>
      </c>
      <c r="C59" s="274" t="s">
        <v>77</v>
      </c>
      <c r="D59" s="275">
        <f>+D56-D58</f>
        <v>0</v>
      </c>
      <c r="E59" s="275">
        <f>+E56-E58</f>
        <v>0</v>
      </c>
      <c r="F59" s="275">
        <f>+F56-F58</f>
        <v>0</v>
      </c>
      <c r="G59" s="275">
        <f>G56-G58</f>
        <v>0</v>
      </c>
      <c r="H59" s="275">
        <f>+H56-H58</f>
        <v>45340630.299999997</v>
      </c>
      <c r="I59" s="275">
        <f>+I56-I58</f>
        <v>-3009738.4299999997</v>
      </c>
      <c r="J59" s="275">
        <f t="shared" ref="J59" si="29">J56-J58</f>
        <v>42330891.869999997</v>
      </c>
      <c r="K59" s="275">
        <f>+K56-K58</f>
        <v>432696.99000000022</v>
      </c>
      <c r="L59" s="275">
        <f>+L56-L58</f>
        <v>31514675</v>
      </c>
      <c r="M59" s="275">
        <f t="shared" ref="M59" si="30">M56-M58</f>
        <v>31947371.990000002</v>
      </c>
      <c r="N59" s="275">
        <f>+N56-N58</f>
        <v>0</v>
      </c>
      <c r="O59" s="275">
        <f>+O56-O58</f>
        <v>0</v>
      </c>
      <c r="P59" s="275">
        <f t="shared" ref="P59" si="31">P56-P58</f>
        <v>74278263.859999999</v>
      </c>
    </row>
    <row r="60" spans="1:17" s="278" customFormat="1" ht="52.5" customHeight="1" x14ac:dyDescent="0.5">
      <c r="A60" s="1060"/>
      <c r="B60" s="896">
        <f>+H56*100/H55</f>
        <v>49.999986733952063</v>
      </c>
      <c r="C60" s="274" t="s">
        <v>881</v>
      </c>
      <c r="D60" s="275">
        <f>+D56-D57-D58</f>
        <v>0</v>
      </c>
      <c r="E60" s="275">
        <f>+E56-E57-E58</f>
        <v>0</v>
      </c>
      <c r="F60" s="275">
        <f>+F56-F57-F58</f>
        <v>0</v>
      </c>
      <c r="G60" s="275">
        <f>G56-G57-G58</f>
        <v>0</v>
      </c>
      <c r="H60" s="275">
        <f>+H56-H57-H58</f>
        <v>25613888.510000005</v>
      </c>
      <c r="I60" s="275">
        <f>+I56-I57-I58</f>
        <v>-5118103.43</v>
      </c>
      <c r="J60" s="275">
        <f>J56-J57-J58</f>
        <v>20495785.080000006</v>
      </c>
      <c r="K60" s="275">
        <f>+K56-K57-K58</f>
        <v>432696.99000000022</v>
      </c>
      <c r="L60" s="275">
        <f>+L56-L57-L58</f>
        <v>12816025</v>
      </c>
      <c r="M60" s="275">
        <f>M56-M57-M58</f>
        <v>13248721.99</v>
      </c>
      <c r="N60" s="275">
        <f>+N56-N57-N58</f>
        <v>0</v>
      </c>
      <c r="O60" s="275">
        <f>+O56-O57-O58</f>
        <v>0</v>
      </c>
      <c r="P60" s="275">
        <f>P56-P57-P58</f>
        <v>33744507.070000008</v>
      </c>
    </row>
    <row r="61" spans="1:17" s="277" customFormat="1" ht="52.5" customHeight="1" x14ac:dyDescent="0.5">
      <c r="A61" s="1060"/>
      <c r="B61" s="295"/>
      <c r="C61" s="274" t="s">
        <v>97</v>
      </c>
      <c r="D61" s="275" t="e">
        <f>+D58*100/D55</f>
        <v>#DIV/0!</v>
      </c>
      <c r="E61" s="275" t="e">
        <f t="shared" ref="E61:P61" si="32">+E58*100/E55</f>
        <v>#DIV/0!</v>
      </c>
      <c r="F61" s="275" t="e">
        <f t="shared" si="32"/>
        <v>#DIV/0!</v>
      </c>
      <c r="G61" s="275" t="e">
        <f t="shared" si="32"/>
        <v>#DIV/0!</v>
      </c>
      <c r="H61" s="275">
        <f t="shared" si="32"/>
        <v>25.940347729648558</v>
      </c>
      <c r="I61" s="275">
        <f t="shared" si="32"/>
        <v>78.11581296066214</v>
      </c>
      <c r="J61" s="275">
        <f t="shared" si="32"/>
        <v>28.744800239209823</v>
      </c>
      <c r="K61" s="275">
        <f t="shared" si="32"/>
        <v>92.451730688716765</v>
      </c>
      <c r="L61" s="275">
        <f t="shared" si="32"/>
        <v>2.5960449654282405</v>
      </c>
      <c r="M61" s="275">
        <f t="shared" si="32"/>
        <v>12.286269548776703</v>
      </c>
      <c r="N61" s="275" t="e">
        <f t="shared" si="32"/>
        <v>#DIV/0!</v>
      </c>
      <c r="O61" s="275" t="e">
        <f t="shared" si="32"/>
        <v>#DIV/0!</v>
      </c>
      <c r="P61" s="275">
        <f t="shared" si="32"/>
        <v>25.277409857350765</v>
      </c>
    </row>
    <row r="62" spans="1:17" s="277" customFormat="1" ht="52.5" customHeight="1" x14ac:dyDescent="0.5">
      <c r="A62" s="1061"/>
      <c r="B62" s="337"/>
      <c r="C62" s="274" t="s">
        <v>845</v>
      </c>
      <c r="D62" s="275" t="e">
        <f>+D58*100/D56</f>
        <v>#DIV/0!</v>
      </c>
      <c r="E62" s="275" t="e">
        <f t="shared" ref="E62:P62" si="33">+E58*100/E56</f>
        <v>#DIV/0!</v>
      </c>
      <c r="F62" s="275" t="e">
        <f t="shared" si="33"/>
        <v>#DIV/0!</v>
      </c>
      <c r="G62" s="275" t="e">
        <f t="shared" si="33"/>
        <v>#DIV/0!</v>
      </c>
      <c r="H62" s="275">
        <f t="shared" si="33"/>
        <v>51.880709224336627</v>
      </c>
      <c r="I62" s="275">
        <f t="shared" si="33"/>
        <v>156.23235565852224</v>
      </c>
      <c r="J62" s="275">
        <f t="shared" si="33"/>
        <v>57.48962934509499</v>
      </c>
      <c r="K62" s="275">
        <f t="shared" si="33"/>
        <v>92.451730688716765</v>
      </c>
      <c r="L62" s="275">
        <f t="shared" si="33"/>
        <v>3.7596424579640746</v>
      </c>
      <c r="M62" s="275">
        <f t="shared" si="33"/>
        <v>16.972800208949483</v>
      </c>
      <c r="N62" s="275" t="e">
        <f t="shared" si="33"/>
        <v>#DIV/0!</v>
      </c>
      <c r="O62" s="275" t="e">
        <f t="shared" si="33"/>
        <v>#DIV/0!</v>
      </c>
      <c r="P62" s="275">
        <f t="shared" si="33"/>
        <v>46.197004215680593</v>
      </c>
    </row>
    <row r="63" spans="1:17" s="277" customFormat="1" ht="52.5" customHeight="1" x14ac:dyDescent="0.5">
      <c r="A63" s="1057" t="s">
        <v>226</v>
      </c>
      <c r="B63" s="1057"/>
      <c r="C63" s="274" t="s">
        <v>828</v>
      </c>
      <c r="D63" s="275">
        <v>0</v>
      </c>
      <c r="E63" s="275">
        <v>0</v>
      </c>
      <c r="F63" s="275">
        <v>0</v>
      </c>
      <c r="G63" s="275">
        <f>SUM(D63:F63)</f>
        <v>0</v>
      </c>
      <c r="H63" s="275">
        <v>175645900</v>
      </c>
      <c r="I63" s="275">
        <v>17368500</v>
      </c>
      <c r="J63" s="275">
        <f>SUM(H63:I63)</f>
        <v>193014400</v>
      </c>
      <c r="K63" s="275">
        <v>13396300</v>
      </c>
      <c r="L63" s="275">
        <v>51742500</v>
      </c>
      <c r="M63" s="275">
        <f>SUM(K63:L63)</f>
        <v>65138800</v>
      </c>
      <c r="N63" s="275">
        <v>0</v>
      </c>
      <c r="O63" s="275">
        <f>750000+4366200+523700</f>
        <v>5639900</v>
      </c>
      <c r="P63" s="275">
        <f>+G63+J63+M63+N63+O63</f>
        <v>263793100</v>
      </c>
    </row>
    <row r="64" spans="1:17" s="277" customFormat="1" ht="52.5" customHeight="1" x14ac:dyDescent="0.5">
      <c r="A64" s="1057" t="s">
        <v>227</v>
      </c>
      <c r="B64" s="1057"/>
      <c r="C64" s="274" t="s">
        <v>829</v>
      </c>
      <c r="D64" s="275">
        <v>0</v>
      </c>
      <c r="E64" s="275">
        <v>0</v>
      </c>
      <c r="F64" s="275">
        <v>0</v>
      </c>
      <c r="G64" s="275">
        <f>SUM(D64:F64)</f>
        <v>0</v>
      </c>
      <c r="H64" s="275">
        <f>+H63/2-50</f>
        <v>87822900</v>
      </c>
      <c r="I64" s="275">
        <f>+I63/2-50</f>
        <v>8684200</v>
      </c>
      <c r="J64" s="275">
        <f>SUM(H64:I64)</f>
        <v>96507100</v>
      </c>
      <c r="K64" s="275">
        <v>14693285</v>
      </c>
      <c r="L64" s="275">
        <v>15052015</v>
      </c>
      <c r="M64" s="275">
        <f>SUM(K64:L64)</f>
        <v>29745300</v>
      </c>
      <c r="N64" s="275">
        <v>0</v>
      </c>
      <c r="O64" s="275">
        <f>375000+2183100+261800</f>
        <v>2819900</v>
      </c>
      <c r="P64" s="275">
        <f>+G64+J64+M64+N64+O64</f>
        <v>129072300</v>
      </c>
      <c r="Q64" s="277">
        <f>+P63-P64</f>
        <v>134720800</v>
      </c>
    </row>
    <row r="65" spans="1:18" s="277" customFormat="1" ht="52.5" customHeight="1" x14ac:dyDescent="0.5">
      <c r="A65" s="1060">
        <v>8</v>
      </c>
      <c r="B65" s="324" t="s">
        <v>842</v>
      </c>
      <c r="C65" s="274" t="s">
        <v>76</v>
      </c>
      <c r="D65" s="275">
        <v>0</v>
      </c>
      <c r="E65" s="275">
        <v>0</v>
      </c>
      <c r="F65" s="275">
        <v>0</v>
      </c>
      <c r="G65" s="275">
        <f>SUM(D65:F65)</f>
        <v>0</v>
      </c>
      <c r="H65" s="275">
        <f>23026228.05-I65</f>
        <v>23023039.449999999</v>
      </c>
      <c r="I65" s="275">
        <v>3188.6</v>
      </c>
      <c r="J65" s="275">
        <f>SUM(H65:I65)</f>
        <v>23026228.050000001</v>
      </c>
      <c r="K65" s="275">
        <v>746218</v>
      </c>
      <c r="L65" s="275">
        <v>3000000</v>
      </c>
      <c r="M65" s="275">
        <f>SUM(K65:L65)</f>
        <v>3746218</v>
      </c>
      <c r="N65" s="275">
        <v>0</v>
      </c>
      <c r="O65" s="275">
        <v>0</v>
      </c>
      <c r="P65" s="275">
        <f>+G65+J65+M65+N65+O65</f>
        <v>26772446.050000001</v>
      </c>
      <c r="Q65" s="277">
        <f>SUM(Q56:Q64)</f>
        <v>369910400</v>
      </c>
    </row>
    <row r="66" spans="1:18" s="277" customFormat="1" ht="52.5" customHeight="1" x14ac:dyDescent="0.5">
      <c r="A66" s="1060"/>
      <c r="B66" s="294" t="s">
        <v>843</v>
      </c>
      <c r="C66" s="274" t="s">
        <v>17</v>
      </c>
      <c r="D66" s="275">
        <v>0</v>
      </c>
      <c r="E66" s="275">
        <v>0</v>
      </c>
      <c r="F66" s="275">
        <v>0</v>
      </c>
      <c r="G66" s="275">
        <f>SUM(D66:F66)</f>
        <v>0</v>
      </c>
      <c r="H66" s="275">
        <f>37998737.87-I66</f>
        <v>32581925.919999998</v>
      </c>
      <c r="I66" s="275">
        <v>5416811.9500000002</v>
      </c>
      <c r="J66" s="275">
        <f>SUM(H66:I66)</f>
        <v>37998737.869999997</v>
      </c>
      <c r="K66" s="275">
        <v>9759431.7699999996</v>
      </c>
      <c r="L66" s="275">
        <v>1746447.92</v>
      </c>
      <c r="M66" s="275">
        <f>SUM(K66:L66)</f>
        <v>11505879.689999999</v>
      </c>
      <c r="N66" s="275">
        <v>0</v>
      </c>
      <c r="O66" s="275">
        <v>115323.6</v>
      </c>
      <c r="P66" s="275">
        <f>+G66+J66+M66+N66+O66</f>
        <v>49619941.159999996</v>
      </c>
    </row>
    <row r="67" spans="1:18" s="278" customFormat="1" ht="52.5" customHeight="1" x14ac:dyDescent="0.5">
      <c r="A67" s="1060"/>
      <c r="B67" s="293" t="s">
        <v>603</v>
      </c>
      <c r="C67" s="274" t="s">
        <v>77</v>
      </c>
      <c r="D67" s="275">
        <f>+D64-D66</f>
        <v>0</v>
      </c>
      <c r="E67" s="275">
        <f>+E64-E66</f>
        <v>0</v>
      </c>
      <c r="F67" s="275">
        <f>+F64-F66</f>
        <v>0</v>
      </c>
      <c r="G67" s="275">
        <f>G64-G66</f>
        <v>0</v>
      </c>
      <c r="H67" s="275">
        <f>+H64-H66</f>
        <v>55240974.079999998</v>
      </c>
      <c r="I67" s="275">
        <f>+I64-I66</f>
        <v>3267388.05</v>
      </c>
      <c r="J67" s="275">
        <f t="shared" ref="J67" si="34">J64-J66</f>
        <v>58508362.130000003</v>
      </c>
      <c r="K67" s="275">
        <f>+K64-K66</f>
        <v>4933853.2300000004</v>
      </c>
      <c r="L67" s="275">
        <f>+L64-L66</f>
        <v>13305567.08</v>
      </c>
      <c r="M67" s="275">
        <f t="shared" ref="M67" si="35">M64-M66</f>
        <v>18239420.310000002</v>
      </c>
      <c r="N67" s="275">
        <f>+N64-N66</f>
        <v>0</v>
      </c>
      <c r="O67" s="275">
        <f>+O64-O66</f>
        <v>2704576.4</v>
      </c>
      <c r="P67" s="275">
        <f t="shared" ref="P67" si="36">P64-P66</f>
        <v>79452358.840000004</v>
      </c>
    </row>
    <row r="68" spans="1:18" s="278" customFormat="1" ht="52.5" customHeight="1" x14ac:dyDescent="0.5">
      <c r="A68" s="1060"/>
      <c r="B68" s="897">
        <f>+H64*100/J63</f>
        <v>45.500698393487738</v>
      </c>
      <c r="C68" s="274" t="s">
        <v>881</v>
      </c>
      <c r="D68" s="275">
        <f>+D64-D65-D66</f>
        <v>0</v>
      </c>
      <c r="E68" s="275">
        <f>+E64-E65-E66</f>
        <v>0</v>
      </c>
      <c r="F68" s="275">
        <f>+F64-F65-F66</f>
        <v>0</v>
      </c>
      <c r="G68" s="275">
        <f>G64-G65-G66</f>
        <v>0</v>
      </c>
      <c r="H68" s="275">
        <f>+H64-H65-H66</f>
        <v>32217934.629999999</v>
      </c>
      <c r="I68" s="275">
        <f>+I64-I65-I66</f>
        <v>3264199.45</v>
      </c>
      <c r="J68" s="275">
        <f>J64-J65-J66</f>
        <v>35482134.080000006</v>
      </c>
      <c r="K68" s="275">
        <f>+K64-K65-K66</f>
        <v>4187635.2300000004</v>
      </c>
      <c r="L68" s="275">
        <f>+L64-L65-L66</f>
        <v>10305567.08</v>
      </c>
      <c r="M68" s="275">
        <f>M64-M65-M66</f>
        <v>14493202.310000001</v>
      </c>
      <c r="N68" s="275">
        <f>+N64-N65-N66</f>
        <v>0</v>
      </c>
      <c r="O68" s="275">
        <f>+O64-O65-O66</f>
        <v>2704576.4</v>
      </c>
      <c r="P68" s="275">
        <f>P64-P65-P66</f>
        <v>52679912.790000007</v>
      </c>
    </row>
    <row r="69" spans="1:18" s="277" customFormat="1" ht="52.5" customHeight="1" x14ac:dyDescent="0.5">
      <c r="A69" s="1060"/>
      <c r="B69" s="296"/>
      <c r="C69" s="274" t="s">
        <v>97</v>
      </c>
      <c r="D69" s="275" t="e">
        <f>+D66*100/D63</f>
        <v>#DIV/0!</v>
      </c>
      <c r="E69" s="275" t="e">
        <f t="shared" ref="E69:P69" si="37">+E66*100/E63</f>
        <v>#DIV/0!</v>
      </c>
      <c r="F69" s="275" t="e">
        <f t="shared" si="37"/>
        <v>#DIV/0!</v>
      </c>
      <c r="G69" s="275" t="e">
        <f t="shared" si="37"/>
        <v>#DIV/0!</v>
      </c>
      <c r="H69" s="275">
        <f t="shared" si="37"/>
        <v>18.549778799277409</v>
      </c>
      <c r="I69" s="275">
        <f t="shared" si="37"/>
        <v>31.187563405014824</v>
      </c>
      <c r="J69" s="275">
        <f t="shared" si="37"/>
        <v>19.686996343278011</v>
      </c>
      <c r="K69" s="275">
        <f t="shared" si="37"/>
        <v>72.851696139978955</v>
      </c>
      <c r="L69" s="275">
        <f t="shared" si="37"/>
        <v>3.3752677586123592</v>
      </c>
      <c r="M69" s="275">
        <f t="shared" si="37"/>
        <v>17.663634715407714</v>
      </c>
      <c r="N69" s="275" t="e">
        <f t="shared" si="37"/>
        <v>#DIV/0!</v>
      </c>
      <c r="O69" s="275">
        <f t="shared" si="37"/>
        <v>2.0447809358321956</v>
      </c>
      <c r="P69" s="275">
        <f t="shared" si="37"/>
        <v>18.810174018956523</v>
      </c>
    </row>
    <row r="70" spans="1:18" s="277" customFormat="1" ht="52.5" customHeight="1" x14ac:dyDescent="0.5">
      <c r="A70" s="1061"/>
      <c r="B70" s="337"/>
      <c r="C70" s="274" t="s">
        <v>845</v>
      </c>
      <c r="D70" s="275" t="e">
        <f>+D66*100/D64</f>
        <v>#DIV/0!</v>
      </c>
      <c r="E70" s="275" t="e">
        <f t="shared" ref="E70:P70" si="38">+E66*100/E64</f>
        <v>#DIV/0!</v>
      </c>
      <c r="F70" s="275" t="e">
        <f t="shared" si="38"/>
        <v>#DIV/0!</v>
      </c>
      <c r="G70" s="275" t="e">
        <f t="shared" si="38"/>
        <v>#DIV/0!</v>
      </c>
      <c r="H70" s="275">
        <f t="shared" si="38"/>
        <v>37.099578720356533</v>
      </c>
      <c r="I70" s="275">
        <f t="shared" si="38"/>
        <v>62.375485939982958</v>
      </c>
      <c r="J70" s="275">
        <f t="shared" si="38"/>
        <v>39.374033485619186</v>
      </c>
      <c r="K70" s="275">
        <f t="shared" si="38"/>
        <v>66.421033621821124</v>
      </c>
      <c r="L70" s="275">
        <f t="shared" si="38"/>
        <v>11.602751658166698</v>
      </c>
      <c r="M70" s="275">
        <f t="shared" si="38"/>
        <v>38.681336849855271</v>
      </c>
      <c r="N70" s="275" t="e">
        <f t="shared" si="38"/>
        <v>#DIV/0!</v>
      </c>
      <c r="O70" s="275">
        <f t="shared" si="38"/>
        <v>4.0896343841980212</v>
      </c>
      <c r="P70" s="275">
        <f t="shared" si="38"/>
        <v>38.443524412286756</v>
      </c>
    </row>
    <row r="71" spans="1:18" s="277" customFormat="1" ht="52.5" customHeight="1" x14ac:dyDescent="0.5">
      <c r="A71" s="1052">
        <v>9</v>
      </c>
      <c r="B71" s="338"/>
      <c r="C71" s="274" t="s">
        <v>828</v>
      </c>
      <c r="D71" s="275">
        <f t="shared" ref="D71:F74" si="39">+D55+D63</f>
        <v>0</v>
      </c>
      <c r="E71" s="275">
        <f t="shared" si="39"/>
        <v>0</v>
      </c>
      <c r="F71" s="275">
        <f t="shared" si="39"/>
        <v>0</v>
      </c>
      <c r="G71" s="275">
        <f>SUM(D71:F71)</f>
        <v>0</v>
      </c>
      <c r="H71" s="275">
        <f>+H55+H63</f>
        <v>364096900</v>
      </c>
      <c r="I71" s="275">
        <f t="shared" ref="I71:M71" si="40">+I55+I63</f>
        <v>28073200</v>
      </c>
      <c r="J71" s="275">
        <f t="shared" si="40"/>
        <v>392170100</v>
      </c>
      <c r="K71" s="275">
        <f t="shared" si="40"/>
        <v>19128700</v>
      </c>
      <c r="L71" s="275">
        <f t="shared" si="40"/>
        <v>99165600</v>
      </c>
      <c r="M71" s="275">
        <f t="shared" si="40"/>
        <v>118294300</v>
      </c>
      <c r="N71" s="275">
        <f>+N55+N63</f>
        <v>0</v>
      </c>
      <c r="O71" s="275">
        <f t="shared" ref="O71" si="41">+O55+O63</f>
        <v>5639900</v>
      </c>
      <c r="P71" s="275">
        <f>SUM(G71+J71+M71+N71+O71)</f>
        <v>516104300</v>
      </c>
    </row>
    <row r="72" spans="1:18" s="277" customFormat="1" ht="52.5" customHeight="1" x14ac:dyDescent="0.5">
      <c r="A72" s="1053"/>
      <c r="B72" s="311" t="s">
        <v>10</v>
      </c>
      <c r="C72" s="274" t="s">
        <v>844</v>
      </c>
      <c r="D72" s="275">
        <f t="shared" si="39"/>
        <v>0</v>
      </c>
      <c r="E72" s="275">
        <f t="shared" si="39"/>
        <v>0</v>
      </c>
      <c r="F72" s="275">
        <f t="shared" si="39"/>
        <v>0</v>
      </c>
      <c r="G72" s="275">
        <f>SUM(D72:F72)</f>
        <v>0</v>
      </c>
      <c r="H72" s="275">
        <f t="shared" ref="H72" si="42">+H56+H64</f>
        <v>182048375</v>
      </c>
      <c r="I72" s="275">
        <f t="shared" ref="I72:N72" si="43">+I56+I64</f>
        <v>14036525</v>
      </c>
      <c r="J72" s="275">
        <f t="shared" si="43"/>
        <v>196084900</v>
      </c>
      <c r="K72" s="275">
        <f t="shared" si="43"/>
        <v>20425685</v>
      </c>
      <c r="L72" s="275">
        <f t="shared" si="43"/>
        <v>47797815</v>
      </c>
      <c r="M72" s="275">
        <f t="shared" si="43"/>
        <v>68223500</v>
      </c>
      <c r="N72" s="275">
        <f t="shared" si="43"/>
        <v>0</v>
      </c>
      <c r="O72" s="275">
        <f t="shared" ref="O72" si="44">+O56+O64</f>
        <v>2819900</v>
      </c>
      <c r="P72" s="275">
        <f>SUM(G72+J72+M72+N72+O72)</f>
        <v>267128300</v>
      </c>
    </row>
    <row r="73" spans="1:18" s="277" customFormat="1" ht="52.5" customHeight="1" x14ac:dyDescent="0.5">
      <c r="A73" s="1053"/>
      <c r="B73" s="323" t="s">
        <v>228</v>
      </c>
      <c r="C73" s="274" t="s">
        <v>76</v>
      </c>
      <c r="D73" s="275">
        <f t="shared" si="39"/>
        <v>0</v>
      </c>
      <c r="E73" s="275">
        <f t="shared" si="39"/>
        <v>0</v>
      </c>
      <c r="F73" s="275">
        <f t="shared" si="39"/>
        <v>0</v>
      </c>
      <c r="G73" s="275">
        <f>SUM(D73:F73)</f>
        <v>0</v>
      </c>
      <c r="H73" s="275">
        <f>+H57+H65</f>
        <v>42749781.239999995</v>
      </c>
      <c r="I73" s="275">
        <f t="shared" ref="I73:M73" si="45">+I57+I65</f>
        <v>2111553.6</v>
      </c>
      <c r="J73" s="275">
        <f t="shared" si="45"/>
        <v>44861334.840000004</v>
      </c>
      <c r="K73" s="275">
        <f t="shared" si="45"/>
        <v>746218</v>
      </c>
      <c r="L73" s="275">
        <f t="shared" si="45"/>
        <v>21698650</v>
      </c>
      <c r="M73" s="275">
        <f t="shared" si="45"/>
        <v>22444868</v>
      </c>
      <c r="N73" s="275">
        <f>+N57+N65</f>
        <v>0</v>
      </c>
      <c r="O73" s="275">
        <f t="shared" ref="O73" si="46">+O57+O65</f>
        <v>0</v>
      </c>
      <c r="P73" s="275">
        <f>SUM(G73+J73+M73+N73+O73)</f>
        <v>67306202.840000004</v>
      </c>
    </row>
    <row r="74" spans="1:18" s="277" customFormat="1" ht="52.5" customHeight="1" x14ac:dyDescent="0.5">
      <c r="A74" s="1053"/>
      <c r="B74" s="323" t="s">
        <v>229</v>
      </c>
      <c r="C74" s="274" t="s">
        <v>17</v>
      </c>
      <c r="D74" s="275">
        <f t="shared" si="39"/>
        <v>0</v>
      </c>
      <c r="E74" s="275">
        <f t="shared" si="39"/>
        <v>0</v>
      </c>
      <c r="F74" s="275">
        <f t="shared" si="39"/>
        <v>0</v>
      </c>
      <c r="G74" s="275">
        <f>SUM(D74:F74)</f>
        <v>0</v>
      </c>
      <c r="H74" s="275">
        <f t="shared" ref="H74:M74" si="47">+H58+H66</f>
        <v>81466770.620000005</v>
      </c>
      <c r="I74" s="275">
        <f t="shared" si="47"/>
        <v>13778875.379999999</v>
      </c>
      <c r="J74" s="275">
        <f t="shared" si="47"/>
        <v>95245646</v>
      </c>
      <c r="K74" s="275">
        <f t="shared" si="47"/>
        <v>15059134.779999999</v>
      </c>
      <c r="L74" s="275">
        <f t="shared" si="47"/>
        <v>2977572.92</v>
      </c>
      <c r="M74" s="275">
        <f t="shared" si="47"/>
        <v>18036707.699999999</v>
      </c>
      <c r="N74" s="275">
        <f t="shared" ref="N74:O74" si="48">+N58+N66</f>
        <v>0</v>
      </c>
      <c r="O74" s="275">
        <f t="shared" si="48"/>
        <v>115323.6</v>
      </c>
      <c r="P74" s="275">
        <f>SUM(G74+J74+M74+N74+O74)</f>
        <v>113397677.3</v>
      </c>
    </row>
    <row r="75" spans="1:18" s="277" customFormat="1" ht="52.5" customHeight="1" x14ac:dyDescent="0.5">
      <c r="A75" s="1053"/>
      <c r="B75" s="323" t="s">
        <v>230</v>
      </c>
      <c r="C75" s="274" t="s">
        <v>77</v>
      </c>
      <c r="D75" s="275">
        <f t="shared" ref="D75:L75" si="49">+D72-D74</f>
        <v>0</v>
      </c>
      <c r="E75" s="275">
        <f>+E72-E74</f>
        <v>0</v>
      </c>
      <c r="F75" s="275">
        <f>+F72-F74</f>
        <v>0</v>
      </c>
      <c r="G75" s="275">
        <f t="shared" si="49"/>
        <v>0</v>
      </c>
      <c r="H75" s="275">
        <f>+H72-H74</f>
        <v>100581604.38</v>
      </c>
      <c r="I75" s="275">
        <f>+I72-I74</f>
        <v>257649.62000000104</v>
      </c>
      <c r="J75" s="275">
        <f t="shared" si="49"/>
        <v>100839254</v>
      </c>
      <c r="K75" s="275">
        <f t="shared" si="49"/>
        <v>5366550.2200000007</v>
      </c>
      <c r="L75" s="275">
        <f t="shared" si="49"/>
        <v>44820242.079999998</v>
      </c>
      <c r="M75" s="275">
        <f>+M72-M74</f>
        <v>50186792.299999997</v>
      </c>
      <c r="N75" s="275">
        <f>+N72-N74</f>
        <v>0</v>
      </c>
      <c r="O75" s="275">
        <f>+O72-O74</f>
        <v>2704576.4</v>
      </c>
      <c r="P75" s="275">
        <f>P72-P74</f>
        <v>153730622.69999999</v>
      </c>
    </row>
    <row r="76" spans="1:18" s="277" customFormat="1" ht="52.5" customHeight="1" x14ac:dyDescent="0.5">
      <c r="A76" s="1053"/>
      <c r="B76" s="738" t="s">
        <v>336</v>
      </c>
      <c r="C76" s="274" t="s">
        <v>881</v>
      </c>
      <c r="D76" s="275">
        <f t="shared" ref="D76:L76" si="50">+D72-D73-D74</f>
        <v>0</v>
      </c>
      <c r="E76" s="275">
        <f>+E72-E73-E74</f>
        <v>0</v>
      </c>
      <c r="F76" s="275">
        <f>+F72-F73-F74</f>
        <v>0</v>
      </c>
      <c r="G76" s="275">
        <f t="shared" si="50"/>
        <v>0</v>
      </c>
      <c r="H76" s="275">
        <f>+H72-H73-H74</f>
        <v>57831823.139999986</v>
      </c>
      <c r="I76" s="275">
        <f>+I72-I73-I74</f>
        <v>-1853903.9799999986</v>
      </c>
      <c r="J76" s="275">
        <f t="shared" si="50"/>
        <v>55977919.159999996</v>
      </c>
      <c r="K76" s="275">
        <f t="shared" si="50"/>
        <v>4620332.2200000007</v>
      </c>
      <c r="L76" s="275">
        <f t="shared" si="50"/>
        <v>23121592.079999998</v>
      </c>
      <c r="M76" s="275">
        <f>+M72-M73-M74</f>
        <v>27741924.300000001</v>
      </c>
      <c r="N76" s="275">
        <f>+N72-N73-N74</f>
        <v>0</v>
      </c>
      <c r="O76" s="275">
        <f>+O72-O73-O74</f>
        <v>2704576.4</v>
      </c>
      <c r="P76" s="275">
        <f>P72-P73-P74</f>
        <v>86424419.859999999</v>
      </c>
    </row>
    <row r="77" spans="1:18" s="277" customFormat="1" ht="52.5" customHeight="1" x14ac:dyDescent="0.5">
      <c r="A77" s="1053"/>
      <c r="B77" s="323"/>
      <c r="C77" s="274" t="s">
        <v>97</v>
      </c>
      <c r="D77" s="275" t="e">
        <f>+D74*100/D71</f>
        <v>#DIV/0!</v>
      </c>
      <c r="E77" s="275" t="e">
        <f t="shared" ref="E77:P77" si="51">+E74*100/E71</f>
        <v>#DIV/0!</v>
      </c>
      <c r="F77" s="275" t="e">
        <f t="shared" si="51"/>
        <v>#DIV/0!</v>
      </c>
      <c r="G77" s="275" t="e">
        <f t="shared" si="51"/>
        <v>#DIV/0!</v>
      </c>
      <c r="H77" s="275">
        <f t="shared" si="51"/>
        <v>22.375024511332011</v>
      </c>
      <c r="I77" s="275">
        <f t="shared" si="51"/>
        <v>49.081954960602992</v>
      </c>
      <c r="J77" s="275">
        <f t="shared" si="51"/>
        <v>24.286819928393317</v>
      </c>
      <c r="K77" s="275">
        <f t="shared" si="51"/>
        <v>78.725343489102755</v>
      </c>
      <c r="L77" s="275">
        <f t="shared" si="51"/>
        <v>3.0026268383391015</v>
      </c>
      <c r="M77" s="275">
        <f t="shared" si="51"/>
        <v>15.247317664502855</v>
      </c>
      <c r="N77" s="275" t="e">
        <f t="shared" si="51"/>
        <v>#DIV/0!</v>
      </c>
      <c r="O77" s="275">
        <f t="shared" si="51"/>
        <v>2.0447809358321956</v>
      </c>
      <c r="P77" s="275">
        <f t="shared" si="51"/>
        <v>21.971852840598306</v>
      </c>
    </row>
    <row r="78" spans="1:18" s="277" customFormat="1" ht="52.5" customHeight="1" x14ac:dyDescent="0.5">
      <c r="A78" s="1054"/>
      <c r="B78" s="339"/>
      <c r="C78" s="274" t="s">
        <v>845</v>
      </c>
      <c r="D78" s="275" t="e">
        <f>+D74*100/D72</f>
        <v>#DIV/0!</v>
      </c>
      <c r="E78" s="275" t="e">
        <f t="shared" ref="E78:P78" si="52">+E74*100/E72</f>
        <v>#DIV/0!</v>
      </c>
      <c r="F78" s="275" t="e">
        <f t="shared" si="52"/>
        <v>#DIV/0!</v>
      </c>
      <c r="G78" s="275" t="e">
        <f t="shared" si="52"/>
        <v>#DIV/0!</v>
      </c>
      <c r="H78" s="275">
        <f t="shared" si="52"/>
        <v>44.75006745871805</v>
      </c>
      <c r="I78" s="275">
        <f t="shared" si="52"/>
        <v>98.164434430886558</v>
      </c>
      <c r="J78" s="275">
        <f t="shared" si="52"/>
        <v>48.573677014395294</v>
      </c>
      <c r="K78" s="275">
        <f t="shared" si="52"/>
        <v>73.726461462614353</v>
      </c>
      <c r="L78" s="275">
        <f t="shared" si="52"/>
        <v>6.2295168095026936</v>
      </c>
      <c r="M78" s="275">
        <f t="shared" si="52"/>
        <v>26.437675727571879</v>
      </c>
      <c r="N78" s="275" t="e">
        <f t="shared" si="52"/>
        <v>#DIV/0!</v>
      </c>
      <c r="O78" s="275">
        <f t="shared" si="52"/>
        <v>4.0896343841980212</v>
      </c>
      <c r="P78" s="275">
        <f t="shared" si="52"/>
        <v>42.450641620524671</v>
      </c>
    </row>
    <row r="79" spans="1:18" s="298" customFormat="1" ht="52.5" customHeight="1" x14ac:dyDescent="0.5">
      <c r="A79" s="322"/>
      <c r="B79" s="308"/>
      <c r="C79" s="309" t="s">
        <v>828</v>
      </c>
      <c r="D79" s="307">
        <f>+D7+D15+D23+D31+D39+D47+D55+D63</f>
        <v>627075500</v>
      </c>
      <c r="E79" s="307">
        <f t="shared" ref="E79:P79" si="53">+E7+E15+E23+E31+E39+E47+E55+E63</f>
        <v>246152200</v>
      </c>
      <c r="F79" s="307">
        <f t="shared" si="53"/>
        <v>516824300</v>
      </c>
      <c r="G79" s="307">
        <f t="shared" si="53"/>
        <v>1390052000</v>
      </c>
      <c r="H79" s="307">
        <f t="shared" si="53"/>
        <v>399235900</v>
      </c>
      <c r="I79" s="307">
        <f t="shared" si="53"/>
        <v>33305800</v>
      </c>
      <c r="J79" s="307">
        <f t="shared" si="53"/>
        <v>432541700</v>
      </c>
      <c r="K79" s="307">
        <f t="shared" si="53"/>
        <v>19128700</v>
      </c>
      <c r="L79" s="307">
        <f t="shared" si="53"/>
        <v>99165600</v>
      </c>
      <c r="M79" s="307">
        <f t="shared" si="53"/>
        <v>118294300</v>
      </c>
      <c r="N79" s="307">
        <f t="shared" si="53"/>
        <v>0</v>
      </c>
      <c r="O79" s="307">
        <f t="shared" si="53"/>
        <v>28793900</v>
      </c>
      <c r="P79" s="307">
        <f t="shared" si="53"/>
        <v>1969681900</v>
      </c>
      <c r="Q79" s="276"/>
      <c r="R79" s="298" t="s">
        <v>209</v>
      </c>
    </row>
    <row r="80" spans="1:18" s="298" customFormat="1" ht="52.5" customHeight="1" x14ac:dyDescent="0.5">
      <c r="A80" s="1051">
        <v>10</v>
      </c>
      <c r="B80" s="308"/>
      <c r="C80" s="309" t="s">
        <v>844</v>
      </c>
      <c r="D80" s="307">
        <f t="shared" ref="D80:P82" si="54">+D8+D16+D24+D32+D40+D48+D56+D64</f>
        <v>313537750</v>
      </c>
      <c r="E80" s="307">
        <f t="shared" si="54"/>
        <v>123076100</v>
      </c>
      <c r="F80" s="307">
        <f t="shared" si="54"/>
        <v>258412150</v>
      </c>
      <c r="G80" s="307">
        <f t="shared" si="54"/>
        <v>695026000</v>
      </c>
      <c r="H80" s="307">
        <f t="shared" si="54"/>
        <v>199617700</v>
      </c>
      <c r="I80" s="307">
        <f t="shared" si="54"/>
        <v>16652800</v>
      </c>
      <c r="J80" s="307">
        <f t="shared" si="54"/>
        <v>216270500</v>
      </c>
      <c r="K80" s="307">
        <f t="shared" si="54"/>
        <v>20425685</v>
      </c>
      <c r="L80" s="307">
        <f t="shared" si="54"/>
        <v>47797815</v>
      </c>
      <c r="M80" s="307">
        <f t="shared" si="54"/>
        <v>68223500</v>
      </c>
      <c r="N80" s="307">
        <f t="shared" si="54"/>
        <v>0</v>
      </c>
      <c r="O80" s="307">
        <f t="shared" si="54"/>
        <v>14396800</v>
      </c>
      <c r="P80" s="307">
        <f t="shared" si="54"/>
        <v>993916800</v>
      </c>
      <c r="Q80" s="276"/>
      <c r="R80" s="298">
        <f>+P80-P79</f>
        <v>-975765100</v>
      </c>
    </row>
    <row r="81" spans="1:17" s="298" customFormat="1" ht="59.25" x14ac:dyDescent="0.5">
      <c r="A81" s="1051"/>
      <c r="B81" s="310" t="s">
        <v>605</v>
      </c>
      <c r="C81" s="309" t="s">
        <v>76</v>
      </c>
      <c r="D81" s="307">
        <f t="shared" si="54"/>
        <v>0</v>
      </c>
      <c r="E81" s="307">
        <f t="shared" si="54"/>
        <v>0</v>
      </c>
      <c r="F81" s="307">
        <f t="shared" si="54"/>
        <v>0</v>
      </c>
      <c r="G81" s="307">
        <f t="shared" si="54"/>
        <v>0</v>
      </c>
      <c r="H81" s="307">
        <f t="shared" si="54"/>
        <v>42749781.239999995</v>
      </c>
      <c r="I81" s="307">
        <f t="shared" si="54"/>
        <v>2111553.6</v>
      </c>
      <c r="J81" s="307">
        <f t="shared" si="54"/>
        <v>44861334.840000004</v>
      </c>
      <c r="K81" s="307">
        <f t="shared" si="54"/>
        <v>746218</v>
      </c>
      <c r="L81" s="307">
        <f t="shared" si="54"/>
        <v>21698650</v>
      </c>
      <c r="M81" s="307">
        <f t="shared" si="54"/>
        <v>22444868</v>
      </c>
      <c r="N81" s="307">
        <f t="shared" si="54"/>
        <v>0</v>
      </c>
      <c r="O81" s="307">
        <f t="shared" si="54"/>
        <v>2611120</v>
      </c>
      <c r="P81" s="307">
        <f t="shared" si="54"/>
        <v>69917322.840000004</v>
      </c>
      <c r="Q81" s="276"/>
    </row>
    <row r="82" spans="1:17" s="298" customFormat="1" ht="52.5" customHeight="1" x14ac:dyDescent="0.5">
      <c r="A82" s="1051"/>
      <c r="B82" s="310" t="s">
        <v>66</v>
      </c>
      <c r="C82" s="309" t="s">
        <v>17</v>
      </c>
      <c r="D82" s="307">
        <f t="shared" si="54"/>
        <v>211642382.62</v>
      </c>
      <c r="E82" s="307">
        <f t="shared" si="54"/>
        <v>80930609.780000001</v>
      </c>
      <c r="F82" s="307">
        <f t="shared" si="54"/>
        <v>163405231.87</v>
      </c>
      <c r="G82" s="307">
        <f t="shared" si="54"/>
        <v>455978224.26999998</v>
      </c>
      <c r="H82" s="307">
        <f t="shared" si="54"/>
        <v>91332489.269999996</v>
      </c>
      <c r="I82" s="307">
        <f t="shared" si="54"/>
        <v>16783836.969999999</v>
      </c>
      <c r="J82" s="307">
        <f t="shared" si="54"/>
        <v>108116326.24000001</v>
      </c>
      <c r="K82" s="307">
        <f t="shared" si="54"/>
        <v>15059134.779999999</v>
      </c>
      <c r="L82" s="307">
        <f t="shared" si="54"/>
        <v>2977572.92</v>
      </c>
      <c r="M82" s="307">
        <f t="shared" si="54"/>
        <v>18036707.699999999</v>
      </c>
      <c r="N82" s="307">
        <f t="shared" si="54"/>
        <v>0</v>
      </c>
      <c r="O82" s="307">
        <f t="shared" si="54"/>
        <v>1250719.4200000002</v>
      </c>
      <c r="P82" s="307">
        <f t="shared" si="54"/>
        <v>583381977.63</v>
      </c>
      <c r="Q82" s="276"/>
    </row>
    <row r="83" spans="1:17" s="298" customFormat="1" ht="52.5" customHeight="1" x14ac:dyDescent="0.5">
      <c r="A83" s="1051"/>
      <c r="B83" s="310" t="s">
        <v>74</v>
      </c>
      <c r="C83" s="309" t="s">
        <v>77</v>
      </c>
      <c r="D83" s="307">
        <f t="shared" ref="D83:O83" si="55">+D80-D82</f>
        <v>101895367.38</v>
      </c>
      <c r="E83" s="307">
        <f t="shared" si="55"/>
        <v>42145490.219999999</v>
      </c>
      <c r="F83" s="307">
        <f t="shared" si="55"/>
        <v>95006918.129999995</v>
      </c>
      <c r="G83" s="307">
        <f t="shared" si="55"/>
        <v>239047775.73000002</v>
      </c>
      <c r="H83" s="307">
        <f t="shared" si="55"/>
        <v>108285210.73</v>
      </c>
      <c r="I83" s="307">
        <f t="shared" si="55"/>
        <v>-131036.96999999881</v>
      </c>
      <c r="J83" s="307">
        <f t="shared" si="55"/>
        <v>108154173.75999999</v>
      </c>
      <c r="K83" s="307">
        <f t="shared" si="55"/>
        <v>5366550.2200000007</v>
      </c>
      <c r="L83" s="307">
        <f t="shared" si="55"/>
        <v>44820242.079999998</v>
      </c>
      <c r="M83" s="307">
        <f t="shared" si="55"/>
        <v>50186792.299999997</v>
      </c>
      <c r="N83" s="307">
        <f t="shared" si="55"/>
        <v>0</v>
      </c>
      <c r="O83" s="307">
        <f t="shared" si="55"/>
        <v>13146080.58</v>
      </c>
      <c r="P83" s="307">
        <f>P80-P82</f>
        <v>410534822.37</v>
      </c>
      <c r="Q83" s="276"/>
    </row>
    <row r="84" spans="1:17" s="298" customFormat="1" ht="52.5" customHeight="1" x14ac:dyDescent="0.5">
      <c r="A84" s="322"/>
      <c r="B84" s="328"/>
      <c r="C84" s="309" t="s">
        <v>881</v>
      </c>
      <c r="D84" s="307">
        <f t="shared" ref="D84:O84" si="56">+D80-D81-D82</f>
        <v>101895367.38</v>
      </c>
      <c r="E84" s="307">
        <f t="shared" si="56"/>
        <v>42145490.219999999</v>
      </c>
      <c r="F84" s="307">
        <f t="shared" si="56"/>
        <v>95006918.129999995</v>
      </c>
      <c r="G84" s="307">
        <f t="shared" si="56"/>
        <v>239047775.73000002</v>
      </c>
      <c r="H84" s="307">
        <f t="shared" si="56"/>
        <v>65535429.489999995</v>
      </c>
      <c r="I84" s="307">
        <f t="shared" si="56"/>
        <v>-2242590.5699999984</v>
      </c>
      <c r="J84" s="307">
        <f t="shared" si="56"/>
        <v>63292838.919999987</v>
      </c>
      <c r="K84" s="307">
        <f t="shared" si="56"/>
        <v>4620332.2200000007</v>
      </c>
      <c r="L84" s="307">
        <f t="shared" si="56"/>
        <v>23121592.079999998</v>
      </c>
      <c r="M84" s="307">
        <f t="shared" si="56"/>
        <v>27741924.300000001</v>
      </c>
      <c r="N84" s="307">
        <f t="shared" si="56"/>
        <v>0</v>
      </c>
      <c r="O84" s="307">
        <f t="shared" si="56"/>
        <v>10534960.58</v>
      </c>
      <c r="P84" s="307">
        <f>P80-P81-P82</f>
        <v>340617499.52999997</v>
      </c>
      <c r="Q84" s="276"/>
    </row>
    <row r="85" spans="1:17" s="298" customFormat="1" ht="52.5" customHeight="1" x14ac:dyDescent="0.5">
      <c r="A85" s="322"/>
      <c r="B85" s="308"/>
      <c r="C85" s="309" t="s">
        <v>97</v>
      </c>
      <c r="D85" s="307">
        <f>+D82*100/D79</f>
        <v>33.7507018883691</v>
      </c>
      <c r="E85" s="307">
        <f t="shared" ref="E85:P85" si="57">+E82*100/E79</f>
        <v>32.878280096623143</v>
      </c>
      <c r="F85" s="307">
        <f t="shared" si="57"/>
        <v>31.617172774190379</v>
      </c>
      <c r="G85" s="307">
        <f t="shared" si="57"/>
        <v>32.802961635248181</v>
      </c>
      <c r="H85" s="307">
        <f t="shared" si="57"/>
        <v>22.876822768192941</v>
      </c>
      <c r="I85" s="307">
        <f t="shared" si="57"/>
        <v>50.393135640038672</v>
      </c>
      <c r="J85" s="307">
        <f t="shared" si="57"/>
        <v>24.995584527457122</v>
      </c>
      <c r="K85" s="307">
        <f t="shared" si="57"/>
        <v>78.725343489102755</v>
      </c>
      <c r="L85" s="307">
        <f t="shared" si="57"/>
        <v>3.0026268383391015</v>
      </c>
      <c r="M85" s="307">
        <f t="shared" si="57"/>
        <v>15.247317664502855</v>
      </c>
      <c r="N85" s="307" t="e">
        <f t="shared" si="57"/>
        <v>#DIV/0!</v>
      </c>
      <c r="O85" s="307">
        <f t="shared" si="57"/>
        <v>4.3436957827873268</v>
      </c>
      <c r="P85" s="307">
        <f t="shared" si="57"/>
        <v>29.618080850009335</v>
      </c>
      <c r="Q85" s="276"/>
    </row>
    <row r="86" spans="1:17" s="298" customFormat="1" ht="52.5" customHeight="1" x14ac:dyDescent="0.5">
      <c r="A86" s="340"/>
      <c r="B86" s="341"/>
      <c r="C86" s="309" t="s">
        <v>845</v>
      </c>
      <c r="D86" s="307">
        <f>+D82*100/D80</f>
        <v>67.501403776738201</v>
      </c>
      <c r="E86" s="307">
        <f t="shared" ref="E86:P86" si="58">+E82*100/E80</f>
        <v>65.756560193246287</v>
      </c>
      <c r="F86" s="307">
        <f t="shared" si="58"/>
        <v>63.234345548380759</v>
      </c>
      <c r="G86" s="307">
        <f t="shared" si="58"/>
        <v>65.605923270496362</v>
      </c>
      <c r="H86" s="307">
        <f t="shared" si="58"/>
        <v>45.753702837974792</v>
      </c>
      <c r="I86" s="307">
        <f t="shared" si="58"/>
        <v>100.78687650124904</v>
      </c>
      <c r="J86" s="307">
        <f t="shared" si="58"/>
        <v>49.991249957807469</v>
      </c>
      <c r="K86" s="307">
        <f t="shared" si="58"/>
        <v>73.726461462614353</v>
      </c>
      <c r="L86" s="307">
        <f t="shared" si="58"/>
        <v>6.2295168095026936</v>
      </c>
      <c r="M86" s="307">
        <f t="shared" si="58"/>
        <v>26.437675727571879</v>
      </c>
      <c r="N86" s="307" t="e">
        <f t="shared" si="58"/>
        <v>#DIV/0!</v>
      </c>
      <c r="O86" s="307">
        <f t="shared" si="58"/>
        <v>8.6874820793509677</v>
      </c>
      <c r="P86" s="307">
        <f t="shared" si="58"/>
        <v>58.695252724372907</v>
      </c>
      <c r="Q86" s="276"/>
    </row>
    <row r="87" spans="1:17" s="277" customFormat="1" ht="52.5" customHeight="1" x14ac:dyDescent="0.5">
      <c r="A87" s="1052">
        <v>11</v>
      </c>
      <c r="B87" s="1048" t="s">
        <v>691</v>
      </c>
      <c r="C87" s="274" t="s">
        <v>828</v>
      </c>
      <c r="D87" s="275">
        <f>+D79</f>
        <v>627075500</v>
      </c>
      <c r="E87" s="275">
        <f>+E79</f>
        <v>246152200</v>
      </c>
      <c r="F87" s="275">
        <f>+F79</f>
        <v>516824300</v>
      </c>
      <c r="G87" s="275">
        <f>SUM(D87:F87)</f>
        <v>1390052000</v>
      </c>
      <c r="H87" s="275">
        <f t="shared" ref="H87:I90" si="59">+H79</f>
        <v>399235900</v>
      </c>
      <c r="I87" s="275">
        <f t="shared" si="59"/>
        <v>33305800</v>
      </c>
      <c r="J87" s="275">
        <f>SUM(H87:I87)</f>
        <v>432541700</v>
      </c>
      <c r="K87" s="275"/>
      <c r="L87" s="275"/>
      <c r="M87" s="275"/>
      <c r="N87" s="275">
        <f t="shared" ref="N87:O90" si="60">+N79</f>
        <v>0</v>
      </c>
      <c r="O87" s="275">
        <f t="shared" si="60"/>
        <v>28793900</v>
      </c>
      <c r="P87" s="275">
        <f>SUM(G87+J87+M87+N87+O87)</f>
        <v>1851387600</v>
      </c>
    </row>
    <row r="88" spans="1:17" s="277" customFormat="1" ht="52.5" customHeight="1" x14ac:dyDescent="0.5">
      <c r="A88" s="1053"/>
      <c r="B88" s="1049"/>
      <c r="C88" s="274" t="s">
        <v>844</v>
      </c>
      <c r="D88" s="275">
        <f t="shared" ref="D88:F90" si="61">+D80</f>
        <v>313537750</v>
      </c>
      <c r="E88" s="275">
        <f t="shared" si="61"/>
        <v>123076100</v>
      </c>
      <c r="F88" s="275">
        <f>+F80</f>
        <v>258412150</v>
      </c>
      <c r="G88" s="275">
        <f>SUM(D88:F88)</f>
        <v>695026000</v>
      </c>
      <c r="H88" s="275">
        <f t="shared" si="59"/>
        <v>199617700</v>
      </c>
      <c r="I88" s="275">
        <f t="shared" si="59"/>
        <v>16652800</v>
      </c>
      <c r="J88" s="275">
        <f>SUM(H88:I88)</f>
        <v>216270500</v>
      </c>
      <c r="K88" s="275"/>
      <c r="L88" s="275"/>
      <c r="M88" s="275"/>
      <c r="N88" s="275">
        <f t="shared" si="60"/>
        <v>0</v>
      </c>
      <c r="O88" s="275">
        <f t="shared" si="60"/>
        <v>14396800</v>
      </c>
      <c r="P88" s="275">
        <f>SUM(G88+J88+M88+N88+O88)</f>
        <v>925693300</v>
      </c>
    </row>
    <row r="89" spans="1:17" s="277" customFormat="1" ht="52.5" customHeight="1" x14ac:dyDescent="0.5">
      <c r="A89" s="1053"/>
      <c r="B89" s="1049"/>
      <c r="C89" s="274" t="s">
        <v>76</v>
      </c>
      <c r="D89" s="275">
        <f t="shared" si="61"/>
        <v>0</v>
      </c>
      <c r="E89" s="275">
        <f t="shared" si="61"/>
        <v>0</v>
      </c>
      <c r="F89" s="275">
        <f t="shared" si="61"/>
        <v>0</v>
      </c>
      <c r="G89" s="275">
        <f>SUM(D89:F89)</f>
        <v>0</v>
      </c>
      <c r="H89" s="275">
        <f t="shared" si="59"/>
        <v>42749781.239999995</v>
      </c>
      <c r="I89" s="275">
        <f t="shared" si="59"/>
        <v>2111553.6</v>
      </c>
      <c r="J89" s="275">
        <f>SUM(H89:I89)</f>
        <v>44861334.839999996</v>
      </c>
      <c r="K89" s="275"/>
      <c r="L89" s="275"/>
      <c r="M89" s="275"/>
      <c r="N89" s="275">
        <f t="shared" si="60"/>
        <v>0</v>
      </c>
      <c r="O89" s="275">
        <f t="shared" si="60"/>
        <v>2611120</v>
      </c>
      <c r="P89" s="275">
        <f>SUM(G89+J89+M89+N89+O89)</f>
        <v>47472454.839999996</v>
      </c>
    </row>
    <row r="90" spans="1:17" s="277" customFormat="1" ht="52.5" customHeight="1" x14ac:dyDescent="0.5">
      <c r="A90" s="1053"/>
      <c r="B90" s="1049"/>
      <c r="C90" s="274" t="s">
        <v>17</v>
      </c>
      <c r="D90" s="275">
        <f t="shared" si="61"/>
        <v>211642382.62</v>
      </c>
      <c r="E90" s="275">
        <f t="shared" si="61"/>
        <v>80930609.780000001</v>
      </c>
      <c r="F90" s="275">
        <f t="shared" si="61"/>
        <v>163405231.87</v>
      </c>
      <c r="G90" s="275">
        <f>SUM(D90:F90)</f>
        <v>455978224.26999998</v>
      </c>
      <c r="H90" s="275">
        <f t="shared" si="59"/>
        <v>91332489.269999996</v>
      </c>
      <c r="I90" s="275">
        <f t="shared" si="59"/>
        <v>16783836.969999999</v>
      </c>
      <c r="J90" s="275">
        <f>SUM(H90:I90)</f>
        <v>108116326.23999999</v>
      </c>
      <c r="K90" s="275"/>
      <c r="L90" s="275"/>
      <c r="M90" s="275"/>
      <c r="N90" s="275">
        <f t="shared" si="60"/>
        <v>0</v>
      </c>
      <c r="O90" s="275">
        <f t="shared" si="60"/>
        <v>1250719.4200000002</v>
      </c>
      <c r="P90" s="275">
        <f>SUM(G90+J90+M90+N90+O90)</f>
        <v>565345269.92999995</v>
      </c>
    </row>
    <row r="91" spans="1:17" s="277" customFormat="1" ht="52.5" customHeight="1" x14ac:dyDescent="0.5">
      <c r="A91" s="1053"/>
      <c r="B91" s="1049"/>
      <c r="C91" s="274" t="s">
        <v>77</v>
      </c>
      <c r="D91" s="275">
        <f t="shared" ref="D91:J91" si="62">+D88-D90</f>
        <v>101895367.38</v>
      </c>
      <c r="E91" s="275">
        <f t="shared" si="62"/>
        <v>42145490.219999999</v>
      </c>
      <c r="F91" s="275">
        <f t="shared" si="62"/>
        <v>95006918.129999995</v>
      </c>
      <c r="G91" s="275">
        <f t="shared" si="62"/>
        <v>239047775.73000002</v>
      </c>
      <c r="H91" s="275">
        <f t="shared" si="62"/>
        <v>108285210.73</v>
      </c>
      <c r="I91" s="275">
        <f t="shared" si="62"/>
        <v>-131036.96999999881</v>
      </c>
      <c r="J91" s="275">
        <f t="shared" si="62"/>
        <v>108154173.76000001</v>
      </c>
      <c r="K91" s="275"/>
      <c r="L91" s="275"/>
      <c r="M91" s="275"/>
      <c r="N91" s="275">
        <f>+N88-N90</f>
        <v>0</v>
      </c>
      <c r="O91" s="275">
        <f>+O88-O90</f>
        <v>13146080.58</v>
      </c>
      <c r="P91" s="275">
        <f>P88-P90</f>
        <v>360348030.07000005</v>
      </c>
    </row>
    <row r="92" spans="1:17" s="277" customFormat="1" ht="52.5" customHeight="1" x14ac:dyDescent="0.5">
      <c r="A92" s="1053"/>
      <c r="B92" s="1049"/>
      <c r="C92" s="274" t="s">
        <v>881</v>
      </c>
      <c r="D92" s="275">
        <f t="shared" ref="D92:J92" si="63">+D88-D89-D90</f>
        <v>101895367.38</v>
      </c>
      <c r="E92" s="275">
        <f t="shared" si="63"/>
        <v>42145490.219999999</v>
      </c>
      <c r="F92" s="275">
        <f t="shared" si="63"/>
        <v>95006918.129999995</v>
      </c>
      <c r="G92" s="275">
        <f t="shared" si="63"/>
        <v>239047775.73000002</v>
      </c>
      <c r="H92" s="275">
        <f t="shared" si="63"/>
        <v>65535429.489999995</v>
      </c>
      <c r="I92" s="275">
        <f t="shared" si="63"/>
        <v>-2242590.5699999984</v>
      </c>
      <c r="J92" s="275">
        <f t="shared" si="63"/>
        <v>63292838.920000002</v>
      </c>
      <c r="K92" s="275"/>
      <c r="L92" s="275"/>
      <c r="M92" s="275"/>
      <c r="N92" s="275">
        <f>+N88-N89-N90</f>
        <v>0</v>
      </c>
      <c r="O92" s="275">
        <f>+O88-O89-O90</f>
        <v>10534960.58</v>
      </c>
      <c r="P92" s="275">
        <f>P88-P89-P90</f>
        <v>312875575.23000002</v>
      </c>
    </row>
    <row r="93" spans="1:17" s="276" customFormat="1" ht="52.5" customHeight="1" x14ac:dyDescent="0.5">
      <c r="A93" s="1053"/>
      <c r="B93" s="1049"/>
      <c r="C93" s="274" t="s">
        <v>97</v>
      </c>
      <c r="D93" s="275">
        <f>+D90*100/D87</f>
        <v>33.7507018883691</v>
      </c>
      <c r="E93" s="275">
        <f t="shared" ref="E93:P93" si="64">+E90*100/E87</f>
        <v>32.878280096623143</v>
      </c>
      <c r="F93" s="275">
        <f t="shared" si="64"/>
        <v>31.617172774190379</v>
      </c>
      <c r="G93" s="275">
        <f t="shared" si="64"/>
        <v>32.802961635248181</v>
      </c>
      <c r="H93" s="275">
        <f t="shared" si="64"/>
        <v>22.876822768192941</v>
      </c>
      <c r="I93" s="275">
        <f t="shared" si="64"/>
        <v>50.393135640038672</v>
      </c>
      <c r="J93" s="275">
        <f t="shared" si="64"/>
        <v>24.995584527457122</v>
      </c>
      <c r="K93" s="275" t="e">
        <f t="shared" si="64"/>
        <v>#DIV/0!</v>
      </c>
      <c r="L93" s="275" t="e">
        <f t="shared" si="64"/>
        <v>#DIV/0!</v>
      </c>
      <c r="M93" s="275" t="e">
        <f t="shared" si="64"/>
        <v>#DIV/0!</v>
      </c>
      <c r="N93" s="275" t="e">
        <f t="shared" si="64"/>
        <v>#DIV/0!</v>
      </c>
      <c r="O93" s="275">
        <f t="shared" si="64"/>
        <v>4.3436957827873268</v>
      </c>
      <c r="P93" s="275">
        <f t="shared" si="64"/>
        <v>30.536299904460844</v>
      </c>
      <c r="Q93" s="277"/>
    </row>
    <row r="94" spans="1:17" s="277" customFormat="1" ht="52.5" customHeight="1" x14ac:dyDescent="0.5">
      <c r="A94" s="1054"/>
      <c r="B94" s="1050"/>
      <c r="C94" s="274" t="s">
        <v>845</v>
      </c>
      <c r="D94" s="275">
        <f>+D90*100/D88</f>
        <v>67.501403776738201</v>
      </c>
      <c r="E94" s="275">
        <f t="shared" ref="E94:P94" si="65">+E90*100/E88</f>
        <v>65.756560193246287</v>
      </c>
      <c r="F94" s="275">
        <f t="shared" si="65"/>
        <v>63.234345548380759</v>
      </c>
      <c r="G94" s="275">
        <f t="shared" si="65"/>
        <v>65.605923270496362</v>
      </c>
      <c r="H94" s="275">
        <f t="shared" si="65"/>
        <v>45.753702837974792</v>
      </c>
      <c r="I94" s="275">
        <f t="shared" si="65"/>
        <v>100.78687650124904</v>
      </c>
      <c r="J94" s="275">
        <f t="shared" si="65"/>
        <v>49.991249957807469</v>
      </c>
      <c r="K94" s="275" t="e">
        <f t="shared" si="65"/>
        <v>#DIV/0!</v>
      </c>
      <c r="L94" s="275" t="e">
        <f t="shared" si="65"/>
        <v>#DIV/0!</v>
      </c>
      <c r="M94" s="275" t="e">
        <f t="shared" si="65"/>
        <v>#DIV/0!</v>
      </c>
      <c r="N94" s="275" t="e">
        <f t="shared" si="65"/>
        <v>#DIV/0!</v>
      </c>
      <c r="O94" s="275">
        <f t="shared" si="65"/>
        <v>8.6874820793509677</v>
      </c>
      <c r="P94" s="275">
        <f t="shared" si="65"/>
        <v>61.072632796413231</v>
      </c>
    </row>
    <row r="95" spans="1:17" s="277" customFormat="1" ht="50.25" customHeight="1" x14ac:dyDescent="0.5">
      <c r="A95" s="1052">
        <v>12</v>
      </c>
      <c r="B95" s="1048" t="s">
        <v>15</v>
      </c>
      <c r="C95" s="274" t="s">
        <v>828</v>
      </c>
      <c r="D95" s="275">
        <v>0</v>
      </c>
      <c r="E95" s="275">
        <v>0</v>
      </c>
      <c r="F95" s="275">
        <v>0</v>
      </c>
      <c r="G95" s="275">
        <f>SUM(D95:F95)</f>
        <v>0</v>
      </c>
      <c r="H95" s="275">
        <v>0</v>
      </c>
      <c r="I95" s="275">
        <v>0</v>
      </c>
      <c r="J95" s="275">
        <f>SUM(H95:I95)</f>
        <v>0</v>
      </c>
      <c r="K95" s="275">
        <f>+K79</f>
        <v>19128700</v>
      </c>
      <c r="L95" s="275">
        <f>+L79</f>
        <v>99165600</v>
      </c>
      <c r="M95" s="275">
        <f>SUM(K95:L95)</f>
        <v>118294300</v>
      </c>
      <c r="N95" s="275">
        <v>0</v>
      </c>
      <c r="O95" s="275">
        <v>0</v>
      </c>
      <c r="P95" s="275">
        <f>SUM(G95+J95+M95+N95+O95)</f>
        <v>118294300</v>
      </c>
    </row>
    <row r="96" spans="1:17" s="277" customFormat="1" ht="50.25" customHeight="1" x14ac:dyDescent="0.5">
      <c r="A96" s="1053"/>
      <c r="B96" s="1049"/>
      <c r="C96" s="274" t="s">
        <v>844</v>
      </c>
      <c r="D96" s="275">
        <v>0</v>
      </c>
      <c r="E96" s="275">
        <v>0</v>
      </c>
      <c r="F96" s="275">
        <v>0</v>
      </c>
      <c r="G96" s="275">
        <f>SUM(D96:F96)</f>
        <v>0</v>
      </c>
      <c r="H96" s="275">
        <v>0</v>
      </c>
      <c r="I96" s="275">
        <v>0</v>
      </c>
      <c r="J96" s="275">
        <f>SUM(H96:I96)</f>
        <v>0</v>
      </c>
      <c r="K96" s="275">
        <f t="shared" ref="K96:L98" si="66">+K80</f>
        <v>20425685</v>
      </c>
      <c r="L96" s="275">
        <f t="shared" si="66"/>
        <v>47797815</v>
      </c>
      <c r="M96" s="275">
        <f>SUM(K96:L96)</f>
        <v>68223500</v>
      </c>
      <c r="N96" s="275">
        <v>0</v>
      </c>
      <c r="O96" s="275">
        <v>0</v>
      </c>
      <c r="P96" s="275">
        <f>SUM(G96+J96+M96+N96+O96)</f>
        <v>68223500</v>
      </c>
    </row>
    <row r="97" spans="1:17" s="277" customFormat="1" ht="50.25" customHeight="1" x14ac:dyDescent="0.5">
      <c r="A97" s="1053"/>
      <c r="B97" s="1049"/>
      <c r="C97" s="274" t="s">
        <v>76</v>
      </c>
      <c r="D97" s="275">
        <v>0</v>
      </c>
      <c r="E97" s="275">
        <v>0</v>
      </c>
      <c r="F97" s="275">
        <v>0</v>
      </c>
      <c r="G97" s="275">
        <f>SUM(D97:F97)</f>
        <v>0</v>
      </c>
      <c r="H97" s="275">
        <v>0</v>
      </c>
      <c r="I97" s="275">
        <v>0</v>
      </c>
      <c r="J97" s="275">
        <f>SUM(H97:I97)</f>
        <v>0</v>
      </c>
      <c r="K97" s="275">
        <f t="shared" si="66"/>
        <v>746218</v>
      </c>
      <c r="L97" s="275">
        <f t="shared" si="66"/>
        <v>21698650</v>
      </c>
      <c r="M97" s="275">
        <f>SUM(K97:L97)</f>
        <v>22444868</v>
      </c>
      <c r="N97" s="275">
        <v>0</v>
      </c>
      <c r="O97" s="275">
        <v>0</v>
      </c>
      <c r="P97" s="275">
        <f>SUM(G97+J97+M97+N97+O97)</f>
        <v>22444868</v>
      </c>
    </row>
    <row r="98" spans="1:17" s="277" customFormat="1" ht="50.25" customHeight="1" x14ac:dyDescent="0.5">
      <c r="A98" s="1053"/>
      <c r="B98" s="1049"/>
      <c r="C98" s="274" t="s">
        <v>17</v>
      </c>
      <c r="D98" s="275">
        <v>0</v>
      </c>
      <c r="E98" s="275">
        <v>0</v>
      </c>
      <c r="F98" s="275">
        <v>0</v>
      </c>
      <c r="G98" s="275">
        <f>SUM(D98:F98)</f>
        <v>0</v>
      </c>
      <c r="H98" s="275">
        <v>0</v>
      </c>
      <c r="I98" s="275">
        <v>0</v>
      </c>
      <c r="J98" s="275">
        <f>SUM(H98:I98)</f>
        <v>0</v>
      </c>
      <c r="K98" s="275">
        <f t="shared" si="66"/>
        <v>15059134.779999999</v>
      </c>
      <c r="L98" s="275">
        <f t="shared" si="66"/>
        <v>2977572.92</v>
      </c>
      <c r="M98" s="275">
        <f>SUM(K98:L98)</f>
        <v>18036707.699999999</v>
      </c>
      <c r="N98" s="275">
        <v>0</v>
      </c>
      <c r="O98" s="275">
        <v>0</v>
      </c>
      <c r="P98" s="275">
        <f>SUM(G98+J98+M98+N98+O98)</f>
        <v>18036707.699999999</v>
      </c>
    </row>
    <row r="99" spans="1:17" s="277" customFormat="1" ht="50.25" customHeight="1" x14ac:dyDescent="0.5">
      <c r="A99" s="1053"/>
      <c r="B99" s="1049"/>
      <c r="C99" s="274" t="s">
        <v>77</v>
      </c>
      <c r="D99" s="275">
        <f>+D96-D98</f>
        <v>0</v>
      </c>
      <c r="E99" s="275">
        <f>+E96-E98</f>
        <v>0</v>
      </c>
      <c r="F99" s="275">
        <f>+F96-F98</f>
        <v>0</v>
      </c>
      <c r="G99" s="275">
        <f>G96-G98</f>
        <v>0</v>
      </c>
      <c r="H99" s="275">
        <f>+H96-H98</f>
        <v>0</v>
      </c>
      <c r="I99" s="275">
        <f>+I96-I98</f>
        <v>0</v>
      </c>
      <c r="J99" s="275">
        <f>J96-J98</f>
        <v>0</v>
      </c>
      <c r="K99" s="275">
        <f>+K96-K98</f>
        <v>5366550.2200000007</v>
      </c>
      <c r="L99" s="275">
        <f>+L96-L98</f>
        <v>44820242.079999998</v>
      </c>
      <c r="M99" s="275">
        <f>M96-M98</f>
        <v>50186792.299999997</v>
      </c>
      <c r="N99" s="275">
        <f>+N96-N98</f>
        <v>0</v>
      </c>
      <c r="O99" s="275">
        <f>+O96-O98</f>
        <v>0</v>
      </c>
      <c r="P99" s="275">
        <f>P96-P98</f>
        <v>50186792.299999997</v>
      </c>
    </row>
    <row r="100" spans="1:17" s="277" customFormat="1" ht="50.25" customHeight="1" x14ac:dyDescent="0.5">
      <c r="A100" s="1053"/>
      <c r="B100" s="1049"/>
      <c r="C100" s="274" t="s">
        <v>881</v>
      </c>
      <c r="D100" s="275">
        <f>+D96-D97-D98</f>
        <v>0</v>
      </c>
      <c r="E100" s="275">
        <f>+E96-E97-E98</f>
        <v>0</v>
      </c>
      <c r="F100" s="275">
        <f>+F96-F97-F98</f>
        <v>0</v>
      </c>
      <c r="G100" s="275">
        <f>G96-G97-G98</f>
        <v>0</v>
      </c>
      <c r="H100" s="275">
        <f>+H96-H97-H98</f>
        <v>0</v>
      </c>
      <c r="I100" s="275">
        <f>+I96-I97-I98</f>
        <v>0</v>
      </c>
      <c r="J100" s="275">
        <f>J96-J97-J98</f>
        <v>0</v>
      </c>
      <c r="K100" s="275">
        <f>+K96-K97-K98</f>
        <v>4620332.2200000007</v>
      </c>
      <c r="L100" s="275">
        <f>+L96-L97-L98</f>
        <v>23121592.079999998</v>
      </c>
      <c r="M100" s="275">
        <f>M96-M97-M98</f>
        <v>27741924.300000001</v>
      </c>
      <c r="N100" s="275">
        <f>+N96-N97-N98</f>
        <v>0</v>
      </c>
      <c r="O100" s="275">
        <f>+O96-O97-O98</f>
        <v>0</v>
      </c>
      <c r="P100" s="275">
        <f>P96-P97-P98</f>
        <v>27741924.300000001</v>
      </c>
    </row>
    <row r="101" spans="1:17" s="276" customFormat="1" ht="50.25" customHeight="1" x14ac:dyDescent="0.5">
      <c r="A101" s="1053"/>
      <c r="B101" s="1049"/>
      <c r="C101" s="274" t="s">
        <v>97</v>
      </c>
      <c r="D101" s="275" t="e">
        <f>+D98*100/D95</f>
        <v>#DIV/0!</v>
      </c>
      <c r="E101" s="275" t="e">
        <f t="shared" ref="E101:P101" si="67">+E98*100/E95</f>
        <v>#DIV/0!</v>
      </c>
      <c r="F101" s="275" t="e">
        <f t="shared" si="67"/>
        <v>#DIV/0!</v>
      </c>
      <c r="G101" s="275" t="e">
        <f t="shared" si="67"/>
        <v>#DIV/0!</v>
      </c>
      <c r="H101" s="275" t="e">
        <f t="shared" si="67"/>
        <v>#DIV/0!</v>
      </c>
      <c r="I101" s="275" t="e">
        <f t="shared" si="67"/>
        <v>#DIV/0!</v>
      </c>
      <c r="J101" s="275" t="e">
        <f t="shared" si="67"/>
        <v>#DIV/0!</v>
      </c>
      <c r="K101" s="275">
        <f t="shared" si="67"/>
        <v>78.725343489102755</v>
      </c>
      <c r="L101" s="275">
        <f t="shared" si="67"/>
        <v>3.0026268383391015</v>
      </c>
      <c r="M101" s="275">
        <f t="shared" si="67"/>
        <v>15.247317664502855</v>
      </c>
      <c r="N101" s="275" t="e">
        <f t="shared" si="67"/>
        <v>#DIV/0!</v>
      </c>
      <c r="O101" s="275" t="e">
        <f t="shared" si="67"/>
        <v>#DIV/0!</v>
      </c>
      <c r="P101" s="275">
        <f t="shared" si="67"/>
        <v>15.247317664502855</v>
      </c>
      <c r="Q101" s="277"/>
    </row>
    <row r="102" spans="1:17" s="277" customFormat="1" ht="50.25" customHeight="1" x14ac:dyDescent="0.5">
      <c r="A102" s="1054"/>
      <c r="B102" s="1050"/>
      <c r="C102" s="895" t="s">
        <v>845</v>
      </c>
      <c r="D102" s="275" t="e">
        <f>+D98*100/D96</f>
        <v>#DIV/0!</v>
      </c>
      <c r="E102" s="275" t="e">
        <f t="shared" ref="E102:P102" si="68">+E98*100/E96</f>
        <v>#DIV/0!</v>
      </c>
      <c r="F102" s="275" t="e">
        <f t="shared" si="68"/>
        <v>#DIV/0!</v>
      </c>
      <c r="G102" s="275" t="e">
        <f t="shared" si="68"/>
        <v>#DIV/0!</v>
      </c>
      <c r="H102" s="275" t="e">
        <f t="shared" si="68"/>
        <v>#DIV/0!</v>
      </c>
      <c r="I102" s="275" t="e">
        <f t="shared" si="68"/>
        <v>#DIV/0!</v>
      </c>
      <c r="J102" s="275" t="e">
        <f t="shared" si="68"/>
        <v>#DIV/0!</v>
      </c>
      <c r="K102" s="275">
        <f t="shared" si="68"/>
        <v>73.726461462614353</v>
      </c>
      <c r="L102" s="275">
        <f t="shared" si="68"/>
        <v>6.2295168095026936</v>
      </c>
      <c r="M102" s="275">
        <f t="shared" si="68"/>
        <v>26.437675727571879</v>
      </c>
      <c r="N102" s="275" t="e">
        <f t="shared" si="68"/>
        <v>#DIV/0!</v>
      </c>
      <c r="O102" s="275" t="e">
        <f t="shared" si="68"/>
        <v>#DIV/0!</v>
      </c>
      <c r="P102" s="275">
        <f t="shared" si="68"/>
        <v>26.437675727571879</v>
      </c>
    </row>
    <row r="103" spans="1:17" s="281" customFormat="1" ht="53.25" hidden="1" customHeight="1" x14ac:dyDescent="0.5">
      <c r="A103" s="279"/>
      <c r="B103" s="329" t="s">
        <v>540</v>
      </c>
      <c r="C103" s="280"/>
      <c r="D103" s="280"/>
      <c r="E103" s="280"/>
      <c r="F103" s="280"/>
      <c r="G103" s="280"/>
      <c r="H103" s="280"/>
      <c r="I103" s="280"/>
      <c r="J103" s="280"/>
      <c r="K103" s="280"/>
      <c r="L103" s="280"/>
      <c r="M103" s="280"/>
      <c r="N103" s="280"/>
      <c r="O103" s="280"/>
      <c r="P103" s="280"/>
    </row>
    <row r="104" spans="1:17" s="281" customFormat="1" ht="53.25" hidden="1" customHeight="1" x14ac:dyDescent="0.5">
      <c r="A104" s="279"/>
      <c r="B104" s="330" t="s">
        <v>73</v>
      </c>
      <c r="C104" s="282" t="s">
        <v>79</v>
      </c>
      <c r="D104" s="280" t="s">
        <v>89</v>
      </c>
      <c r="E104" s="280"/>
      <c r="F104" s="280"/>
      <c r="G104" s="280"/>
      <c r="H104" s="280"/>
      <c r="I104" s="280"/>
      <c r="J104" s="280"/>
      <c r="K104" s="280"/>
      <c r="L104" s="280"/>
      <c r="M104" s="280"/>
      <c r="N104" s="280"/>
      <c r="O104" s="280"/>
      <c r="P104" s="280"/>
    </row>
    <row r="105" spans="1:17" s="281" customFormat="1" ht="53.25" hidden="1" customHeight="1" x14ac:dyDescent="0.5">
      <c r="A105" s="279"/>
      <c r="B105" s="330" t="s">
        <v>68</v>
      </c>
      <c r="C105" s="282" t="s">
        <v>87</v>
      </c>
      <c r="D105" s="280" t="s">
        <v>90</v>
      </c>
      <c r="E105" s="280"/>
      <c r="F105" s="280"/>
      <c r="G105" s="280"/>
      <c r="H105" s="280">
        <v>8.3330000000000002</v>
      </c>
      <c r="I105" s="280">
        <f>42+8.33+8.33</f>
        <v>58.66</v>
      </c>
      <c r="J105" s="280"/>
      <c r="K105" s="280"/>
      <c r="L105" s="280"/>
      <c r="M105" s="280"/>
      <c r="N105" s="280"/>
      <c r="O105" s="280"/>
      <c r="P105" s="280"/>
    </row>
    <row r="106" spans="1:17" s="281" customFormat="1" ht="53.25" hidden="1" customHeight="1" x14ac:dyDescent="0.5">
      <c r="A106" s="279"/>
      <c r="B106" s="330" t="s">
        <v>69</v>
      </c>
      <c r="C106" s="282" t="s">
        <v>88</v>
      </c>
      <c r="D106" s="280" t="s">
        <v>91</v>
      </c>
      <c r="E106" s="280"/>
      <c r="F106" s="280"/>
      <c r="G106" s="280"/>
      <c r="H106" s="280"/>
      <c r="I106" s="280"/>
      <c r="J106" s="280"/>
      <c r="K106" s="280"/>
      <c r="L106" s="280"/>
      <c r="M106" s="280"/>
      <c r="N106" s="280"/>
      <c r="O106" s="280"/>
      <c r="P106" s="280"/>
    </row>
    <row r="107" spans="1:17" s="281" customFormat="1" ht="53.25" hidden="1" customHeight="1" x14ac:dyDescent="0.5">
      <c r="A107" s="279"/>
      <c r="B107" s="330" t="s">
        <v>70</v>
      </c>
      <c r="C107" s="282" t="s">
        <v>83</v>
      </c>
      <c r="D107" s="280" t="s">
        <v>92</v>
      </c>
      <c r="E107" s="280"/>
      <c r="F107" s="280"/>
      <c r="G107" s="280"/>
      <c r="H107" s="280"/>
      <c r="I107" s="280"/>
      <c r="J107" s="280"/>
      <c r="K107" s="280"/>
      <c r="L107" s="280"/>
      <c r="M107" s="280"/>
      <c r="N107" s="280"/>
      <c r="O107" s="280"/>
      <c r="P107" s="280"/>
    </row>
    <row r="108" spans="1:17" s="284" customFormat="1" ht="53.25" hidden="1" customHeight="1" x14ac:dyDescent="0.5">
      <c r="A108" s="279"/>
      <c r="B108" s="331" t="s">
        <v>541</v>
      </c>
      <c r="C108" s="283"/>
      <c r="D108" s="283"/>
      <c r="E108" s="283"/>
      <c r="F108" s="283"/>
      <c r="G108" s="283"/>
      <c r="H108" s="283"/>
      <c r="I108" s="283"/>
      <c r="J108" s="283"/>
      <c r="K108" s="283"/>
      <c r="L108" s="283"/>
      <c r="M108" s="281"/>
      <c r="N108" s="281"/>
      <c r="O108" s="281"/>
      <c r="P108" s="281"/>
    </row>
    <row r="109" spans="1:17" s="281" customFormat="1" ht="53.25" hidden="1" customHeight="1" x14ac:dyDescent="0.5">
      <c r="A109" s="279"/>
      <c r="B109" s="330" t="s">
        <v>73</v>
      </c>
      <c r="C109" s="282" t="s">
        <v>84</v>
      </c>
      <c r="D109" s="280" t="s">
        <v>89</v>
      </c>
      <c r="E109" s="280"/>
      <c r="F109" s="280"/>
      <c r="G109" s="280"/>
      <c r="H109" s="280"/>
      <c r="I109" s="280"/>
      <c r="J109" s="280"/>
      <c r="K109" s="280"/>
      <c r="L109" s="280"/>
      <c r="M109" s="280"/>
      <c r="N109" s="280"/>
      <c r="O109" s="280"/>
      <c r="P109" s="280"/>
    </row>
    <row r="110" spans="1:17" s="281" customFormat="1" ht="53.25" hidden="1" customHeight="1" x14ac:dyDescent="0.5">
      <c r="A110" s="279"/>
      <c r="B110" s="330" t="s">
        <v>68</v>
      </c>
      <c r="C110" s="282" t="s">
        <v>93</v>
      </c>
      <c r="D110" s="280" t="s">
        <v>90</v>
      </c>
      <c r="E110" s="280"/>
      <c r="F110" s="280"/>
      <c r="G110" s="280"/>
      <c r="H110" s="280">
        <v>6.6660000000000004</v>
      </c>
      <c r="I110" s="280">
        <f>23+6.666+6.666</f>
        <v>36.332000000000001</v>
      </c>
      <c r="J110" s="280"/>
      <c r="K110" s="280"/>
      <c r="L110" s="280"/>
      <c r="M110" s="280"/>
      <c r="N110" s="280"/>
      <c r="O110" s="280"/>
      <c r="P110" s="280"/>
    </row>
    <row r="111" spans="1:17" s="281" customFormat="1" ht="53.25" hidden="1" customHeight="1" x14ac:dyDescent="0.5">
      <c r="A111" s="279"/>
      <c r="B111" s="330" t="s">
        <v>69</v>
      </c>
      <c r="C111" s="282" t="s">
        <v>94</v>
      </c>
      <c r="D111" s="280" t="s">
        <v>91</v>
      </c>
      <c r="E111" s="280"/>
      <c r="F111" s="280"/>
      <c r="G111" s="280"/>
      <c r="H111" s="280"/>
      <c r="I111" s="280"/>
      <c r="J111" s="280"/>
      <c r="K111" s="280"/>
      <c r="L111" s="280"/>
      <c r="M111" s="280"/>
      <c r="N111" s="280"/>
      <c r="O111" s="280"/>
      <c r="P111" s="280"/>
    </row>
    <row r="112" spans="1:17" s="281" customFormat="1" ht="53.25" hidden="1" customHeight="1" x14ac:dyDescent="0.5">
      <c r="A112" s="279"/>
      <c r="B112" s="330" t="s">
        <v>70</v>
      </c>
      <c r="C112" s="282" t="s">
        <v>85</v>
      </c>
      <c r="D112" s="280" t="s">
        <v>92</v>
      </c>
      <c r="E112" s="280"/>
      <c r="F112" s="280"/>
      <c r="G112" s="280"/>
      <c r="H112" s="280"/>
      <c r="I112" s="280"/>
      <c r="J112" s="280"/>
      <c r="K112" s="280"/>
      <c r="L112" s="280"/>
      <c r="M112" s="280"/>
      <c r="N112" s="280"/>
      <c r="O112" s="280"/>
      <c r="P112" s="280"/>
    </row>
    <row r="113" spans="1:16" s="285" customFormat="1" ht="52.5" hidden="1" customHeight="1" x14ac:dyDescent="0.5">
      <c r="A113" s="1047" t="s">
        <v>174</v>
      </c>
      <c r="B113" s="1047"/>
      <c r="C113" s="1047"/>
      <c r="D113" s="1047"/>
      <c r="E113" s="1047"/>
      <c r="F113" s="1047"/>
      <c r="G113" s="1047"/>
      <c r="H113" s="1047"/>
      <c r="I113" s="1047"/>
      <c r="J113" s="1047"/>
      <c r="K113" s="1047"/>
      <c r="L113" s="1047"/>
      <c r="M113" s="1047"/>
      <c r="N113" s="1047"/>
      <c r="O113" s="1047"/>
      <c r="P113" s="1047"/>
    </row>
    <row r="114" spans="1:16" s="287" customFormat="1" ht="46.5" hidden="1" customHeight="1" x14ac:dyDescent="0.5">
      <c r="A114" s="279" t="s">
        <v>95</v>
      </c>
      <c r="B114" s="332" t="s">
        <v>96</v>
      </c>
      <c r="C114" s="286"/>
      <c r="D114" s="286"/>
      <c r="E114" s="286"/>
      <c r="F114" s="286"/>
      <c r="G114" s="286"/>
      <c r="H114" s="286"/>
      <c r="I114" s="286"/>
      <c r="J114" s="286"/>
      <c r="K114" s="286"/>
      <c r="L114" s="286"/>
      <c r="M114" s="286"/>
      <c r="N114" s="286"/>
      <c r="O114" s="286"/>
    </row>
    <row r="115" spans="1:16" hidden="1" x14ac:dyDescent="0.5">
      <c r="K115" s="290">
        <f>+K96-K95</f>
        <v>1296985</v>
      </c>
      <c r="L115" s="290">
        <f>+L96-L95</f>
        <v>-51367785</v>
      </c>
      <c r="M115" s="290">
        <f>+M96-M95</f>
        <v>-50070800</v>
      </c>
    </row>
  </sheetData>
  <mergeCells count="48">
    <mergeCell ref="K5:K6"/>
    <mergeCell ref="I5:I6"/>
    <mergeCell ref="A1:P1"/>
    <mergeCell ref="A2:P2"/>
    <mergeCell ref="A3:P3"/>
    <mergeCell ref="A4:A6"/>
    <mergeCell ref="B4:C6"/>
    <mergeCell ref="D4:G4"/>
    <mergeCell ref="H4:J4"/>
    <mergeCell ref="K4:M4"/>
    <mergeCell ref="N4:N6"/>
    <mergeCell ref="O4:O6"/>
    <mergeCell ref="P4:P6"/>
    <mergeCell ref="D5:D6"/>
    <mergeCell ref="E5:E6"/>
    <mergeCell ref="M5:M6"/>
    <mergeCell ref="A7:B7"/>
    <mergeCell ref="A8:B8"/>
    <mergeCell ref="A39:B39"/>
    <mergeCell ref="A32:A38"/>
    <mergeCell ref="A9:A14"/>
    <mergeCell ref="A15:B15"/>
    <mergeCell ref="A17:A22"/>
    <mergeCell ref="A23:B23"/>
    <mergeCell ref="A24:A30"/>
    <mergeCell ref="A16:B16"/>
    <mergeCell ref="L5:L6"/>
    <mergeCell ref="J5:J6"/>
    <mergeCell ref="A71:A78"/>
    <mergeCell ref="A55:B55"/>
    <mergeCell ref="A41:A46"/>
    <mergeCell ref="A49:A54"/>
    <mergeCell ref="A56:B56"/>
    <mergeCell ref="A65:A70"/>
    <mergeCell ref="A64:B64"/>
    <mergeCell ref="A63:B63"/>
    <mergeCell ref="A47:B47"/>
    <mergeCell ref="A48:B48"/>
    <mergeCell ref="A57:A62"/>
    <mergeCell ref="A40:B40"/>
    <mergeCell ref="A31:B31"/>
    <mergeCell ref="G5:G6"/>
    <mergeCell ref="A113:P113"/>
    <mergeCell ref="B95:B102"/>
    <mergeCell ref="A80:A83"/>
    <mergeCell ref="B87:B94"/>
    <mergeCell ref="A95:A102"/>
    <mergeCell ref="A87:A94"/>
  </mergeCells>
  <pageMargins left="0.25" right="0" top="0.66929133858267698" bottom="0.43307086614173201" header="0.35433070866141703" footer="0.23622047244094499"/>
  <pageSetup paperSize="9" scale="35" orientation="landscape" r:id="rId1"/>
  <headerFooter alignWithMargins="0">
    <oddFooter>&amp;L&amp;20กลุ่มงานบัญชีและงบประมาณ&amp;R&amp;26หน้าที่ &amp;P จาก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5"/>
  <sheetViews>
    <sheetView tabSelected="1" zoomScaleNormal="100" workbookViewId="0">
      <selection activeCell="C11" sqref="C11"/>
    </sheetView>
  </sheetViews>
  <sheetFormatPr defaultRowHeight="27.75" x14ac:dyDescent="0.65"/>
  <cols>
    <col min="1" max="1" width="6.85546875" style="319" customWidth="1"/>
    <col min="2" max="2" width="4.7109375" style="319" customWidth="1"/>
    <col min="3" max="3" width="12.5703125" style="628" customWidth="1"/>
    <col min="4" max="4" width="20.7109375" style="319" bestFit="1" customWidth="1"/>
    <col min="5" max="5" width="17.85546875" style="319" customWidth="1"/>
    <col min="6" max="6" width="20.7109375" style="319" bestFit="1" customWidth="1"/>
    <col min="7" max="7" width="15.7109375" style="319" customWidth="1"/>
    <col min="8" max="8" width="13" style="628" customWidth="1"/>
    <col min="9" max="9" width="13.5703125" style="477" customWidth="1"/>
    <col min="10" max="10" width="14.5703125" style="319" hidden="1" customWidth="1"/>
    <col min="11" max="16384" width="9.140625" style="319"/>
  </cols>
  <sheetData>
    <row r="1" spans="1:10" ht="30.75" x14ac:dyDescent="0.7">
      <c r="A1" s="1254" t="s">
        <v>57</v>
      </c>
      <c r="B1" s="1254"/>
      <c r="C1" s="1254"/>
      <c r="D1" s="1254"/>
      <c r="E1" s="1254"/>
      <c r="F1" s="1254"/>
      <c r="G1" s="1254"/>
      <c r="H1" s="1254"/>
      <c r="I1" s="1254"/>
    </row>
    <row r="2" spans="1:10" ht="24.75" customHeight="1" x14ac:dyDescent="0.5">
      <c r="A2" s="1255" t="s">
        <v>910</v>
      </c>
      <c r="B2" s="1255"/>
      <c r="C2" s="1255"/>
      <c r="D2" s="1255"/>
      <c r="E2" s="1255"/>
      <c r="F2" s="1255"/>
      <c r="G2" s="1255"/>
      <c r="H2" s="1255"/>
      <c r="I2" s="1255"/>
    </row>
    <row r="3" spans="1:10" ht="24.75" hidden="1" customHeight="1" x14ac:dyDescent="0.65">
      <c r="A3" s="1256" t="s">
        <v>241</v>
      </c>
      <c r="B3" s="1256"/>
      <c r="C3" s="1256"/>
      <c r="D3" s="1256"/>
      <c r="E3" s="1256"/>
      <c r="F3" s="1256"/>
      <c r="G3" s="1256"/>
      <c r="H3" s="1256"/>
    </row>
    <row r="4" spans="1:10" ht="30.75" x14ac:dyDescent="0.5">
      <c r="A4" s="1256" t="s">
        <v>267</v>
      </c>
      <c r="B4" s="1256"/>
      <c r="C4" s="1256"/>
      <c r="D4" s="1256"/>
      <c r="E4" s="1256"/>
      <c r="F4" s="1256"/>
      <c r="G4" s="1256"/>
      <c r="H4" s="1256"/>
      <c r="I4" s="1256"/>
    </row>
    <row r="5" spans="1:10" ht="30.75" x14ac:dyDescent="0.5">
      <c r="A5" s="1257" t="str">
        <f>+รายจ่ายจริง!A3:P3</f>
        <v>ตั้งแต่วันที่ 1  ตุลาคม 2564 ถึงวันที่ 31 มกราคม 2565</v>
      </c>
      <c r="B5" s="1257"/>
      <c r="C5" s="1257"/>
      <c r="D5" s="1257"/>
      <c r="E5" s="1257"/>
      <c r="F5" s="1257"/>
      <c r="G5" s="1257"/>
      <c r="H5" s="1257"/>
      <c r="I5" s="1257"/>
    </row>
    <row r="6" spans="1:10" ht="28.5" x14ac:dyDescent="0.5">
      <c r="A6" s="1261" t="s">
        <v>0</v>
      </c>
      <c r="B6" s="1261" t="s">
        <v>1</v>
      </c>
      <c r="C6" s="1261"/>
      <c r="D6" s="607" t="s">
        <v>66</v>
      </c>
      <c r="E6" s="608" t="s">
        <v>104</v>
      </c>
      <c r="F6" s="607" t="s">
        <v>105</v>
      </c>
      <c r="G6" s="607" t="s">
        <v>60</v>
      </c>
      <c r="H6" s="609" t="s">
        <v>65</v>
      </c>
      <c r="I6" s="610" t="s">
        <v>65</v>
      </c>
    </row>
    <row r="7" spans="1:10" ht="28.5" x14ac:dyDescent="0.5">
      <c r="A7" s="1261"/>
      <c r="B7" s="1261"/>
      <c r="C7" s="1261"/>
      <c r="D7" s="611" t="s">
        <v>2</v>
      </c>
      <c r="E7" s="611" t="s">
        <v>2</v>
      </c>
      <c r="F7" s="611" t="s">
        <v>2</v>
      </c>
      <c r="G7" s="611" t="s">
        <v>2</v>
      </c>
      <c r="H7" s="612" t="s">
        <v>106</v>
      </c>
      <c r="I7" s="612" t="s">
        <v>629</v>
      </c>
    </row>
    <row r="8" spans="1:10" ht="26.25" customHeight="1" x14ac:dyDescent="0.5">
      <c r="A8" s="216">
        <v>1</v>
      </c>
      <c r="B8" s="613" t="s">
        <v>107</v>
      </c>
      <c r="C8" s="614"/>
      <c r="D8" s="218">
        <f>+'2. สุรปเบิกจ่าย แยกงบ (GF)'!X7</f>
        <v>508103308.06</v>
      </c>
      <c r="E8" s="218">
        <f>+'2. สุรปเบิกจ่าย แยกงบ (GF)'!Y7</f>
        <v>23568497.560000002</v>
      </c>
      <c r="F8" s="218">
        <f>+'2. สุรปเบิกจ่าย แยกงบ (GF)'!Z7</f>
        <v>306219263.19999999</v>
      </c>
      <c r="G8" s="615">
        <f>+D8-E8-F8</f>
        <v>178315547.30000001</v>
      </c>
      <c r="H8" s="616">
        <f>F8*100/D8</f>
        <v>60.2671264568582</v>
      </c>
      <c r="I8" s="617">
        <f>+J8*100/D8</f>
        <v>64.90565117931817</v>
      </c>
      <c r="J8" s="618">
        <f>+E8+F8</f>
        <v>329787760.75999999</v>
      </c>
    </row>
    <row r="9" spans="1:10" ht="26.25" customHeight="1" x14ac:dyDescent="0.5">
      <c r="A9" s="216">
        <v>2</v>
      </c>
      <c r="B9" s="48" t="s">
        <v>108</v>
      </c>
      <c r="C9" s="217" t="s">
        <v>109</v>
      </c>
      <c r="D9" s="218">
        <f>+'2. สุรปเบิกจ่าย แยกงบ (GF)'!X8</f>
        <v>14173002</v>
      </c>
      <c r="E9" s="218">
        <f>+'2. สุรปเบิกจ่าย แยกงบ (GF)'!Y8</f>
        <v>375400</v>
      </c>
      <c r="F9" s="218">
        <f>+'2. สุรปเบิกจ่าย แยกงบ (GF)'!Z8</f>
        <v>9752413.4499999993</v>
      </c>
      <c r="G9" s="615">
        <f t="shared" ref="G9:G72" si="0">+D9-E9-F9</f>
        <v>4045188.5500000007</v>
      </c>
      <c r="H9" s="616">
        <f t="shared" ref="H9:H72" si="1">F9*100/D9</f>
        <v>68.80979378962904</v>
      </c>
      <c r="I9" s="617">
        <f t="shared" ref="I9:I72" si="2">+J9*100/D9</f>
        <v>71.458491644889335</v>
      </c>
      <c r="J9" s="618">
        <f t="shared" ref="J9:J72" si="3">+E9+F9</f>
        <v>10127813.449999999</v>
      </c>
    </row>
    <row r="10" spans="1:10" ht="26.25" customHeight="1" x14ac:dyDescent="0.5">
      <c r="A10" s="216">
        <v>3</v>
      </c>
      <c r="B10" s="48" t="s">
        <v>110</v>
      </c>
      <c r="C10" s="217" t="s">
        <v>18</v>
      </c>
      <c r="D10" s="218">
        <f>+'2. สุรปเบิกจ่าย แยกงบ (GF)'!X9</f>
        <v>11712955.199999999</v>
      </c>
      <c r="E10" s="218">
        <f>+'2. สุรปเบิกจ่าย แยกงบ (GF)'!Y9</f>
        <v>584075.31999999995</v>
      </c>
      <c r="F10" s="218">
        <f>+'2. สุรปเบิกจ่าย แยกงบ (GF)'!Z9</f>
        <v>7329699.6799999997</v>
      </c>
      <c r="G10" s="615">
        <f t="shared" si="0"/>
        <v>3799180.1999999993</v>
      </c>
      <c r="H10" s="616">
        <f t="shared" si="1"/>
        <v>62.577714631743838</v>
      </c>
      <c r="I10" s="617">
        <f t="shared" si="2"/>
        <v>67.564289838656606</v>
      </c>
      <c r="J10" s="618">
        <f t="shared" si="3"/>
        <v>7913775</v>
      </c>
    </row>
    <row r="11" spans="1:10" ht="26.25" customHeight="1" x14ac:dyDescent="0.5">
      <c r="A11" s="216">
        <v>4</v>
      </c>
      <c r="B11" s="48" t="s">
        <v>110</v>
      </c>
      <c r="C11" s="217" t="s">
        <v>75</v>
      </c>
      <c r="D11" s="218">
        <f>+'2. สุรปเบิกจ่าย แยกงบ (GF)'!X10</f>
        <v>4980809</v>
      </c>
      <c r="E11" s="218">
        <f>+'2. สุรปเบิกจ่าย แยกงบ (GF)'!Y10</f>
        <v>249980.3</v>
      </c>
      <c r="F11" s="218">
        <f>+'2. สุรปเบิกจ่าย แยกงบ (GF)'!Z10</f>
        <v>2623223.9300000002</v>
      </c>
      <c r="G11" s="615">
        <f t="shared" si="0"/>
        <v>2107604.77</v>
      </c>
      <c r="H11" s="616">
        <f t="shared" si="1"/>
        <v>52.666623634835233</v>
      </c>
      <c r="I11" s="617">
        <f t="shared" si="2"/>
        <v>57.685493059460825</v>
      </c>
      <c r="J11" s="618">
        <f t="shared" si="3"/>
        <v>2873204.23</v>
      </c>
    </row>
    <row r="12" spans="1:10" ht="26.25" customHeight="1" x14ac:dyDescent="0.5">
      <c r="A12" s="216">
        <v>5</v>
      </c>
      <c r="B12" s="48" t="s">
        <v>110</v>
      </c>
      <c r="C12" s="217" t="s">
        <v>111</v>
      </c>
      <c r="D12" s="218">
        <f>+'2. สุรปเบิกจ่าย แยกงบ (GF)'!X11</f>
        <v>5256838.25</v>
      </c>
      <c r="E12" s="218">
        <f>+'2. สุรปเบิกจ่าย แยกงบ (GF)'!Y11</f>
        <v>401913.8</v>
      </c>
      <c r="F12" s="218">
        <f>+'2. สุรปเบิกจ่าย แยกงบ (GF)'!Z11</f>
        <v>3331755.56</v>
      </c>
      <c r="G12" s="615">
        <f t="shared" si="0"/>
        <v>1523168.8900000001</v>
      </c>
      <c r="H12" s="616">
        <f t="shared" si="1"/>
        <v>63.379457414349773</v>
      </c>
      <c r="I12" s="617">
        <f t="shared" si="2"/>
        <v>71.024999865651182</v>
      </c>
      <c r="J12" s="618">
        <f t="shared" si="3"/>
        <v>3733669.36</v>
      </c>
    </row>
    <row r="13" spans="1:10" ht="26.25" customHeight="1" x14ac:dyDescent="0.5">
      <c r="A13" s="216">
        <v>6</v>
      </c>
      <c r="B13" s="48" t="s">
        <v>110</v>
      </c>
      <c r="C13" s="217" t="s">
        <v>72</v>
      </c>
      <c r="D13" s="218">
        <f>+'2. สุรปเบิกจ่าย แยกงบ (GF)'!X12</f>
        <v>5027948</v>
      </c>
      <c r="E13" s="218">
        <f>+'2. สุรปเบิกจ่าย แยกงบ (GF)'!Y12</f>
        <v>212233.8</v>
      </c>
      <c r="F13" s="218">
        <f>+'2. สุรปเบิกจ่าย แยกงบ (GF)'!Z12</f>
        <v>2960386.17</v>
      </c>
      <c r="G13" s="615">
        <f t="shared" si="0"/>
        <v>1855328.0300000003</v>
      </c>
      <c r="H13" s="616">
        <f t="shared" si="1"/>
        <v>58.878615490852333</v>
      </c>
      <c r="I13" s="617">
        <f t="shared" si="2"/>
        <v>63.099697331794204</v>
      </c>
      <c r="J13" s="618">
        <f t="shared" si="3"/>
        <v>3172619.9699999997</v>
      </c>
    </row>
    <row r="14" spans="1:10" ht="26.25" customHeight="1" x14ac:dyDescent="0.5">
      <c r="A14" s="216">
        <v>7</v>
      </c>
      <c r="B14" s="48" t="s">
        <v>110</v>
      </c>
      <c r="C14" s="217" t="s">
        <v>101</v>
      </c>
      <c r="D14" s="218">
        <f>+'2. สุรปเบิกจ่าย แยกงบ (GF)'!X13</f>
        <v>7817567</v>
      </c>
      <c r="E14" s="218">
        <f>+'2. สุรปเบิกจ่าย แยกงบ (GF)'!Y13</f>
        <v>806098.41</v>
      </c>
      <c r="F14" s="218">
        <f>+'2. สุรปเบิกจ่าย แยกงบ (GF)'!Z13</f>
        <v>5720608.7199999997</v>
      </c>
      <c r="G14" s="615">
        <f t="shared" si="0"/>
        <v>1290859.8700000001</v>
      </c>
      <c r="H14" s="616">
        <f t="shared" si="1"/>
        <v>73.176331203813149</v>
      </c>
      <c r="I14" s="617">
        <f t="shared" si="2"/>
        <v>83.487703143446041</v>
      </c>
      <c r="J14" s="618">
        <f t="shared" si="3"/>
        <v>6526707.1299999999</v>
      </c>
    </row>
    <row r="15" spans="1:10" ht="26.25" customHeight="1" x14ac:dyDescent="0.5">
      <c r="A15" s="216">
        <v>8</v>
      </c>
      <c r="B15" s="48" t="s">
        <v>110</v>
      </c>
      <c r="C15" s="217" t="s">
        <v>112</v>
      </c>
      <c r="D15" s="218">
        <f>+'2. สุรปเบิกจ่าย แยกงบ (GF)'!X14</f>
        <v>9572878.8200000003</v>
      </c>
      <c r="E15" s="218">
        <f>+'2. สุรปเบิกจ่าย แยกงบ (GF)'!Y14</f>
        <v>805622.76</v>
      </c>
      <c r="F15" s="218">
        <f>+'2. สุรปเบิกจ่าย แยกงบ (GF)'!Z14</f>
        <v>5027623.62</v>
      </c>
      <c r="G15" s="615">
        <f t="shared" si="0"/>
        <v>3739632.4400000004</v>
      </c>
      <c r="H15" s="616">
        <f t="shared" si="1"/>
        <v>52.51945328604922</v>
      </c>
      <c r="I15" s="617">
        <f t="shared" si="2"/>
        <v>60.93513236387129</v>
      </c>
      <c r="J15" s="618">
        <f t="shared" si="3"/>
        <v>5833246.3799999999</v>
      </c>
    </row>
    <row r="16" spans="1:10" ht="26.25" customHeight="1" x14ac:dyDescent="0.5">
      <c r="A16" s="216">
        <v>9</v>
      </c>
      <c r="B16" s="48" t="s">
        <v>110</v>
      </c>
      <c r="C16" s="217" t="s">
        <v>113</v>
      </c>
      <c r="D16" s="218">
        <f>+'2. สุรปเบิกจ่าย แยกงบ (GF)'!X15</f>
        <v>9072177</v>
      </c>
      <c r="E16" s="218">
        <f>+'2. สุรปเบิกจ่าย แยกงบ (GF)'!Y15</f>
        <v>1631981.4</v>
      </c>
      <c r="F16" s="218">
        <f>+'2. สุรปเบิกจ่าย แยกงบ (GF)'!Z15</f>
        <v>5225035.45</v>
      </c>
      <c r="G16" s="615">
        <f t="shared" si="0"/>
        <v>2215160.1499999994</v>
      </c>
      <c r="H16" s="616">
        <f t="shared" si="1"/>
        <v>57.594064247203292</v>
      </c>
      <c r="I16" s="617">
        <f t="shared" si="2"/>
        <v>75.582926236999128</v>
      </c>
      <c r="J16" s="618">
        <f t="shared" si="3"/>
        <v>6857016.8499999996</v>
      </c>
    </row>
    <row r="17" spans="1:10" ht="26.25" customHeight="1" x14ac:dyDescent="0.5">
      <c r="A17" s="216">
        <v>10</v>
      </c>
      <c r="B17" s="48" t="s">
        <v>110</v>
      </c>
      <c r="C17" s="217" t="s">
        <v>114</v>
      </c>
      <c r="D17" s="218">
        <f>+'2. สุรปเบิกจ่าย แยกงบ (GF)'!X16</f>
        <v>15199015.5</v>
      </c>
      <c r="E17" s="218">
        <f>+'2. สุรปเบิกจ่าย แยกงบ (GF)'!Y16</f>
        <v>1800810.65</v>
      </c>
      <c r="F17" s="218">
        <f>+'2. สุรปเบิกจ่าย แยกงบ (GF)'!Z16</f>
        <v>8900241.0300000012</v>
      </c>
      <c r="G17" s="615">
        <f t="shared" si="0"/>
        <v>4497963.8199999984</v>
      </c>
      <c r="H17" s="616">
        <f t="shared" si="1"/>
        <v>58.558010089535081</v>
      </c>
      <c r="I17" s="617">
        <f t="shared" si="2"/>
        <v>70.406215981554865</v>
      </c>
      <c r="J17" s="618">
        <f t="shared" si="3"/>
        <v>10701051.680000002</v>
      </c>
    </row>
    <row r="18" spans="1:10" ht="26.25" customHeight="1" x14ac:dyDescent="0.5">
      <c r="A18" s="216">
        <v>11</v>
      </c>
      <c r="B18" s="48" t="s">
        <v>110</v>
      </c>
      <c r="C18" s="217" t="s">
        <v>115</v>
      </c>
      <c r="D18" s="218">
        <f>+'2. สุรปเบิกจ่าย แยกงบ (GF)'!X17</f>
        <v>14409669</v>
      </c>
      <c r="E18" s="218">
        <f>+'2. สุรปเบิกจ่าย แยกงบ (GF)'!Y17</f>
        <v>3334499.35</v>
      </c>
      <c r="F18" s="218">
        <f>+'2. สุรปเบิกจ่าย แยกงบ (GF)'!Z17</f>
        <v>7905708.5</v>
      </c>
      <c r="G18" s="615">
        <f t="shared" si="0"/>
        <v>3169461.1500000004</v>
      </c>
      <c r="H18" s="616">
        <f t="shared" si="1"/>
        <v>54.863914639538216</v>
      </c>
      <c r="I18" s="617">
        <f t="shared" si="2"/>
        <v>78.004622104782555</v>
      </c>
      <c r="J18" s="618">
        <f t="shared" si="3"/>
        <v>11240207.85</v>
      </c>
    </row>
    <row r="19" spans="1:10" ht="26.25" customHeight="1" x14ac:dyDescent="0.5">
      <c r="A19" s="216">
        <v>12</v>
      </c>
      <c r="B19" s="48" t="s">
        <v>110</v>
      </c>
      <c r="C19" s="217" t="s">
        <v>116</v>
      </c>
      <c r="D19" s="218">
        <f>+'2. สุรปเบิกจ่าย แยกงบ (GF)'!X18</f>
        <v>15604714</v>
      </c>
      <c r="E19" s="218">
        <f>+'2. สุรปเบิกจ่าย แยกงบ (GF)'!Y18</f>
        <v>5260105.18</v>
      </c>
      <c r="F19" s="218">
        <f>+'2. สุรปเบิกจ่าย แยกงบ (GF)'!Z18</f>
        <v>7101944.9900000002</v>
      </c>
      <c r="G19" s="615">
        <f t="shared" si="0"/>
        <v>3242663.83</v>
      </c>
      <c r="H19" s="616">
        <f t="shared" si="1"/>
        <v>45.511535744903753</v>
      </c>
      <c r="I19" s="617">
        <f t="shared" si="2"/>
        <v>79.219972695430371</v>
      </c>
      <c r="J19" s="618">
        <f t="shared" si="3"/>
        <v>12362050.17</v>
      </c>
    </row>
    <row r="20" spans="1:10" ht="26.25" customHeight="1" x14ac:dyDescent="0.5">
      <c r="A20" s="216">
        <v>13</v>
      </c>
      <c r="B20" s="48" t="s">
        <v>110</v>
      </c>
      <c r="C20" s="217" t="s">
        <v>117</v>
      </c>
      <c r="D20" s="218">
        <f>+'2. สุรปเบิกจ่าย แยกงบ (GF)'!X19</f>
        <v>11424363</v>
      </c>
      <c r="E20" s="218">
        <f>+'2. สุรปเบิกจ่าย แยกงบ (GF)'!Y19</f>
        <v>999581.05</v>
      </c>
      <c r="F20" s="218">
        <f>+'2. สุรปเบิกจ่าย แยกงบ (GF)'!Z19</f>
        <v>6602340.4000000004</v>
      </c>
      <c r="G20" s="615">
        <f t="shared" si="0"/>
        <v>3822441.5499999989</v>
      </c>
      <c r="H20" s="616">
        <f t="shared" si="1"/>
        <v>57.791759593073152</v>
      </c>
      <c r="I20" s="617">
        <f t="shared" si="2"/>
        <v>66.541315695238325</v>
      </c>
      <c r="J20" s="618">
        <f t="shared" si="3"/>
        <v>7601921.4500000002</v>
      </c>
    </row>
    <row r="21" spans="1:10" ht="26.25" customHeight="1" x14ac:dyDescent="0.5">
      <c r="A21" s="216">
        <v>14</v>
      </c>
      <c r="B21" s="48" t="s">
        <v>110</v>
      </c>
      <c r="C21" s="217" t="s">
        <v>118</v>
      </c>
      <c r="D21" s="218">
        <f>+'2. สุรปเบิกจ่าย แยกงบ (GF)'!X20</f>
        <v>16611172</v>
      </c>
      <c r="E21" s="218">
        <f>+'2. สุรปเบิกจ่าย แยกงบ (GF)'!Y20</f>
        <v>2329355.4</v>
      </c>
      <c r="F21" s="218">
        <f>+'2. สุรปเบิกจ่าย แยกงบ (GF)'!Z20</f>
        <v>10242502.93</v>
      </c>
      <c r="G21" s="615">
        <f t="shared" si="0"/>
        <v>4039313.67</v>
      </c>
      <c r="H21" s="616">
        <f t="shared" si="1"/>
        <v>61.660326736728749</v>
      </c>
      <c r="I21" s="617">
        <f t="shared" si="2"/>
        <v>75.683150653066505</v>
      </c>
      <c r="J21" s="618">
        <f t="shared" si="3"/>
        <v>12571858.33</v>
      </c>
    </row>
    <row r="22" spans="1:10" ht="26.25" customHeight="1" x14ac:dyDescent="0.5">
      <c r="A22" s="216">
        <v>15</v>
      </c>
      <c r="B22" s="48" t="s">
        <v>110</v>
      </c>
      <c r="C22" s="217" t="s">
        <v>119</v>
      </c>
      <c r="D22" s="218">
        <f>+'2. สุรปเบิกจ่าย แยกงบ (GF)'!X21</f>
        <v>11944923</v>
      </c>
      <c r="E22" s="218">
        <f>+'2. สุรปเบิกจ่าย แยกงบ (GF)'!Y21</f>
        <v>79290</v>
      </c>
      <c r="F22" s="218">
        <f>+'2. สุรปเบิกจ่าย แยกงบ (GF)'!Z21</f>
        <v>7276486.3800000008</v>
      </c>
      <c r="G22" s="615">
        <f t="shared" si="0"/>
        <v>4589146.6199999992</v>
      </c>
      <c r="H22" s="616">
        <f t="shared" si="1"/>
        <v>60.916980209918485</v>
      </c>
      <c r="I22" s="617">
        <f t="shared" si="2"/>
        <v>61.58077687064204</v>
      </c>
      <c r="J22" s="618">
        <f t="shared" si="3"/>
        <v>7355776.3800000008</v>
      </c>
    </row>
    <row r="23" spans="1:10" ht="26.25" customHeight="1" x14ac:dyDescent="0.5">
      <c r="A23" s="216">
        <v>16</v>
      </c>
      <c r="B23" s="48" t="s">
        <v>110</v>
      </c>
      <c r="C23" s="217" t="s">
        <v>120</v>
      </c>
      <c r="D23" s="218">
        <f>+'2. สุรปเบิกจ่าย แยกงบ (GF)'!X22</f>
        <v>9197770.0299999993</v>
      </c>
      <c r="E23" s="218">
        <f>+'2. สุรปเบิกจ่าย แยกงบ (GF)'!Y22</f>
        <v>498123</v>
      </c>
      <c r="F23" s="218">
        <f>+'2. สุรปเบิกจ่าย แยกงบ (GF)'!Z22</f>
        <v>6263865.9399999995</v>
      </c>
      <c r="G23" s="615">
        <f t="shared" si="0"/>
        <v>2435781.09</v>
      </c>
      <c r="H23" s="616">
        <f t="shared" si="1"/>
        <v>68.102006459928859</v>
      </c>
      <c r="I23" s="617">
        <f t="shared" si="2"/>
        <v>73.517699593974314</v>
      </c>
      <c r="J23" s="618">
        <f t="shared" si="3"/>
        <v>6761988.9399999995</v>
      </c>
    </row>
    <row r="24" spans="1:10" ht="26.25" customHeight="1" x14ac:dyDescent="0.5">
      <c r="A24" s="216">
        <v>17</v>
      </c>
      <c r="B24" s="48" t="s">
        <v>108</v>
      </c>
      <c r="C24" s="217" t="s">
        <v>121</v>
      </c>
      <c r="D24" s="218">
        <f>+'2. สุรปเบิกจ่าย แยกงบ (GF)'!X23</f>
        <v>5623435</v>
      </c>
      <c r="E24" s="218">
        <f>+'2. สุรปเบิกจ่าย แยกงบ (GF)'!Y23</f>
        <v>0</v>
      </c>
      <c r="F24" s="218">
        <f>+'2. สุรปเบิกจ่าย แยกงบ (GF)'!Z23</f>
        <v>3577593.15</v>
      </c>
      <c r="G24" s="615">
        <f t="shared" si="0"/>
        <v>2045841.85</v>
      </c>
      <c r="H24" s="616">
        <f t="shared" si="1"/>
        <v>63.619356318691331</v>
      </c>
      <c r="I24" s="617">
        <f t="shared" si="2"/>
        <v>63.619356318691331</v>
      </c>
      <c r="J24" s="618">
        <f t="shared" si="3"/>
        <v>3577593.15</v>
      </c>
    </row>
    <row r="25" spans="1:10" ht="26.25" customHeight="1" x14ac:dyDescent="0.5">
      <c r="A25" s="216">
        <v>18</v>
      </c>
      <c r="B25" s="48" t="s">
        <v>108</v>
      </c>
      <c r="C25" s="217" t="s">
        <v>122</v>
      </c>
      <c r="D25" s="218">
        <f>+'2. สุรปเบิกจ่าย แยกงบ (GF)'!X24</f>
        <v>3799183</v>
      </c>
      <c r="E25" s="218">
        <f>+'2. สุรปเบิกจ่าย แยกงบ (GF)'!Y24</f>
        <v>275100</v>
      </c>
      <c r="F25" s="218">
        <f>+'2. สุรปเบิกจ่าย แยกงบ (GF)'!Z24</f>
        <v>2106697.14</v>
      </c>
      <c r="G25" s="615">
        <f t="shared" si="0"/>
        <v>1417385.8599999999</v>
      </c>
      <c r="H25" s="616">
        <f t="shared" si="1"/>
        <v>55.451320454950448</v>
      </c>
      <c r="I25" s="617">
        <f t="shared" si="2"/>
        <v>62.692350960719715</v>
      </c>
      <c r="J25" s="618">
        <f t="shared" si="3"/>
        <v>2381797.14</v>
      </c>
    </row>
    <row r="26" spans="1:10" ht="26.25" customHeight="1" x14ac:dyDescent="0.5">
      <c r="A26" s="216">
        <v>19</v>
      </c>
      <c r="B26" s="48" t="s">
        <v>108</v>
      </c>
      <c r="C26" s="217" t="s">
        <v>19</v>
      </c>
      <c r="D26" s="218">
        <f>+'2. สุรปเบิกจ่าย แยกงบ (GF)'!X25</f>
        <v>3191399</v>
      </c>
      <c r="E26" s="218">
        <f>+'2. สุรปเบิกจ่าย แยกงบ (GF)'!Y25</f>
        <v>2419.1999999999998</v>
      </c>
      <c r="F26" s="218">
        <f>+'2. สุรปเบิกจ่าย แยกงบ (GF)'!Z25</f>
        <v>2066458.99</v>
      </c>
      <c r="G26" s="615">
        <f t="shared" si="0"/>
        <v>1122520.8099999998</v>
      </c>
      <c r="H26" s="616">
        <f t="shared" si="1"/>
        <v>64.750881666629581</v>
      </c>
      <c r="I26" s="617">
        <f t="shared" si="2"/>
        <v>64.82668541288632</v>
      </c>
      <c r="J26" s="618">
        <f t="shared" si="3"/>
        <v>2068878.19</v>
      </c>
    </row>
    <row r="27" spans="1:10" ht="26.25" customHeight="1" x14ac:dyDescent="0.5">
      <c r="A27" s="216">
        <v>20</v>
      </c>
      <c r="B27" s="48" t="s">
        <v>108</v>
      </c>
      <c r="C27" s="217" t="s">
        <v>20</v>
      </c>
      <c r="D27" s="218">
        <f>+'2. สุรปเบิกจ่าย แยกงบ (GF)'!X26</f>
        <v>3737910</v>
      </c>
      <c r="E27" s="218">
        <f>+'2. สุรปเบิกจ่าย แยกงบ (GF)'!Y26</f>
        <v>0</v>
      </c>
      <c r="F27" s="218">
        <f>+'2. สุรปเบิกจ่าย แยกงบ (GF)'!Z26</f>
        <v>2445479.4800000004</v>
      </c>
      <c r="G27" s="615">
        <f t="shared" si="0"/>
        <v>1292430.5199999996</v>
      </c>
      <c r="H27" s="616">
        <f t="shared" si="1"/>
        <v>65.423712181406202</v>
      </c>
      <c r="I27" s="617">
        <f t="shared" si="2"/>
        <v>65.423712181406202</v>
      </c>
      <c r="J27" s="618">
        <f t="shared" si="3"/>
        <v>2445479.4800000004</v>
      </c>
    </row>
    <row r="28" spans="1:10" ht="26.25" customHeight="1" x14ac:dyDescent="0.5">
      <c r="A28" s="216">
        <v>21</v>
      </c>
      <c r="B28" s="48" t="s">
        <v>108</v>
      </c>
      <c r="C28" s="217" t="s">
        <v>123</v>
      </c>
      <c r="D28" s="218">
        <f>+'2. สุรปเบิกจ่าย แยกงบ (GF)'!X27</f>
        <v>1702580</v>
      </c>
      <c r="E28" s="218">
        <f>+'2. สุรปเบิกจ่าย แยกงบ (GF)'!Y27</f>
        <v>26800</v>
      </c>
      <c r="F28" s="218">
        <f>+'2. สุรปเบิกจ่าย แยกงบ (GF)'!Z27</f>
        <v>989023.1</v>
      </c>
      <c r="G28" s="615">
        <f t="shared" si="0"/>
        <v>686756.9</v>
      </c>
      <c r="H28" s="616">
        <f t="shared" si="1"/>
        <v>58.089669795251915</v>
      </c>
      <c r="I28" s="617">
        <f t="shared" si="2"/>
        <v>59.663751483043384</v>
      </c>
      <c r="J28" s="618">
        <f t="shared" si="3"/>
        <v>1015823.1</v>
      </c>
    </row>
    <row r="29" spans="1:10" ht="26.25" customHeight="1" x14ac:dyDescent="0.5">
      <c r="A29" s="216">
        <v>22</v>
      </c>
      <c r="B29" s="48" t="s">
        <v>108</v>
      </c>
      <c r="C29" s="217" t="s">
        <v>124</v>
      </c>
      <c r="D29" s="218">
        <f>+'2. สุรปเบิกจ่าย แยกงบ (GF)'!X28</f>
        <v>1790709</v>
      </c>
      <c r="E29" s="218">
        <f>+'2. สุรปเบิกจ่าย แยกงบ (GF)'!Y28</f>
        <v>0</v>
      </c>
      <c r="F29" s="218">
        <f>+'2. สุรปเบิกจ่าย แยกงบ (GF)'!Z28</f>
        <v>1152790.18</v>
      </c>
      <c r="G29" s="615">
        <f t="shared" si="0"/>
        <v>637918.82000000007</v>
      </c>
      <c r="H29" s="616">
        <f t="shared" si="1"/>
        <v>64.376187309049101</v>
      </c>
      <c r="I29" s="617">
        <f t="shared" si="2"/>
        <v>64.376187309049101</v>
      </c>
      <c r="J29" s="618">
        <f t="shared" si="3"/>
        <v>1152790.18</v>
      </c>
    </row>
    <row r="30" spans="1:10" ht="26.25" customHeight="1" x14ac:dyDescent="0.5">
      <c r="A30" s="216">
        <v>23</v>
      </c>
      <c r="B30" s="48" t="s">
        <v>108</v>
      </c>
      <c r="C30" s="217" t="s">
        <v>125</v>
      </c>
      <c r="D30" s="218">
        <f>+'2. สุรปเบิกจ่าย แยกงบ (GF)'!X29</f>
        <v>4330275</v>
      </c>
      <c r="E30" s="218">
        <f>+'2. สุรปเบิกจ่าย แยกงบ (GF)'!Y29</f>
        <v>188431</v>
      </c>
      <c r="F30" s="218">
        <f>+'2. สุรปเบิกจ่าย แยกงบ (GF)'!Z29</f>
        <v>2650899.46</v>
      </c>
      <c r="G30" s="615">
        <f t="shared" si="0"/>
        <v>1490944.54</v>
      </c>
      <c r="H30" s="616">
        <f t="shared" si="1"/>
        <v>61.217808568739862</v>
      </c>
      <c r="I30" s="617">
        <f t="shared" si="2"/>
        <v>65.569287400915641</v>
      </c>
      <c r="J30" s="618">
        <f t="shared" si="3"/>
        <v>2839330.46</v>
      </c>
    </row>
    <row r="31" spans="1:10" ht="26.25" customHeight="1" x14ac:dyDescent="0.5">
      <c r="A31" s="216">
        <v>24</v>
      </c>
      <c r="B31" s="48" t="s">
        <v>108</v>
      </c>
      <c r="C31" s="217" t="s">
        <v>21</v>
      </c>
      <c r="D31" s="218">
        <f>+'2. สุรปเบิกจ่าย แยกงบ (GF)'!X30</f>
        <v>5827513</v>
      </c>
      <c r="E31" s="218">
        <f>+'2. สุรปเบิกจ่าย แยกงบ (GF)'!Y30</f>
        <v>28095.8</v>
      </c>
      <c r="F31" s="218">
        <f>+'2. สุรปเบิกจ่าย แยกงบ (GF)'!Z30</f>
        <v>3365064.51</v>
      </c>
      <c r="G31" s="615">
        <f t="shared" si="0"/>
        <v>2434352.6900000004</v>
      </c>
      <c r="H31" s="616">
        <f t="shared" si="1"/>
        <v>57.74443591974827</v>
      </c>
      <c r="I31" s="617">
        <f t="shared" si="2"/>
        <v>58.22655925435086</v>
      </c>
      <c r="J31" s="618">
        <f t="shared" si="3"/>
        <v>3393160.3099999996</v>
      </c>
    </row>
    <row r="32" spans="1:10" ht="26.25" customHeight="1" x14ac:dyDescent="0.5">
      <c r="A32" s="216">
        <v>25</v>
      </c>
      <c r="B32" s="48" t="s">
        <v>108</v>
      </c>
      <c r="C32" s="217" t="s">
        <v>22</v>
      </c>
      <c r="D32" s="218">
        <f>+'2. สุรปเบิกจ่าย แยกงบ (GF)'!X31</f>
        <v>3416063</v>
      </c>
      <c r="E32" s="218">
        <f>+'2. สุรปเบิกจ่าย แยกงบ (GF)'!Y31</f>
        <v>133044.21</v>
      </c>
      <c r="F32" s="218">
        <f>+'2. สุรปเบิกจ่าย แยกงบ (GF)'!Z31</f>
        <v>2389732.41</v>
      </c>
      <c r="G32" s="615">
        <f t="shared" si="0"/>
        <v>893286.37999999989</v>
      </c>
      <c r="H32" s="616">
        <f t="shared" si="1"/>
        <v>69.955747595989891</v>
      </c>
      <c r="I32" s="617">
        <f t="shared" si="2"/>
        <v>73.850412594849686</v>
      </c>
      <c r="J32" s="618">
        <f t="shared" si="3"/>
        <v>2522776.62</v>
      </c>
    </row>
    <row r="33" spans="1:10" ht="26.25" customHeight="1" x14ac:dyDescent="0.5">
      <c r="A33" s="216">
        <v>26</v>
      </c>
      <c r="B33" s="48" t="s">
        <v>108</v>
      </c>
      <c r="C33" s="217" t="s">
        <v>126</v>
      </c>
      <c r="D33" s="218">
        <f>+'2. สุรปเบิกจ่าย แยกงบ (GF)'!X32</f>
        <v>2687591</v>
      </c>
      <c r="E33" s="218">
        <f>+'2. สุรปเบิกจ่าย แยกงบ (GF)'!Y32</f>
        <v>240618</v>
      </c>
      <c r="F33" s="218">
        <f>+'2. สุรปเบิกจ่าย แยกงบ (GF)'!Z32</f>
        <v>1438953.04</v>
      </c>
      <c r="G33" s="615">
        <f t="shared" si="0"/>
        <v>1008019.96</v>
      </c>
      <c r="H33" s="616">
        <f t="shared" si="1"/>
        <v>53.540625787182648</v>
      </c>
      <c r="I33" s="617">
        <f t="shared" si="2"/>
        <v>62.493550543962975</v>
      </c>
      <c r="J33" s="618">
        <f t="shared" si="3"/>
        <v>1679571.04</v>
      </c>
    </row>
    <row r="34" spans="1:10" ht="26.25" customHeight="1" x14ac:dyDescent="0.5">
      <c r="A34" s="216">
        <v>27</v>
      </c>
      <c r="B34" s="48" t="s">
        <v>108</v>
      </c>
      <c r="C34" s="217" t="s">
        <v>127</v>
      </c>
      <c r="D34" s="218">
        <f>+'2. สุรปเบิกจ่าย แยกงบ (GF)'!X33</f>
        <v>2579937.92</v>
      </c>
      <c r="E34" s="218">
        <f>+'2. สุรปเบิกจ่าย แยกงบ (GF)'!Y33</f>
        <v>0</v>
      </c>
      <c r="F34" s="218">
        <f>+'2. สุรปเบิกจ่าย แยกงบ (GF)'!Z33</f>
        <v>1520398.1199999999</v>
      </c>
      <c r="G34" s="615">
        <f t="shared" si="0"/>
        <v>1059539.8</v>
      </c>
      <c r="H34" s="616">
        <f t="shared" si="1"/>
        <v>58.931577702458824</v>
      </c>
      <c r="I34" s="617">
        <f t="shared" si="2"/>
        <v>58.931577702458824</v>
      </c>
      <c r="J34" s="618">
        <f t="shared" si="3"/>
        <v>1520398.1199999999</v>
      </c>
    </row>
    <row r="35" spans="1:10" ht="26.25" customHeight="1" x14ac:dyDescent="0.5">
      <c r="A35" s="216">
        <v>28</v>
      </c>
      <c r="B35" s="48" t="s">
        <v>108</v>
      </c>
      <c r="C35" s="217" t="s">
        <v>23</v>
      </c>
      <c r="D35" s="218">
        <f>+'2. สุรปเบิกจ่าย แยกงบ (GF)'!X34</f>
        <v>5157872</v>
      </c>
      <c r="E35" s="218">
        <f>+'2. สุรปเบิกจ่าย แยกงบ (GF)'!Y34</f>
        <v>0</v>
      </c>
      <c r="F35" s="218">
        <f>+'2. สุรปเบิกจ่าย แยกงบ (GF)'!Z34</f>
        <v>3546074.81</v>
      </c>
      <c r="G35" s="615">
        <f t="shared" si="0"/>
        <v>1611797.19</v>
      </c>
      <c r="H35" s="616">
        <f t="shared" si="1"/>
        <v>68.750733054251825</v>
      </c>
      <c r="I35" s="617">
        <f t="shared" si="2"/>
        <v>68.750733054251825</v>
      </c>
      <c r="J35" s="618">
        <f t="shared" si="3"/>
        <v>3546074.81</v>
      </c>
    </row>
    <row r="36" spans="1:10" ht="26.25" customHeight="1" x14ac:dyDescent="0.5">
      <c r="A36" s="216">
        <v>29</v>
      </c>
      <c r="B36" s="48" t="s">
        <v>108</v>
      </c>
      <c r="C36" s="217" t="s">
        <v>24</v>
      </c>
      <c r="D36" s="218">
        <f>+'2. สุรปเบิกจ่าย แยกงบ (GF)'!X35</f>
        <v>10426462</v>
      </c>
      <c r="E36" s="218">
        <f>+'2. สุรปเบิกจ่าย แยกงบ (GF)'!Y35</f>
        <v>5930064</v>
      </c>
      <c r="F36" s="218">
        <f>+'2. สุรปเบิกจ่าย แยกงบ (GF)'!Z35</f>
        <v>3194808.6799999997</v>
      </c>
      <c r="G36" s="615">
        <f t="shared" si="0"/>
        <v>1301589.3200000003</v>
      </c>
      <c r="H36" s="616">
        <f t="shared" si="1"/>
        <v>30.641349673551776</v>
      </c>
      <c r="I36" s="617">
        <f t="shared" si="2"/>
        <v>87.516481429654661</v>
      </c>
      <c r="J36" s="618">
        <f t="shared" si="3"/>
        <v>9124872.6799999997</v>
      </c>
    </row>
    <row r="37" spans="1:10" ht="26.25" customHeight="1" x14ac:dyDescent="0.5">
      <c r="A37" s="216">
        <v>30</v>
      </c>
      <c r="B37" s="48" t="s">
        <v>108</v>
      </c>
      <c r="C37" s="217" t="s">
        <v>25</v>
      </c>
      <c r="D37" s="218">
        <f>+'2. สุรปเบิกจ่าย แยกงบ (GF)'!X36</f>
        <v>2570484</v>
      </c>
      <c r="E37" s="218">
        <f>+'2. สุรปเบิกจ่าย แยกงบ (GF)'!Y36</f>
        <v>0</v>
      </c>
      <c r="F37" s="218">
        <f>+'2. สุรปเบิกจ่าย แยกงบ (GF)'!Z36</f>
        <v>1510015.55</v>
      </c>
      <c r="G37" s="615">
        <f t="shared" si="0"/>
        <v>1060468.45</v>
      </c>
      <c r="H37" s="616">
        <f t="shared" si="1"/>
        <v>58.744405722813291</v>
      </c>
      <c r="I37" s="617">
        <f t="shared" si="2"/>
        <v>58.744405722813291</v>
      </c>
      <c r="J37" s="618">
        <f t="shared" si="3"/>
        <v>1510015.55</v>
      </c>
    </row>
    <row r="38" spans="1:10" ht="26.25" customHeight="1" x14ac:dyDescent="0.5">
      <c r="A38" s="216">
        <v>31</v>
      </c>
      <c r="B38" s="48" t="s">
        <v>108</v>
      </c>
      <c r="C38" s="217" t="s">
        <v>173</v>
      </c>
      <c r="D38" s="218">
        <f>+'2. สุรปเบิกจ่าย แยกงบ (GF)'!X37</f>
        <v>2344509</v>
      </c>
      <c r="E38" s="218">
        <f>+'2. สุรปเบิกจ่าย แยกงบ (GF)'!Y37</f>
        <v>144000</v>
      </c>
      <c r="F38" s="218">
        <f>+'2. สุรปเบิกจ่าย แยกงบ (GF)'!Z37</f>
        <v>1493028.82</v>
      </c>
      <c r="G38" s="615">
        <f t="shared" si="0"/>
        <v>707480.17999999993</v>
      </c>
      <c r="H38" s="616">
        <f t="shared" si="1"/>
        <v>63.681940227143507</v>
      </c>
      <c r="I38" s="617">
        <f t="shared" si="2"/>
        <v>69.82395119831061</v>
      </c>
      <c r="J38" s="618">
        <f t="shared" si="3"/>
        <v>1637028.82</v>
      </c>
    </row>
    <row r="39" spans="1:10" ht="26.25" customHeight="1" x14ac:dyDescent="0.5">
      <c r="A39" s="216">
        <v>32</v>
      </c>
      <c r="B39" s="48" t="s">
        <v>108</v>
      </c>
      <c r="C39" s="217" t="s">
        <v>26</v>
      </c>
      <c r="D39" s="218">
        <f>+'2. สุรปเบิกจ่าย แยกงบ (GF)'!X38</f>
        <v>12594151</v>
      </c>
      <c r="E39" s="218">
        <f>+'2. สุรปเบิกจ่าย แยกงบ (GF)'!Y38</f>
        <v>297896.24</v>
      </c>
      <c r="F39" s="218">
        <f>+'2. สุรปเบิกจ่าย แยกงบ (GF)'!Z38</f>
        <v>4001439.5300000003</v>
      </c>
      <c r="G39" s="615">
        <f t="shared" si="0"/>
        <v>8294815.2299999995</v>
      </c>
      <c r="H39" s="616">
        <f t="shared" si="1"/>
        <v>31.772205446798278</v>
      </c>
      <c r="I39" s="617">
        <f t="shared" si="2"/>
        <v>34.137559332105837</v>
      </c>
      <c r="J39" s="618">
        <f t="shared" si="3"/>
        <v>4299335.7700000005</v>
      </c>
    </row>
    <row r="40" spans="1:10" ht="26.25" customHeight="1" x14ac:dyDescent="0.5">
      <c r="A40" s="216">
        <v>33</v>
      </c>
      <c r="B40" s="48" t="s">
        <v>108</v>
      </c>
      <c r="C40" s="217" t="s">
        <v>27</v>
      </c>
      <c r="D40" s="218">
        <f>+'2. สุรปเบิกจ่าย แยกงบ (GF)'!X39</f>
        <v>1095858</v>
      </c>
      <c r="E40" s="218">
        <f>+'2. สุรปเบิกจ่าย แยกงบ (GF)'!Y39</f>
        <v>0</v>
      </c>
      <c r="F40" s="218">
        <f>+'2. สุรปเบิกจ่าย แยกงบ (GF)'!Z39</f>
        <v>726353.41999999993</v>
      </c>
      <c r="G40" s="615">
        <f t="shared" si="0"/>
        <v>369504.58000000007</v>
      </c>
      <c r="H40" s="616">
        <f t="shared" si="1"/>
        <v>66.281709856569009</v>
      </c>
      <c r="I40" s="617">
        <f t="shared" si="2"/>
        <v>66.281709856569009</v>
      </c>
      <c r="J40" s="618">
        <f t="shared" si="3"/>
        <v>726353.41999999993</v>
      </c>
    </row>
    <row r="41" spans="1:10" ht="26.25" customHeight="1" x14ac:dyDescent="0.5">
      <c r="A41" s="216">
        <v>34</v>
      </c>
      <c r="B41" s="48" t="s">
        <v>108</v>
      </c>
      <c r="C41" s="217" t="s">
        <v>28</v>
      </c>
      <c r="D41" s="218">
        <f>+'2. สุรปเบิกจ่าย แยกงบ (GF)'!X40</f>
        <v>5027919</v>
      </c>
      <c r="E41" s="218">
        <f>+'2. สุรปเบิกจ่าย แยกงบ (GF)'!Y40</f>
        <v>0</v>
      </c>
      <c r="F41" s="218">
        <f>+'2. สุรปเบิกจ่าย แยกงบ (GF)'!Z40</f>
        <v>2804382.54</v>
      </c>
      <c r="G41" s="615">
        <f t="shared" si="0"/>
        <v>2223536.46</v>
      </c>
      <c r="H41" s="616">
        <f t="shared" si="1"/>
        <v>55.776207611936471</v>
      </c>
      <c r="I41" s="617">
        <f t="shared" si="2"/>
        <v>55.776207611936471</v>
      </c>
      <c r="J41" s="618">
        <f t="shared" si="3"/>
        <v>2804382.54</v>
      </c>
    </row>
    <row r="42" spans="1:10" ht="26.25" customHeight="1" x14ac:dyDescent="0.5">
      <c r="A42" s="216">
        <v>35</v>
      </c>
      <c r="B42" s="48" t="s">
        <v>108</v>
      </c>
      <c r="C42" s="217" t="s">
        <v>128</v>
      </c>
      <c r="D42" s="218">
        <f>+'2. สุรปเบิกจ่าย แยกงบ (GF)'!X41</f>
        <v>6631231</v>
      </c>
      <c r="E42" s="218">
        <f>+'2. สุรปเบิกจ่าย แยกงบ (GF)'!Y41</f>
        <v>503626.51</v>
      </c>
      <c r="F42" s="218">
        <f>+'2. สุรปเบิกจ่าย แยกงบ (GF)'!Z41</f>
        <v>3133840.62</v>
      </c>
      <c r="G42" s="615">
        <f t="shared" si="0"/>
        <v>2993763.87</v>
      </c>
      <c r="H42" s="616">
        <f t="shared" si="1"/>
        <v>47.258806396580063</v>
      </c>
      <c r="I42" s="617">
        <f t="shared" si="2"/>
        <v>54.853572888653709</v>
      </c>
      <c r="J42" s="618">
        <f t="shared" si="3"/>
        <v>3637467.13</v>
      </c>
    </row>
    <row r="43" spans="1:10" ht="26.25" customHeight="1" x14ac:dyDescent="0.5">
      <c r="A43" s="216">
        <v>36</v>
      </c>
      <c r="B43" s="48" t="s">
        <v>108</v>
      </c>
      <c r="C43" s="217" t="s">
        <v>29</v>
      </c>
      <c r="D43" s="218">
        <f>+'2. สุรปเบิกจ่าย แยกงบ (GF)'!X42</f>
        <v>9766848</v>
      </c>
      <c r="E43" s="218">
        <f>+'2. สุรปเบิกจ่าย แยกงบ (GF)'!Y42</f>
        <v>6040000</v>
      </c>
      <c r="F43" s="218">
        <f>+'2. สุรปเบิกจ่าย แยกงบ (GF)'!Z42</f>
        <v>2050505.01</v>
      </c>
      <c r="G43" s="615">
        <f t="shared" si="0"/>
        <v>1676342.99</v>
      </c>
      <c r="H43" s="616">
        <f t="shared" si="1"/>
        <v>20.994542046727869</v>
      </c>
      <c r="I43" s="617">
        <f t="shared" si="2"/>
        <v>82.836397269620662</v>
      </c>
      <c r="J43" s="618">
        <f t="shared" si="3"/>
        <v>8090505.0099999998</v>
      </c>
    </row>
    <row r="44" spans="1:10" ht="26.25" customHeight="1" x14ac:dyDescent="0.5">
      <c r="A44" s="216">
        <v>37</v>
      </c>
      <c r="B44" s="48" t="s">
        <v>108</v>
      </c>
      <c r="C44" s="217" t="s">
        <v>30</v>
      </c>
      <c r="D44" s="218">
        <f>+'2. สุรปเบิกจ่าย แยกงบ (GF)'!X43</f>
        <v>6250519</v>
      </c>
      <c r="E44" s="218">
        <f>+'2. สุรปเบิกจ่าย แยกงบ (GF)'!Y43</f>
        <v>657681.14</v>
      </c>
      <c r="F44" s="218">
        <f>+'2. สุรปเบิกจ่าย แยกงบ (GF)'!Z43</f>
        <v>3737233.58</v>
      </c>
      <c r="G44" s="615">
        <f t="shared" si="0"/>
        <v>1855604.2800000003</v>
      </c>
      <c r="H44" s="616">
        <f t="shared" si="1"/>
        <v>59.790772254272007</v>
      </c>
      <c r="I44" s="617">
        <f t="shared" si="2"/>
        <v>70.31279674535827</v>
      </c>
      <c r="J44" s="618">
        <f t="shared" si="3"/>
        <v>4394914.72</v>
      </c>
    </row>
    <row r="45" spans="1:10" ht="26.25" customHeight="1" x14ac:dyDescent="0.5">
      <c r="A45" s="216">
        <v>38</v>
      </c>
      <c r="B45" s="48" t="s">
        <v>108</v>
      </c>
      <c r="C45" s="217" t="s">
        <v>31</v>
      </c>
      <c r="D45" s="218">
        <f>+'2. สุรปเบิกจ่าย แยกงบ (GF)'!X44</f>
        <v>5694807</v>
      </c>
      <c r="E45" s="218">
        <f>+'2. สุรปเบิกจ่าย แยกงบ (GF)'!Y44</f>
        <v>68784.2</v>
      </c>
      <c r="F45" s="218">
        <f>+'2. สุรปเบิกจ่าย แยกงบ (GF)'!Z44</f>
        <v>4105059.83</v>
      </c>
      <c r="G45" s="615">
        <f t="shared" si="0"/>
        <v>1520962.9699999997</v>
      </c>
      <c r="H45" s="616">
        <f t="shared" si="1"/>
        <v>72.084266069069599</v>
      </c>
      <c r="I45" s="617">
        <f t="shared" si="2"/>
        <v>73.292106826447323</v>
      </c>
      <c r="J45" s="618">
        <f t="shared" si="3"/>
        <v>4173844.0300000003</v>
      </c>
    </row>
    <row r="46" spans="1:10" ht="26.25" customHeight="1" x14ac:dyDescent="0.5">
      <c r="A46" s="216">
        <v>39</v>
      </c>
      <c r="B46" s="48" t="s">
        <v>108</v>
      </c>
      <c r="C46" s="217" t="s">
        <v>129</v>
      </c>
      <c r="D46" s="218">
        <f>+'2. สุรปเบิกจ่าย แยกงบ (GF)'!X45</f>
        <v>1861107</v>
      </c>
      <c r="E46" s="218">
        <f>+'2. สุรปเบิกจ่าย แยกงบ (GF)'!Y45</f>
        <v>18000</v>
      </c>
      <c r="F46" s="218">
        <f>+'2. สุรปเบิกจ่าย แยกงบ (GF)'!Z45</f>
        <v>1121322.8799999999</v>
      </c>
      <c r="G46" s="615">
        <f t="shared" si="0"/>
        <v>721784.12000000011</v>
      </c>
      <c r="H46" s="616">
        <f t="shared" si="1"/>
        <v>60.250317687268911</v>
      </c>
      <c r="I46" s="617">
        <f t="shared" si="2"/>
        <v>61.217484002800475</v>
      </c>
      <c r="J46" s="618">
        <f t="shared" si="3"/>
        <v>1139322.8799999999</v>
      </c>
    </row>
    <row r="47" spans="1:10" ht="26.25" customHeight="1" x14ac:dyDescent="0.5">
      <c r="A47" s="216">
        <v>40</v>
      </c>
      <c r="B47" s="48" t="s">
        <v>108</v>
      </c>
      <c r="C47" s="217" t="s">
        <v>32</v>
      </c>
      <c r="D47" s="218">
        <f>+'2. สุรปเบิกจ่าย แยกงบ (GF)'!X46</f>
        <v>4022105</v>
      </c>
      <c r="E47" s="218">
        <f>+'2. สุรปเบิกจ่าย แยกงบ (GF)'!Y46</f>
        <v>256304.02</v>
      </c>
      <c r="F47" s="218">
        <f>+'2. สุรปเบิกจ่าย แยกงบ (GF)'!Z46</f>
        <v>2499367.7199999997</v>
      </c>
      <c r="G47" s="615">
        <f t="shared" si="0"/>
        <v>1266433.2600000002</v>
      </c>
      <c r="H47" s="616">
        <f t="shared" si="1"/>
        <v>62.140787473226077</v>
      </c>
      <c r="I47" s="617">
        <f t="shared" si="2"/>
        <v>68.513172580029618</v>
      </c>
      <c r="J47" s="618">
        <f t="shared" si="3"/>
        <v>2755671.7399999998</v>
      </c>
    </row>
    <row r="48" spans="1:10" ht="26.25" customHeight="1" x14ac:dyDescent="0.5">
      <c r="A48" s="216">
        <v>41</v>
      </c>
      <c r="B48" s="48" t="s">
        <v>108</v>
      </c>
      <c r="C48" s="217" t="s">
        <v>33</v>
      </c>
      <c r="D48" s="218">
        <f>+'2. สุรปเบิกจ่าย แยกงบ (GF)'!X47</f>
        <v>5315739</v>
      </c>
      <c r="E48" s="218">
        <f>+'2. สุรปเบิกจ่าย แยกงบ (GF)'!Y47</f>
        <v>541413.34</v>
      </c>
      <c r="F48" s="218">
        <f>+'2. สุรปเบิกจ่าย แยกงบ (GF)'!Z47</f>
        <v>3104352.65</v>
      </c>
      <c r="G48" s="615">
        <f t="shared" si="0"/>
        <v>1669973.0100000002</v>
      </c>
      <c r="H48" s="616">
        <f t="shared" si="1"/>
        <v>58.399267721759855</v>
      </c>
      <c r="I48" s="617">
        <f t="shared" si="2"/>
        <v>68.584367855532406</v>
      </c>
      <c r="J48" s="618">
        <f t="shared" si="3"/>
        <v>3645765.9899999998</v>
      </c>
    </row>
    <row r="49" spans="1:10" ht="26.25" customHeight="1" x14ac:dyDescent="0.5">
      <c r="A49" s="216">
        <v>42</v>
      </c>
      <c r="B49" s="48" t="s">
        <v>108</v>
      </c>
      <c r="C49" s="217" t="s">
        <v>34</v>
      </c>
      <c r="D49" s="218">
        <f>+'2. สุรปเบิกจ่าย แยกงบ (GF)'!X48</f>
        <v>2038593</v>
      </c>
      <c r="E49" s="218">
        <f>+'2. สุรปเบิกจ่าย แยกงบ (GF)'!Y48</f>
        <v>0</v>
      </c>
      <c r="F49" s="218">
        <f>+'2. สุรปเบิกจ่าย แยกงบ (GF)'!Z48</f>
        <v>1311941.6099999999</v>
      </c>
      <c r="G49" s="615">
        <f t="shared" si="0"/>
        <v>726651.39000000013</v>
      </c>
      <c r="H49" s="616">
        <f t="shared" si="1"/>
        <v>64.35524942938585</v>
      </c>
      <c r="I49" s="617">
        <f t="shared" si="2"/>
        <v>64.35524942938585</v>
      </c>
      <c r="J49" s="618">
        <f t="shared" si="3"/>
        <v>1311941.6099999999</v>
      </c>
    </row>
    <row r="50" spans="1:10" ht="26.25" customHeight="1" x14ac:dyDescent="0.5">
      <c r="A50" s="216">
        <v>43</v>
      </c>
      <c r="B50" s="48" t="s">
        <v>108</v>
      </c>
      <c r="C50" s="217" t="s">
        <v>35</v>
      </c>
      <c r="D50" s="218">
        <f>+'2. สุรปเบิกจ่าย แยกงบ (GF)'!X49</f>
        <v>7216477</v>
      </c>
      <c r="E50" s="218">
        <f>+'2. สุรปเบิกจ่าย แยกงบ (GF)'!Y49</f>
        <v>449617.44</v>
      </c>
      <c r="F50" s="218">
        <f>+'2. สุรปเบิกจ่าย แยกงบ (GF)'!Z49</f>
        <v>3138576.9699999997</v>
      </c>
      <c r="G50" s="615">
        <f t="shared" si="0"/>
        <v>3628282.59</v>
      </c>
      <c r="H50" s="616">
        <f t="shared" si="1"/>
        <v>43.491816990478874</v>
      </c>
      <c r="I50" s="617">
        <f t="shared" si="2"/>
        <v>49.722245494581351</v>
      </c>
      <c r="J50" s="618">
        <f t="shared" si="3"/>
        <v>3588194.4099999997</v>
      </c>
    </row>
    <row r="51" spans="1:10" ht="26.25" customHeight="1" x14ac:dyDescent="0.5">
      <c r="A51" s="216">
        <v>44</v>
      </c>
      <c r="B51" s="48" t="s">
        <v>108</v>
      </c>
      <c r="C51" s="217" t="s">
        <v>130</v>
      </c>
      <c r="D51" s="218">
        <f>+'2. สุรปเบิกจ่าย แยกงบ (GF)'!X50</f>
        <v>2715817</v>
      </c>
      <c r="E51" s="218">
        <f>+'2. สุรปเบิกจ่าย แยกงบ (GF)'!Y50</f>
        <v>135500</v>
      </c>
      <c r="F51" s="218">
        <f>+'2. สุรปเบิกจ่าย แยกงบ (GF)'!Z50</f>
        <v>1754532.51</v>
      </c>
      <c r="G51" s="615">
        <f t="shared" si="0"/>
        <v>825784.49</v>
      </c>
      <c r="H51" s="616">
        <f t="shared" si="1"/>
        <v>64.604224437802699</v>
      </c>
      <c r="I51" s="617">
        <f t="shared" si="2"/>
        <v>69.593514953327116</v>
      </c>
      <c r="J51" s="618">
        <f t="shared" si="3"/>
        <v>1890032.51</v>
      </c>
    </row>
    <row r="52" spans="1:10" ht="26.25" customHeight="1" x14ac:dyDescent="0.5">
      <c r="A52" s="216">
        <v>45</v>
      </c>
      <c r="B52" s="48" t="s">
        <v>108</v>
      </c>
      <c r="C52" s="217" t="s">
        <v>36</v>
      </c>
      <c r="D52" s="218">
        <f>+'2. สุรปเบิกจ่าย แยกงบ (GF)'!X51</f>
        <v>3706007</v>
      </c>
      <c r="E52" s="218">
        <f>+'2. สุรปเบิกจ่าย แยกงบ (GF)'!Y51</f>
        <v>162141</v>
      </c>
      <c r="F52" s="218">
        <f>+'2. สุรปเบิกจ่าย แยกงบ (GF)'!Z51</f>
        <v>2197756.09</v>
      </c>
      <c r="G52" s="615">
        <f t="shared" si="0"/>
        <v>1346109.9100000001</v>
      </c>
      <c r="H52" s="616">
        <f t="shared" si="1"/>
        <v>59.302534776647754</v>
      </c>
      <c r="I52" s="617">
        <f t="shared" si="2"/>
        <v>63.677620954304729</v>
      </c>
      <c r="J52" s="618">
        <f t="shared" si="3"/>
        <v>2359897.09</v>
      </c>
    </row>
    <row r="53" spans="1:10" ht="26.25" customHeight="1" x14ac:dyDescent="0.5">
      <c r="A53" s="216">
        <v>46</v>
      </c>
      <c r="B53" s="48" t="s">
        <v>108</v>
      </c>
      <c r="C53" s="217" t="s">
        <v>37</v>
      </c>
      <c r="D53" s="218">
        <f>+'2. สุรปเบิกจ่าย แยกงบ (GF)'!X52</f>
        <v>5442042</v>
      </c>
      <c r="E53" s="218">
        <f>+'2. สุรปเบิกจ่าย แยกงบ (GF)'!Y52</f>
        <v>34011.199999999997</v>
      </c>
      <c r="F53" s="218">
        <f>+'2. สุรปเบิกจ่าย แยกงบ (GF)'!Z52</f>
        <v>3435130.87</v>
      </c>
      <c r="G53" s="615">
        <f t="shared" si="0"/>
        <v>1972899.9299999997</v>
      </c>
      <c r="H53" s="616">
        <f t="shared" si="1"/>
        <v>63.122094059546029</v>
      </c>
      <c r="I53" s="617">
        <f t="shared" si="2"/>
        <v>63.747065347896985</v>
      </c>
      <c r="J53" s="618">
        <f t="shared" si="3"/>
        <v>3469142.0700000003</v>
      </c>
    </row>
    <row r="54" spans="1:10" ht="26.25" customHeight="1" x14ac:dyDescent="0.5">
      <c r="A54" s="216">
        <v>47</v>
      </c>
      <c r="B54" s="48" t="s">
        <v>108</v>
      </c>
      <c r="C54" s="217" t="s">
        <v>38</v>
      </c>
      <c r="D54" s="218">
        <f>+'2. สุรปเบิกจ่าย แยกงบ (GF)'!X53</f>
        <v>2095621</v>
      </c>
      <c r="E54" s="218">
        <f>+'2. สุรปเบิกจ่าย แยกงบ (GF)'!Y53</f>
        <v>177438</v>
      </c>
      <c r="F54" s="218">
        <f>+'2. สุรปเบิกจ่าย แยกงบ (GF)'!Z53</f>
        <v>1158525.54</v>
      </c>
      <c r="G54" s="615">
        <f t="shared" si="0"/>
        <v>759657.46</v>
      </c>
      <c r="H54" s="616">
        <f t="shared" si="1"/>
        <v>55.283161411342988</v>
      </c>
      <c r="I54" s="617">
        <f t="shared" si="2"/>
        <v>63.750245869840015</v>
      </c>
      <c r="J54" s="618">
        <f t="shared" si="3"/>
        <v>1335963.54</v>
      </c>
    </row>
    <row r="55" spans="1:10" ht="26.25" customHeight="1" x14ac:dyDescent="0.5">
      <c r="A55" s="216">
        <v>48</v>
      </c>
      <c r="B55" s="48" t="s">
        <v>108</v>
      </c>
      <c r="C55" s="217" t="s">
        <v>131</v>
      </c>
      <c r="D55" s="218">
        <f>+'2. สุรปเบิกจ่าย แยกงบ (GF)'!X54</f>
        <v>4265272</v>
      </c>
      <c r="E55" s="218">
        <f>+'2. สุรปเบิกจ่าย แยกงบ (GF)'!Y54</f>
        <v>254141.5</v>
      </c>
      <c r="F55" s="218">
        <f>+'2. สุรปเบิกจ่าย แยกงบ (GF)'!Z54</f>
        <v>2717033.68</v>
      </c>
      <c r="G55" s="615">
        <f t="shared" si="0"/>
        <v>1294096.8199999998</v>
      </c>
      <c r="H55" s="616">
        <f t="shared" si="1"/>
        <v>63.701299237188152</v>
      </c>
      <c r="I55" s="617">
        <f t="shared" si="2"/>
        <v>69.659688291860405</v>
      </c>
      <c r="J55" s="618">
        <f t="shared" si="3"/>
        <v>2971175.18</v>
      </c>
    </row>
    <row r="56" spans="1:10" ht="26.25" customHeight="1" x14ac:dyDescent="0.5">
      <c r="A56" s="216">
        <v>49</v>
      </c>
      <c r="B56" s="48" t="s">
        <v>108</v>
      </c>
      <c r="C56" s="217" t="s">
        <v>132</v>
      </c>
      <c r="D56" s="218">
        <f>+'2. สุรปเบิกจ่าย แยกงบ (GF)'!X55</f>
        <v>1971523</v>
      </c>
      <c r="E56" s="218">
        <f>+'2. สุรปเบิกจ่าย แยกงบ (GF)'!Y55</f>
        <v>0</v>
      </c>
      <c r="F56" s="218">
        <f>+'2. สุรปเบิกจ่าย แยกงบ (GF)'!Z55</f>
        <v>1136446.78</v>
      </c>
      <c r="G56" s="615">
        <f t="shared" si="0"/>
        <v>835076.22</v>
      </c>
      <c r="H56" s="616">
        <f t="shared" si="1"/>
        <v>57.643090138943343</v>
      </c>
      <c r="I56" s="617">
        <f t="shared" si="2"/>
        <v>57.643090138943343</v>
      </c>
      <c r="J56" s="618">
        <f t="shared" si="3"/>
        <v>1136446.78</v>
      </c>
    </row>
    <row r="57" spans="1:10" ht="26.25" customHeight="1" x14ac:dyDescent="0.5">
      <c r="A57" s="216">
        <v>50</v>
      </c>
      <c r="B57" s="48" t="s">
        <v>108</v>
      </c>
      <c r="C57" s="217" t="s">
        <v>133</v>
      </c>
      <c r="D57" s="218">
        <f>+'2. สุรปเบิกจ่าย แยกงบ (GF)'!X56</f>
        <v>1796550</v>
      </c>
      <c r="E57" s="218">
        <f>+'2. สุรปเบิกจ่าย แยกงบ (GF)'!Y56</f>
        <v>0</v>
      </c>
      <c r="F57" s="218">
        <f>+'2. สุรปเบิกจ่าย แยกงบ (GF)'!Z56</f>
        <v>1121178.3</v>
      </c>
      <c r="G57" s="615">
        <f t="shared" si="0"/>
        <v>675371.7</v>
      </c>
      <c r="H57" s="616">
        <f t="shared" si="1"/>
        <v>62.407297319863069</v>
      </c>
      <c r="I57" s="617">
        <f t="shared" si="2"/>
        <v>62.407297319863069</v>
      </c>
      <c r="J57" s="618">
        <f t="shared" si="3"/>
        <v>1121178.3</v>
      </c>
    </row>
    <row r="58" spans="1:10" ht="26.25" customHeight="1" x14ac:dyDescent="0.5">
      <c r="A58" s="216">
        <v>51</v>
      </c>
      <c r="B58" s="48" t="s">
        <v>108</v>
      </c>
      <c r="C58" s="217" t="s">
        <v>134</v>
      </c>
      <c r="D58" s="218">
        <f>+'2. สุรปเบิกจ่าย แยกงบ (GF)'!X57</f>
        <v>7832142.2400000002</v>
      </c>
      <c r="E58" s="218">
        <f>+'2. สุรปเบิกจ่าย แยกงบ (GF)'!Y57</f>
        <v>2962250</v>
      </c>
      <c r="F58" s="218">
        <f>+'2. สุรปเบิกจ่าย แยกงบ (GF)'!Z57</f>
        <v>3021215.8</v>
      </c>
      <c r="G58" s="615">
        <f t="shared" si="0"/>
        <v>1848676.4400000004</v>
      </c>
      <c r="H58" s="616">
        <f t="shared" si="1"/>
        <v>38.574577777331072</v>
      </c>
      <c r="I58" s="617">
        <f t="shared" si="2"/>
        <v>76.396286183893409</v>
      </c>
      <c r="J58" s="618">
        <f t="shared" si="3"/>
        <v>5983465.7999999998</v>
      </c>
    </row>
    <row r="59" spans="1:10" ht="26.25" customHeight="1" x14ac:dyDescent="0.5">
      <c r="A59" s="216">
        <v>52</v>
      </c>
      <c r="B59" s="48" t="s">
        <v>108</v>
      </c>
      <c r="C59" s="217" t="s">
        <v>135</v>
      </c>
      <c r="D59" s="218">
        <f>+'2. สุรปเบิกจ่าย แยกงบ (GF)'!X58</f>
        <v>4782667</v>
      </c>
      <c r="E59" s="218">
        <f>+'2. สุรปเบิกจ่าย แยกงบ (GF)'!Y58</f>
        <v>1271177.0900000001</v>
      </c>
      <c r="F59" s="218">
        <f>+'2. สุรปเบิกจ่าย แยกงบ (GF)'!Z58</f>
        <v>2292981.2200000002</v>
      </c>
      <c r="G59" s="615">
        <f t="shared" si="0"/>
        <v>1218508.69</v>
      </c>
      <c r="H59" s="616">
        <f t="shared" si="1"/>
        <v>47.943568306135475</v>
      </c>
      <c r="I59" s="617">
        <f t="shared" si="2"/>
        <v>74.522401622358416</v>
      </c>
      <c r="J59" s="618">
        <f t="shared" si="3"/>
        <v>3564158.3100000005</v>
      </c>
    </row>
    <row r="60" spans="1:10" ht="26.25" customHeight="1" x14ac:dyDescent="0.5">
      <c r="A60" s="216">
        <v>53</v>
      </c>
      <c r="B60" s="48" t="s">
        <v>108</v>
      </c>
      <c r="C60" s="217" t="s">
        <v>136</v>
      </c>
      <c r="D60" s="218">
        <f>+'2. สุรปเบิกจ่าย แยกงบ (GF)'!X59</f>
        <v>5673034</v>
      </c>
      <c r="E60" s="218">
        <f>+'2. สุรปเบิกจ่าย แยกงบ (GF)'!Y59</f>
        <v>550303.75</v>
      </c>
      <c r="F60" s="218">
        <f>+'2. สุรปเบิกจ่าย แยกงบ (GF)'!Z59</f>
        <v>3212265.9699999997</v>
      </c>
      <c r="G60" s="615">
        <f t="shared" si="0"/>
        <v>1910464.2800000003</v>
      </c>
      <c r="H60" s="616">
        <f t="shared" si="1"/>
        <v>56.62342178805909</v>
      </c>
      <c r="I60" s="617">
        <f t="shared" si="2"/>
        <v>66.323764673365261</v>
      </c>
      <c r="J60" s="618">
        <f t="shared" si="3"/>
        <v>3762569.7199999997</v>
      </c>
    </row>
    <row r="61" spans="1:10" ht="26.25" customHeight="1" x14ac:dyDescent="0.5">
      <c r="A61" s="216">
        <v>54</v>
      </c>
      <c r="B61" s="48" t="s">
        <v>108</v>
      </c>
      <c r="C61" s="217" t="s">
        <v>137</v>
      </c>
      <c r="D61" s="218">
        <f>+'2. สุรปเบิกจ่าย แยกงบ (GF)'!X60</f>
        <v>6155358</v>
      </c>
      <c r="E61" s="218">
        <f>+'2. สุรปเบิกจ่าย แยกงบ (GF)'!Y60</f>
        <v>493811</v>
      </c>
      <c r="F61" s="218">
        <f>+'2. สุรปเบิกจ่าย แยกงบ (GF)'!Z60</f>
        <v>3660571.3200000003</v>
      </c>
      <c r="G61" s="615">
        <f t="shared" si="0"/>
        <v>2000975.6799999997</v>
      </c>
      <c r="H61" s="616">
        <f t="shared" si="1"/>
        <v>59.469673737904444</v>
      </c>
      <c r="I61" s="617">
        <f t="shared" si="2"/>
        <v>67.492131570576404</v>
      </c>
      <c r="J61" s="618">
        <f t="shared" si="3"/>
        <v>4154382.3200000003</v>
      </c>
    </row>
    <row r="62" spans="1:10" ht="26.25" customHeight="1" x14ac:dyDescent="0.5">
      <c r="A62" s="216">
        <v>55</v>
      </c>
      <c r="B62" s="48" t="s">
        <v>108</v>
      </c>
      <c r="C62" s="217" t="s">
        <v>39</v>
      </c>
      <c r="D62" s="218">
        <f>+'2. สุรปเบิกจ่าย แยกงบ (GF)'!X61</f>
        <v>4463839</v>
      </c>
      <c r="E62" s="218">
        <f>+'2. สุรปเบิกจ่าย แยกงบ (GF)'!Y61</f>
        <v>195653.5</v>
      </c>
      <c r="F62" s="218">
        <f>+'2. สุรปเบิกจ่าย แยกงบ (GF)'!Z61</f>
        <v>2919669.2</v>
      </c>
      <c r="G62" s="615">
        <f t="shared" si="0"/>
        <v>1348516.2999999998</v>
      </c>
      <c r="H62" s="616">
        <f t="shared" si="1"/>
        <v>65.407134979554598</v>
      </c>
      <c r="I62" s="617">
        <f t="shared" si="2"/>
        <v>69.790211967770347</v>
      </c>
      <c r="J62" s="618">
        <f t="shared" si="3"/>
        <v>3115322.7</v>
      </c>
    </row>
    <row r="63" spans="1:10" ht="26.25" customHeight="1" x14ac:dyDescent="0.5">
      <c r="A63" s="216">
        <v>56</v>
      </c>
      <c r="B63" s="48" t="s">
        <v>108</v>
      </c>
      <c r="C63" s="217" t="s">
        <v>138</v>
      </c>
      <c r="D63" s="218">
        <f>+'2. สุรปเบิกจ่าย แยกงบ (GF)'!X62</f>
        <v>3042589</v>
      </c>
      <c r="E63" s="218">
        <f>+'2. สุรปเบิกจ่าย แยกงบ (GF)'!Y62</f>
        <v>450964.21</v>
      </c>
      <c r="F63" s="218">
        <f>+'2. สุรปเบิกจ่าย แยกงบ (GF)'!Z62</f>
        <v>1720710.1800000002</v>
      </c>
      <c r="G63" s="615">
        <f t="shared" si="0"/>
        <v>870914.60999999987</v>
      </c>
      <c r="H63" s="616">
        <f t="shared" si="1"/>
        <v>56.554144513110387</v>
      </c>
      <c r="I63" s="617">
        <f t="shared" si="2"/>
        <v>71.375870681186314</v>
      </c>
      <c r="J63" s="618">
        <f t="shared" si="3"/>
        <v>2171674.39</v>
      </c>
    </row>
    <row r="64" spans="1:10" ht="26.25" customHeight="1" x14ac:dyDescent="0.5">
      <c r="A64" s="216">
        <v>57</v>
      </c>
      <c r="B64" s="48" t="s">
        <v>108</v>
      </c>
      <c r="C64" s="217" t="s">
        <v>139</v>
      </c>
      <c r="D64" s="218">
        <f>+'2. สุรปเบิกจ่าย แยกงบ (GF)'!X63</f>
        <v>6548109.0299999993</v>
      </c>
      <c r="E64" s="218">
        <f>+'2. สุรปเบิกจ่าย แยกงบ (GF)'!Y63</f>
        <v>97600</v>
      </c>
      <c r="F64" s="218">
        <f>+'2. สุรปเบิกจ่าย แยกงบ (GF)'!Z63</f>
        <v>3924238.2</v>
      </c>
      <c r="G64" s="615">
        <f t="shared" si="0"/>
        <v>2526270.8299999991</v>
      </c>
      <c r="H64" s="616">
        <f t="shared" si="1"/>
        <v>59.929335049572323</v>
      </c>
      <c r="I64" s="617">
        <f t="shared" si="2"/>
        <v>61.419841691304285</v>
      </c>
      <c r="J64" s="618">
        <f t="shared" si="3"/>
        <v>4021838.2</v>
      </c>
    </row>
    <row r="65" spans="1:10" ht="26.25" customHeight="1" x14ac:dyDescent="0.5">
      <c r="A65" s="216">
        <v>58</v>
      </c>
      <c r="B65" s="48" t="s">
        <v>108</v>
      </c>
      <c r="C65" s="217" t="s">
        <v>40</v>
      </c>
      <c r="D65" s="218">
        <f>+'2. สุรปเบิกจ่าย แยกงบ (GF)'!X64</f>
        <v>2939858</v>
      </c>
      <c r="E65" s="218">
        <f>+'2. สุรปเบิกจ่าย แยกงบ (GF)'!Y64</f>
        <v>0</v>
      </c>
      <c r="F65" s="218">
        <f>+'2. สุรปเบิกจ่าย แยกงบ (GF)'!Z64</f>
        <v>1781929.88</v>
      </c>
      <c r="G65" s="615">
        <f t="shared" si="0"/>
        <v>1157928.1200000001</v>
      </c>
      <c r="H65" s="616">
        <f t="shared" si="1"/>
        <v>60.612787420344794</v>
      </c>
      <c r="I65" s="617">
        <f t="shared" si="2"/>
        <v>60.612787420344794</v>
      </c>
      <c r="J65" s="618">
        <f t="shared" si="3"/>
        <v>1781929.88</v>
      </c>
    </row>
    <row r="66" spans="1:10" ht="26.25" customHeight="1" x14ac:dyDescent="0.5">
      <c r="A66" s="216">
        <v>59</v>
      </c>
      <c r="B66" s="48" t="s">
        <v>108</v>
      </c>
      <c r="C66" s="217" t="s">
        <v>140</v>
      </c>
      <c r="D66" s="218">
        <f>+'2. สุรปเบิกจ่าย แยกงบ (GF)'!X65</f>
        <v>7726608</v>
      </c>
      <c r="E66" s="218">
        <f>+'2. สุรปเบิกจ่าย แยกงบ (GF)'!Y65</f>
        <v>821587.6</v>
      </c>
      <c r="F66" s="218">
        <f>+'2. สุรปเบิกจ่าย แยกงบ (GF)'!Z65</f>
        <v>4479292.96</v>
      </c>
      <c r="G66" s="615">
        <f t="shared" si="0"/>
        <v>2425727.4400000004</v>
      </c>
      <c r="H66" s="616">
        <f t="shared" si="1"/>
        <v>57.972307641334979</v>
      </c>
      <c r="I66" s="617">
        <f t="shared" si="2"/>
        <v>68.605532466510525</v>
      </c>
      <c r="J66" s="618">
        <f t="shared" si="3"/>
        <v>5300880.5599999996</v>
      </c>
    </row>
    <row r="67" spans="1:10" ht="26.25" customHeight="1" x14ac:dyDescent="0.5">
      <c r="A67" s="216">
        <v>60</v>
      </c>
      <c r="B67" s="48" t="s">
        <v>108</v>
      </c>
      <c r="C67" s="217" t="s">
        <v>141</v>
      </c>
      <c r="D67" s="218">
        <f>+'2. สุรปเบิกจ่าย แยกงบ (GF)'!X66</f>
        <v>2386516</v>
      </c>
      <c r="E67" s="218">
        <f>+'2. สุรปเบิกจ่าย แยกงบ (GF)'!Y66</f>
        <v>0</v>
      </c>
      <c r="F67" s="218">
        <f>+'2. สุรปเบิกจ่าย แยกงบ (GF)'!Z66</f>
        <v>1531386.0699999998</v>
      </c>
      <c r="G67" s="615">
        <f t="shared" si="0"/>
        <v>855129.93000000017</v>
      </c>
      <c r="H67" s="616">
        <f t="shared" si="1"/>
        <v>64.168271656255385</v>
      </c>
      <c r="I67" s="617">
        <f t="shared" si="2"/>
        <v>64.168271656255385</v>
      </c>
      <c r="J67" s="618">
        <f t="shared" si="3"/>
        <v>1531386.0699999998</v>
      </c>
    </row>
    <row r="68" spans="1:10" ht="26.25" customHeight="1" x14ac:dyDescent="0.5">
      <c r="A68" s="216">
        <v>61</v>
      </c>
      <c r="B68" s="48" t="s">
        <v>108</v>
      </c>
      <c r="C68" s="217" t="s">
        <v>142</v>
      </c>
      <c r="D68" s="218">
        <f>+'2. สุรปเบิกจ่าย แยกงบ (GF)'!X67</f>
        <v>2434814</v>
      </c>
      <c r="E68" s="218">
        <f>+'2. สุรปเบิกจ่าย แยกงบ (GF)'!Y67</f>
        <v>0</v>
      </c>
      <c r="F68" s="218">
        <f>+'2. สุรปเบิกจ่าย แยกงบ (GF)'!Z67</f>
        <v>1475262.53</v>
      </c>
      <c r="G68" s="615">
        <f t="shared" si="0"/>
        <v>959551.47</v>
      </c>
      <c r="H68" s="616">
        <f t="shared" si="1"/>
        <v>60.590358442164373</v>
      </c>
      <c r="I68" s="617">
        <f t="shared" si="2"/>
        <v>60.590358442164373</v>
      </c>
      <c r="J68" s="618">
        <f t="shared" si="3"/>
        <v>1475262.53</v>
      </c>
    </row>
    <row r="69" spans="1:10" ht="26.25" customHeight="1" x14ac:dyDescent="0.5">
      <c r="A69" s="216">
        <v>62</v>
      </c>
      <c r="B69" s="48" t="s">
        <v>108</v>
      </c>
      <c r="C69" s="217" t="s">
        <v>143</v>
      </c>
      <c r="D69" s="218">
        <f>+'2. สุรปเบิกจ่าย แยกงบ (GF)'!X68</f>
        <v>2347970</v>
      </c>
      <c r="E69" s="218">
        <f>+'2. สุรปเบิกจ่าย แยกงบ (GF)'!Y68</f>
        <v>0</v>
      </c>
      <c r="F69" s="218">
        <f>+'2. สุรปเบิกจ่าย แยกงบ (GF)'!Z68</f>
        <v>1389438.13</v>
      </c>
      <c r="G69" s="615">
        <f t="shared" si="0"/>
        <v>958531.87000000011</v>
      </c>
      <c r="H69" s="616">
        <f t="shared" si="1"/>
        <v>59.176144925190698</v>
      </c>
      <c r="I69" s="617">
        <f t="shared" si="2"/>
        <v>59.176144925190698</v>
      </c>
      <c r="J69" s="618">
        <f t="shared" si="3"/>
        <v>1389438.13</v>
      </c>
    </row>
    <row r="70" spans="1:10" ht="26.25" customHeight="1" x14ac:dyDescent="0.5">
      <c r="A70" s="216">
        <v>63</v>
      </c>
      <c r="B70" s="48" t="s">
        <v>108</v>
      </c>
      <c r="C70" s="217" t="s">
        <v>144</v>
      </c>
      <c r="D70" s="218">
        <f>+'2. สุรปเบิกจ่าย แยกงบ (GF)'!X69</f>
        <v>2256166</v>
      </c>
      <c r="E70" s="218">
        <f>+'2. สุรปเบิกจ่าย แยกงบ (GF)'!Y69</f>
        <v>6420</v>
      </c>
      <c r="F70" s="218">
        <f>+'2. สุรปเบิกจ่าย แยกงบ (GF)'!Z69</f>
        <v>1553249.98</v>
      </c>
      <c r="G70" s="615">
        <f t="shared" si="0"/>
        <v>696496.02</v>
      </c>
      <c r="H70" s="616">
        <f t="shared" si="1"/>
        <v>68.844667457979597</v>
      </c>
      <c r="I70" s="617">
        <f t="shared" si="2"/>
        <v>69.129220988171966</v>
      </c>
      <c r="J70" s="618">
        <f t="shared" si="3"/>
        <v>1559669.98</v>
      </c>
    </row>
    <row r="71" spans="1:10" ht="26.25" customHeight="1" x14ac:dyDescent="0.5">
      <c r="A71" s="216">
        <v>64</v>
      </c>
      <c r="B71" s="48" t="s">
        <v>108</v>
      </c>
      <c r="C71" s="217" t="s">
        <v>41</v>
      </c>
      <c r="D71" s="218">
        <f>+'2. สุรปเบิกจ่าย แยกงบ (GF)'!X70</f>
        <v>2125665</v>
      </c>
      <c r="E71" s="218">
        <f>+'2. สุรปเบิกจ่าย แยกงบ (GF)'!Y70</f>
        <v>0</v>
      </c>
      <c r="F71" s="218">
        <f>+'2. สุรปเบิกจ่าย แยกงบ (GF)'!Z70</f>
        <v>1388864.3900000001</v>
      </c>
      <c r="G71" s="615">
        <f t="shared" si="0"/>
        <v>736800.60999999987</v>
      </c>
      <c r="H71" s="616">
        <f t="shared" si="1"/>
        <v>65.337877323096535</v>
      </c>
      <c r="I71" s="617">
        <f t="shared" si="2"/>
        <v>65.337877323096535</v>
      </c>
      <c r="J71" s="618">
        <f t="shared" si="3"/>
        <v>1388864.3900000001</v>
      </c>
    </row>
    <row r="72" spans="1:10" ht="26.25" customHeight="1" x14ac:dyDescent="0.5">
      <c r="A72" s="216">
        <v>65</v>
      </c>
      <c r="B72" s="48" t="s">
        <v>108</v>
      </c>
      <c r="C72" s="217" t="s">
        <v>42</v>
      </c>
      <c r="D72" s="218">
        <f>+'2. สุรปเบิกจ่าย แยกงบ (GF)'!X71</f>
        <v>2162614</v>
      </c>
      <c r="E72" s="218">
        <f>+'2. สุรปเบิกจ่าย แยกงบ (GF)'!Y71</f>
        <v>0</v>
      </c>
      <c r="F72" s="218">
        <f>+'2. สุรปเบิกจ่าย แยกงบ (GF)'!Z71</f>
        <v>1428425.6</v>
      </c>
      <c r="G72" s="615">
        <f t="shared" si="0"/>
        <v>734188.39999999991</v>
      </c>
      <c r="H72" s="616">
        <f t="shared" si="1"/>
        <v>66.050881017139446</v>
      </c>
      <c r="I72" s="617">
        <f t="shared" si="2"/>
        <v>66.050881017139446</v>
      </c>
      <c r="J72" s="618">
        <f t="shared" si="3"/>
        <v>1428425.6</v>
      </c>
    </row>
    <row r="73" spans="1:10" ht="26.25" customHeight="1" x14ac:dyDescent="0.5">
      <c r="A73" s="216">
        <v>66</v>
      </c>
      <c r="B73" s="48" t="s">
        <v>108</v>
      </c>
      <c r="C73" s="217" t="s">
        <v>43</v>
      </c>
      <c r="D73" s="218">
        <f>+'2. สุรปเบิกจ่าย แยกงบ (GF)'!X72</f>
        <v>2499606</v>
      </c>
      <c r="E73" s="218">
        <f>+'2. สุรปเบิกจ่าย แยกงบ (GF)'!Y72</f>
        <v>2400</v>
      </c>
      <c r="F73" s="218">
        <f>+'2. สุรปเบิกจ่าย แยกงบ (GF)'!Z72</f>
        <v>1564652.69</v>
      </c>
      <c r="G73" s="615">
        <f t="shared" ref="G73:G103" si="4">+D73-E73-F73</f>
        <v>932553.31</v>
      </c>
      <c r="H73" s="616">
        <f t="shared" ref="H73:H103" si="5">F73*100/D73</f>
        <v>62.595972725301507</v>
      </c>
      <c r="I73" s="617">
        <f t="shared" ref="I73:I104" si="6">+J73*100/D73</f>
        <v>62.691987857286307</v>
      </c>
      <c r="J73" s="618">
        <f t="shared" ref="J73:J104" si="7">+E73+F73</f>
        <v>1567052.69</v>
      </c>
    </row>
    <row r="74" spans="1:10" ht="26.25" customHeight="1" x14ac:dyDescent="0.5">
      <c r="A74" s="216">
        <v>67</v>
      </c>
      <c r="B74" s="48" t="s">
        <v>108</v>
      </c>
      <c r="C74" s="217" t="s">
        <v>44</v>
      </c>
      <c r="D74" s="218">
        <f>+'2. สุรปเบิกจ่าย แยกงบ (GF)'!X73</f>
        <v>6440342</v>
      </c>
      <c r="E74" s="218">
        <f>+'2. สุรปเบิกจ่าย แยกงบ (GF)'!Y73</f>
        <v>822824.22</v>
      </c>
      <c r="F74" s="218">
        <f>+'2. สุรปเบิกจ่าย แยกงบ (GF)'!Z73</f>
        <v>3740621.7199999997</v>
      </c>
      <c r="G74" s="615">
        <f t="shared" si="4"/>
        <v>1876896.0600000005</v>
      </c>
      <c r="H74" s="616">
        <f t="shared" si="5"/>
        <v>58.081103767470736</v>
      </c>
      <c r="I74" s="617">
        <f t="shared" si="6"/>
        <v>70.857198887885133</v>
      </c>
      <c r="J74" s="618">
        <f t="shared" si="7"/>
        <v>4563445.9399999995</v>
      </c>
    </row>
    <row r="75" spans="1:10" ht="26.25" customHeight="1" x14ac:dyDescent="0.5">
      <c r="A75" s="216">
        <v>68</v>
      </c>
      <c r="B75" s="48" t="s">
        <v>108</v>
      </c>
      <c r="C75" s="217" t="s">
        <v>45</v>
      </c>
      <c r="D75" s="218">
        <f>+'2. สุรปเบิกจ่าย แยกงบ (GF)'!X74</f>
        <v>2877271</v>
      </c>
      <c r="E75" s="218">
        <f>+'2. สุรปเบิกจ่าย แยกงบ (GF)'!Y74</f>
        <v>100500</v>
      </c>
      <c r="F75" s="218">
        <f>+'2. สุรปเบิกจ่าย แยกงบ (GF)'!Z74</f>
        <v>1700629.67</v>
      </c>
      <c r="G75" s="615">
        <f t="shared" si="4"/>
        <v>1076141.33</v>
      </c>
      <c r="H75" s="616">
        <f t="shared" si="5"/>
        <v>59.105648025507506</v>
      </c>
      <c r="I75" s="617">
        <f t="shared" si="6"/>
        <v>62.598541117607624</v>
      </c>
      <c r="J75" s="618">
        <f t="shared" si="7"/>
        <v>1801129.67</v>
      </c>
    </row>
    <row r="76" spans="1:10" ht="26.25" customHeight="1" x14ac:dyDescent="0.5">
      <c r="A76" s="216">
        <v>69</v>
      </c>
      <c r="B76" s="48" t="s">
        <v>108</v>
      </c>
      <c r="C76" s="217" t="s">
        <v>63</v>
      </c>
      <c r="D76" s="218">
        <f>+'2. สุรปเบิกจ่าย แยกงบ (GF)'!X75</f>
        <v>3216279.01</v>
      </c>
      <c r="E76" s="218">
        <f>+'2. สุรปเบิกจ่าย แยกงบ (GF)'!Y75</f>
        <v>45000</v>
      </c>
      <c r="F76" s="218">
        <f>+'2. สุรปเบิกจ่าย แยกงบ (GF)'!Z75</f>
        <v>1863051.91</v>
      </c>
      <c r="G76" s="615">
        <f t="shared" si="4"/>
        <v>1308227.0999999999</v>
      </c>
      <c r="H76" s="616">
        <f t="shared" si="5"/>
        <v>57.925693144389243</v>
      </c>
      <c r="I76" s="617">
        <f t="shared" si="6"/>
        <v>59.324825491430239</v>
      </c>
      <c r="J76" s="618">
        <f t="shared" si="7"/>
        <v>1908051.91</v>
      </c>
    </row>
    <row r="77" spans="1:10" ht="26.25" customHeight="1" x14ac:dyDescent="0.5">
      <c r="A77" s="216">
        <v>70</v>
      </c>
      <c r="B77" s="48" t="s">
        <v>108</v>
      </c>
      <c r="C77" s="217" t="s">
        <v>145</v>
      </c>
      <c r="D77" s="218">
        <f>+'2. สุรปเบิกจ่าย แยกงบ (GF)'!X76</f>
        <v>3120583</v>
      </c>
      <c r="E77" s="218">
        <f>+'2. สุรปเบิกจ่าย แยกงบ (GF)'!Y76</f>
        <v>74642.75</v>
      </c>
      <c r="F77" s="218">
        <f>+'2. สุรปเบิกจ่าย แยกงบ (GF)'!Z76</f>
        <v>1908010.77</v>
      </c>
      <c r="G77" s="615">
        <f t="shared" si="4"/>
        <v>1137929.48</v>
      </c>
      <c r="H77" s="616">
        <f t="shared" si="5"/>
        <v>61.14276627155887</v>
      </c>
      <c r="I77" s="617">
        <f t="shared" si="6"/>
        <v>63.534715147778478</v>
      </c>
      <c r="J77" s="618">
        <f t="shared" si="7"/>
        <v>1982653.52</v>
      </c>
    </row>
    <row r="78" spans="1:10" ht="26.25" customHeight="1" x14ac:dyDescent="0.5">
      <c r="A78" s="216">
        <v>71</v>
      </c>
      <c r="B78" s="48" t="s">
        <v>108</v>
      </c>
      <c r="C78" s="217" t="s">
        <v>46</v>
      </c>
      <c r="D78" s="218">
        <f>+'2. สุรปเบิกจ่าย แยกงบ (GF)'!X77</f>
        <v>3866361</v>
      </c>
      <c r="E78" s="218">
        <f>+'2. สุรปเบิกจ่าย แยกงบ (GF)'!Y77</f>
        <v>0</v>
      </c>
      <c r="F78" s="218">
        <f>+'2. สุรปเบิกจ่าย แยกงบ (GF)'!Z77</f>
        <v>2332230.36</v>
      </c>
      <c r="G78" s="615">
        <f t="shared" si="4"/>
        <v>1534130.6400000001</v>
      </c>
      <c r="H78" s="616">
        <f t="shared" si="5"/>
        <v>60.32107089844947</v>
      </c>
      <c r="I78" s="617">
        <f t="shared" si="6"/>
        <v>60.32107089844947</v>
      </c>
      <c r="J78" s="618">
        <f t="shared" si="7"/>
        <v>2332230.36</v>
      </c>
    </row>
    <row r="79" spans="1:10" ht="26.25" customHeight="1" x14ac:dyDescent="0.5">
      <c r="A79" s="216">
        <v>72</v>
      </c>
      <c r="B79" s="48" t="s">
        <v>108</v>
      </c>
      <c r="C79" s="217" t="s">
        <v>146</v>
      </c>
      <c r="D79" s="218">
        <f>+'2. สุรปเบิกจ่าย แยกงบ (GF)'!X78</f>
        <v>3034819</v>
      </c>
      <c r="E79" s="218">
        <f>+'2. สุรปเบิกจ่าย แยกงบ (GF)'!Y78</f>
        <v>302100</v>
      </c>
      <c r="F79" s="218">
        <f>+'2. สุรปเบิกจ่าย แยกงบ (GF)'!Z78</f>
        <v>1853338.77</v>
      </c>
      <c r="G79" s="615">
        <f t="shared" si="4"/>
        <v>879380.23</v>
      </c>
      <c r="H79" s="616">
        <f t="shared" si="5"/>
        <v>61.069169858235369</v>
      </c>
      <c r="I79" s="617">
        <f t="shared" si="6"/>
        <v>71.023635017442558</v>
      </c>
      <c r="J79" s="618">
        <f t="shared" si="7"/>
        <v>2155438.77</v>
      </c>
    </row>
    <row r="80" spans="1:10" ht="26.25" customHeight="1" x14ac:dyDescent="0.5">
      <c r="A80" s="216">
        <v>73</v>
      </c>
      <c r="B80" s="48" t="s">
        <v>108</v>
      </c>
      <c r="C80" s="217" t="s">
        <v>147</v>
      </c>
      <c r="D80" s="218">
        <f>+'2. สุรปเบิกจ่าย แยกงบ (GF)'!X79</f>
        <v>2041342</v>
      </c>
      <c r="E80" s="218">
        <f>+'2. สุรปเบิกจ่าย แยกงบ (GF)'!Y79</f>
        <v>0</v>
      </c>
      <c r="F80" s="218">
        <f>+'2. สุรปเบิกจ่าย แยกงบ (GF)'!Z79</f>
        <v>1154304.6599999999</v>
      </c>
      <c r="G80" s="615">
        <f t="shared" si="4"/>
        <v>887037.34000000008</v>
      </c>
      <c r="H80" s="616">
        <f t="shared" si="5"/>
        <v>56.54636312778554</v>
      </c>
      <c r="I80" s="617">
        <f t="shared" si="6"/>
        <v>56.54636312778554</v>
      </c>
      <c r="J80" s="618">
        <f t="shared" si="7"/>
        <v>1154304.6599999999</v>
      </c>
    </row>
    <row r="81" spans="1:10" ht="26.25" customHeight="1" x14ac:dyDescent="0.5">
      <c r="A81" s="216">
        <v>74</v>
      </c>
      <c r="B81" s="48" t="s">
        <v>108</v>
      </c>
      <c r="C81" s="217" t="s">
        <v>47</v>
      </c>
      <c r="D81" s="218">
        <f>+'2. สุรปเบิกจ่าย แยกงบ (GF)'!X80</f>
        <v>2193390</v>
      </c>
      <c r="E81" s="218">
        <f>+'2. สุรปเบิกจ่าย แยกงบ (GF)'!Y80</f>
        <v>6600</v>
      </c>
      <c r="F81" s="218">
        <f>+'2. สุรปเบิกจ่าย แยกงบ (GF)'!Z80</f>
        <v>1434047.57</v>
      </c>
      <c r="G81" s="615">
        <f t="shared" si="4"/>
        <v>752742.42999999993</v>
      </c>
      <c r="H81" s="616">
        <f t="shared" si="5"/>
        <v>65.380418894952555</v>
      </c>
      <c r="I81" s="617">
        <f t="shared" si="6"/>
        <v>65.68132297493834</v>
      </c>
      <c r="J81" s="618">
        <f t="shared" si="7"/>
        <v>1440647.57</v>
      </c>
    </row>
    <row r="82" spans="1:10" ht="26.25" customHeight="1" x14ac:dyDescent="0.5">
      <c r="A82" s="216">
        <v>75</v>
      </c>
      <c r="B82" s="48" t="s">
        <v>108</v>
      </c>
      <c r="C82" s="217" t="s">
        <v>148</v>
      </c>
      <c r="D82" s="218">
        <f>+'2. สุรปเบิกจ่าย แยกงบ (GF)'!X81</f>
        <v>1961057</v>
      </c>
      <c r="E82" s="218">
        <f>+'2. สุรปเบิกจ่าย แยกงบ (GF)'!Y81</f>
        <v>9000</v>
      </c>
      <c r="F82" s="218">
        <f>+'2. สุรปเบิกจ่าย แยกงบ (GF)'!Z81</f>
        <v>1215153.24</v>
      </c>
      <c r="G82" s="615">
        <f t="shared" si="4"/>
        <v>736903.76</v>
      </c>
      <c r="H82" s="616">
        <f t="shared" si="5"/>
        <v>61.96419787900097</v>
      </c>
      <c r="I82" s="617">
        <f t="shared" si="6"/>
        <v>62.42313405474701</v>
      </c>
      <c r="J82" s="618">
        <f t="shared" si="7"/>
        <v>1224153.24</v>
      </c>
    </row>
    <row r="83" spans="1:10" ht="26.25" customHeight="1" x14ac:dyDescent="0.5">
      <c r="A83" s="216">
        <v>76</v>
      </c>
      <c r="B83" s="48" t="s">
        <v>108</v>
      </c>
      <c r="C83" s="217" t="s">
        <v>48</v>
      </c>
      <c r="D83" s="218">
        <f>+'2. สุรปเบิกจ่าย แยกงบ (GF)'!X82</f>
        <v>1636540.2</v>
      </c>
      <c r="E83" s="218">
        <f>+'2. สุรปเบิกจ่าย แยกงบ (GF)'!Y82</f>
        <v>0</v>
      </c>
      <c r="F83" s="218">
        <f>+'2. สุรปเบิกจ่าย แยกงบ (GF)'!Z82</f>
        <v>1035864.81</v>
      </c>
      <c r="G83" s="615">
        <f t="shared" si="4"/>
        <v>600675.3899999999</v>
      </c>
      <c r="H83" s="616">
        <f t="shared" si="5"/>
        <v>63.296019859457168</v>
      </c>
      <c r="I83" s="617">
        <f t="shared" si="6"/>
        <v>63.296019859457168</v>
      </c>
      <c r="J83" s="618">
        <f t="shared" si="7"/>
        <v>1035864.81</v>
      </c>
    </row>
    <row r="84" spans="1:10" ht="26.25" customHeight="1" x14ac:dyDescent="0.5">
      <c r="A84" s="216">
        <v>77</v>
      </c>
      <c r="B84" s="48" t="s">
        <v>108</v>
      </c>
      <c r="C84" s="217" t="s">
        <v>149</v>
      </c>
      <c r="D84" s="218">
        <f>+'2. สุรปเบิกจ่าย แยกงบ (GF)'!X83</f>
        <v>2619295</v>
      </c>
      <c r="E84" s="218">
        <f>+'2. สุรปเบิกจ่าย แยกงบ (GF)'!Y83</f>
        <v>0</v>
      </c>
      <c r="F84" s="218">
        <f>+'2. สุรปเบิกจ่าย แยกงบ (GF)'!Z83</f>
        <v>1542787.17</v>
      </c>
      <c r="G84" s="615">
        <f t="shared" si="4"/>
        <v>1076507.83</v>
      </c>
      <c r="H84" s="616">
        <f t="shared" si="5"/>
        <v>58.900855764623685</v>
      </c>
      <c r="I84" s="617">
        <f t="shared" si="6"/>
        <v>58.900855764623685</v>
      </c>
      <c r="J84" s="618">
        <f t="shared" si="7"/>
        <v>1542787.17</v>
      </c>
    </row>
    <row r="85" spans="1:10" ht="26.25" customHeight="1" x14ac:dyDescent="0.5">
      <c r="A85" s="216">
        <v>78</v>
      </c>
      <c r="B85" s="48" t="s">
        <v>108</v>
      </c>
      <c r="C85" s="217" t="s">
        <v>49</v>
      </c>
      <c r="D85" s="218">
        <f>+'2. สุรปเบิกจ่าย แยกงบ (GF)'!X84</f>
        <v>2572613</v>
      </c>
      <c r="E85" s="218">
        <f>+'2. สุรปเบิกจ่าย แยกงบ (GF)'!Y84</f>
        <v>0</v>
      </c>
      <c r="F85" s="218">
        <f>+'2. สุรปเบิกจ่าย แยกงบ (GF)'!Z84</f>
        <v>1485006.53</v>
      </c>
      <c r="G85" s="615">
        <f t="shared" si="4"/>
        <v>1087606.47</v>
      </c>
      <c r="H85" s="616">
        <f t="shared" si="5"/>
        <v>57.723665782610908</v>
      </c>
      <c r="I85" s="617">
        <f t="shared" si="6"/>
        <v>57.723665782610908</v>
      </c>
      <c r="J85" s="618">
        <f t="shared" si="7"/>
        <v>1485006.53</v>
      </c>
    </row>
    <row r="86" spans="1:10" ht="26.25" customHeight="1" x14ac:dyDescent="0.5">
      <c r="A86" s="216">
        <v>79</v>
      </c>
      <c r="B86" s="48" t="s">
        <v>108</v>
      </c>
      <c r="C86" s="217" t="s">
        <v>50</v>
      </c>
      <c r="D86" s="218">
        <f>+'2. สุรปเบิกจ่าย แยกงบ (GF)'!X85</f>
        <v>2349093</v>
      </c>
      <c r="E86" s="218">
        <f>+'2. สุรปเบิกจ่าย แยกงบ (GF)'!Y85</f>
        <v>0</v>
      </c>
      <c r="F86" s="218">
        <f>+'2. สุรปเบิกจ่าย แยกงบ (GF)'!Z85</f>
        <v>1377569.51</v>
      </c>
      <c r="G86" s="615">
        <f t="shared" si="4"/>
        <v>971523.49</v>
      </c>
      <c r="H86" s="616">
        <f t="shared" si="5"/>
        <v>58.642612702008819</v>
      </c>
      <c r="I86" s="617">
        <f t="shared" si="6"/>
        <v>58.642612702008819</v>
      </c>
      <c r="J86" s="618">
        <f t="shared" si="7"/>
        <v>1377569.51</v>
      </c>
    </row>
    <row r="87" spans="1:10" ht="26.25" customHeight="1" x14ac:dyDescent="0.5">
      <c r="A87" s="216">
        <v>80</v>
      </c>
      <c r="B87" s="48" t="s">
        <v>108</v>
      </c>
      <c r="C87" s="217" t="s">
        <v>150</v>
      </c>
      <c r="D87" s="218">
        <f>+'2. สุรปเบิกจ่าย แยกงบ (GF)'!X86</f>
        <v>1718804</v>
      </c>
      <c r="E87" s="218">
        <f>+'2. สุรปเบิกจ่าย แยกงบ (GF)'!Y86</f>
        <v>0</v>
      </c>
      <c r="F87" s="218">
        <f>+'2. สุรปเบิกจ่าย แยกงบ (GF)'!Z86</f>
        <v>1084443.18</v>
      </c>
      <c r="G87" s="615">
        <f t="shared" si="4"/>
        <v>634360.82000000007</v>
      </c>
      <c r="H87" s="616">
        <f t="shared" si="5"/>
        <v>63.092893663268178</v>
      </c>
      <c r="I87" s="617">
        <f t="shared" si="6"/>
        <v>63.092893663268178</v>
      </c>
      <c r="J87" s="618">
        <f t="shared" si="7"/>
        <v>1084443.18</v>
      </c>
    </row>
    <row r="88" spans="1:10" ht="26.25" customHeight="1" x14ac:dyDescent="0.5">
      <c r="A88" s="216">
        <v>81</v>
      </c>
      <c r="B88" s="48" t="s">
        <v>108</v>
      </c>
      <c r="C88" s="217" t="s">
        <v>51</v>
      </c>
      <c r="D88" s="218">
        <f>+'2. สุรปเบิกจ่าย แยกงบ (GF)'!X87</f>
        <v>2480428</v>
      </c>
      <c r="E88" s="218">
        <f>+'2. สุรปเบิกจ่าย แยกงบ (GF)'!Y87</f>
        <v>0</v>
      </c>
      <c r="F88" s="218">
        <f>+'2. สุรปเบิกจ่าย แยกงบ (GF)'!Z87</f>
        <v>1616246.72</v>
      </c>
      <c r="G88" s="615">
        <f t="shared" si="4"/>
        <v>864181.28</v>
      </c>
      <c r="H88" s="616">
        <f t="shared" si="5"/>
        <v>65.159993355985335</v>
      </c>
      <c r="I88" s="617">
        <f t="shared" si="6"/>
        <v>65.159993355985335</v>
      </c>
      <c r="J88" s="618">
        <f t="shared" si="7"/>
        <v>1616246.72</v>
      </c>
    </row>
    <row r="89" spans="1:10" ht="26.25" customHeight="1" x14ac:dyDescent="0.5">
      <c r="A89" s="216">
        <v>82</v>
      </c>
      <c r="B89" s="48" t="s">
        <v>108</v>
      </c>
      <c r="C89" s="217" t="s">
        <v>151</v>
      </c>
      <c r="D89" s="218">
        <f>+'2. สุรปเบิกจ่าย แยกงบ (GF)'!X88</f>
        <v>2189872</v>
      </c>
      <c r="E89" s="218">
        <f>+'2. สุรปเบิกจ่าย แยกงบ (GF)'!Y88</f>
        <v>0</v>
      </c>
      <c r="F89" s="218">
        <f>+'2. สุรปเบิกจ่าย แยกงบ (GF)'!Z88</f>
        <v>1200249.96</v>
      </c>
      <c r="G89" s="615">
        <f t="shared" si="4"/>
        <v>989622.04</v>
      </c>
      <c r="H89" s="616">
        <f t="shared" si="5"/>
        <v>54.809137703025563</v>
      </c>
      <c r="I89" s="617">
        <f t="shared" si="6"/>
        <v>54.809137703025563</v>
      </c>
      <c r="J89" s="618">
        <f t="shared" si="7"/>
        <v>1200249.96</v>
      </c>
    </row>
    <row r="90" spans="1:10" ht="26.25" customHeight="1" x14ac:dyDescent="0.5">
      <c r="A90" s="216">
        <v>83</v>
      </c>
      <c r="B90" s="48" t="s">
        <v>108</v>
      </c>
      <c r="C90" s="217" t="s">
        <v>152</v>
      </c>
      <c r="D90" s="218">
        <f>+'2. สุรปเบิกจ่าย แยกงบ (GF)'!X89</f>
        <v>2048181.74</v>
      </c>
      <c r="E90" s="218">
        <f>+'2. สุรปเบิกจ่าย แยกงบ (GF)'!Y89</f>
        <v>127500</v>
      </c>
      <c r="F90" s="218">
        <f>+'2. สุรปเบิกจ่าย แยกงบ (GF)'!Z89</f>
        <v>1159166.74</v>
      </c>
      <c r="G90" s="615">
        <f t="shared" si="4"/>
        <v>761515</v>
      </c>
      <c r="H90" s="616">
        <f t="shared" si="5"/>
        <v>56.594916230431778</v>
      </c>
      <c r="I90" s="617">
        <f t="shared" si="6"/>
        <v>62.819949756997637</v>
      </c>
      <c r="J90" s="618">
        <f t="shared" si="7"/>
        <v>1286666.74</v>
      </c>
    </row>
    <row r="91" spans="1:10" ht="26.25" customHeight="1" x14ac:dyDescent="0.5">
      <c r="A91" s="216">
        <v>84</v>
      </c>
      <c r="B91" s="48" t="s">
        <v>108</v>
      </c>
      <c r="C91" s="217" t="s">
        <v>153</v>
      </c>
      <c r="D91" s="218">
        <f>+'2. สุรปเบิกจ่าย แยกงบ (GF)'!X90</f>
        <v>2571175</v>
      </c>
      <c r="E91" s="218">
        <f>+'2. สุรปเบิกจ่าย แยกงบ (GF)'!Y90</f>
        <v>0</v>
      </c>
      <c r="F91" s="218">
        <f>+'2. สุรปเบิกจ่าย แยกงบ (GF)'!Z90</f>
        <v>1623702.53</v>
      </c>
      <c r="G91" s="615">
        <f t="shared" si="4"/>
        <v>947472.47</v>
      </c>
      <c r="H91" s="616">
        <f t="shared" si="5"/>
        <v>63.150214590605465</v>
      </c>
      <c r="I91" s="617">
        <f t="shared" si="6"/>
        <v>63.150214590605465</v>
      </c>
      <c r="J91" s="618">
        <f t="shared" si="7"/>
        <v>1623702.53</v>
      </c>
    </row>
    <row r="92" spans="1:10" ht="26.25" customHeight="1" x14ac:dyDescent="0.5">
      <c r="A92" s="216">
        <v>85</v>
      </c>
      <c r="B92" s="48" t="s">
        <v>108</v>
      </c>
      <c r="C92" s="217" t="s">
        <v>52</v>
      </c>
      <c r="D92" s="218">
        <f>+'2. สุรปเบิกจ่าย แยกงบ (GF)'!X91</f>
        <v>2656505</v>
      </c>
      <c r="E92" s="218">
        <f>+'2. สุรปเบิกจ่าย แยกงบ (GF)'!Y91</f>
        <v>0</v>
      </c>
      <c r="F92" s="218">
        <f>+'2. สุรปเบิกจ่าย แยกงบ (GF)'!Z91</f>
        <v>1780535.76</v>
      </c>
      <c r="G92" s="615">
        <f t="shared" si="4"/>
        <v>875969.24</v>
      </c>
      <c r="H92" s="616">
        <f t="shared" si="5"/>
        <v>67.025500046113223</v>
      </c>
      <c r="I92" s="617">
        <f t="shared" si="6"/>
        <v>67.025500046113223</v>
      </c>
      <c r="J92" s="618">
        <f t="shared" si="7"/>
        <v>1780535.76</v>
      </c>
    </row>
    <row r="93" spans="1:10" ht="26.25" customHeight="1" x14ac:dyDescent="0.5">
      <c r="A93" s="216">
        <v>86</v>
      </c>
      <c r="B93" s="48" t="s">
        <v>108</v>
      </c>
      <c r="C93" s="217" t="s">
        <v>53</v>
      </c>
      <c r="D93" s="218">
        <f>+'2. สุรปเบิกจ่าย แยกงบ (GF)'!X92</f>
        <v>2978991</v>
      </c>
      <c r="E93" s="218">
        <f>+'2. สุรปเบิกจ่าย แยกงบ (GF)'!Y92</f>
        <v>0</v>
      </c>
      <c r="F93" s="218">
        <f>+'2. สุรปเบิกจ่าย แยกงบ (GF)'!Z92</f>
        <v>1841016.08</v>
      </c>
      <c r="G93" s="615">
        <f t="shared" si="4"/>
        <v>1137974.92</v>
      </c>
      <c r="H93" s="616">
        <f t="shared" si="5"/>
        <v>61.799987982508171</v>
      </c>
      <c r="I93" s="617">
        <f t="shared" si="6"/>
        <v>61.799987982508171</v>
      </c>
      <c r="J93" s="618">
        <f t="shared" si="7"/>
        <v>1841016.08</v>
      </c>
    </row>
    <row r="94" spans="1:10" ht="26.25" customHeight="1" x14ac:dyDescent="0.5">
      <c r="A94" s="216">
        <v>87</v>
      </c>
      <c r="B94" s="48" t="s">
        <v>108</v>
      </c>
      <c r="C94" s="217" t="s">
        <v>154</v>
      </c>
      <c r="D94" s="218">
        <f>+'2. สุรปเบิกจ่าย แยกงบ (GF)'!X93</f>
        <v>3851422</v>
      </c>
      <c r="E94" s="218">
        <f>+'2. สุรปเบิกจ่าย แยกงบ (GF)'!Y93</f>
        <v>334686.59999999998</v>
      </c>
      <c r="F94" s="218">
        <f>+'2. สุรปเบิกจ่าย แยกงบ (GF)'!Z93</f>
        <v>2299641.35</v>
      </c>
      <c r="G94" s="615">
        <f t="shared" si="4"/>
        <v>1217094.0499999998</v>
      </c>
      <c r="H94" s="616">
        <f t="shared" si="5"/>
        <v>59.708890638314884</v>
      </c>
      <c r="I94" s="617">
        <f t="shared" si="6"/>
        <v>68.398839441640007</v>
      </c>
      <c r="J94" s="618">
        <f t="shared" si="7"/>
        <v>2634327.9500000002</v>
      </c>
    </row>
    <row r="95" spans="1:10" ht="26.25" customHeight="1" x14ac:dyDescent="0.5">
      <c r="A95" s="216">
        <v>88</v>
      </c>
      <c r="B95" s="48" t="s">
        <v>108</v>
      </c>
      <c r="C95" s="217" t="s">
        <v>155</v>
      </c>
      <c r="D95" s="218">
        <f>+'2. สุรปเบิกจ่าย แยกงบ (GF)'!X94</f>
        <v>2792272</v>
      </c>
      <c r="E95" s="218">
        <f>+'2. สุรปเบิกจ่าย แยกงบ (GF)'!Y94</f>
        <v>141420</v>
      </c>
      <c r="F95" s="218">
        <f>+'2. สุรปเบิกจ่าย แยกงบ (GF)'!Z94</f>
        <v>1599215.66</v>
      </c>
      <c r="G95" s="615">
        <f t="shared" si="4"/>
        <v>1051636.3400000001</v>
      </c>
      <c r="H95" s="616">
        <f t="shared" si="5"/>
        <v>57.272918254382091</v>
      </c>
      <c r="I95" s="617">
        <f t="shared" si="6"/>
        <v>62.337611092329112</v>
      </c>
      <c r="J95" s="618">
        <f t="shared" si="7"/>
        <v>1740635.66</v>
      </c>
    </row>
    <row r="96" spans="1:10" ht="26.25" customHeight="1" x14ac:dyDescent="0.5">
      <c r="A96" s="216">
        <v>89</v>
      </c>
      <c r="B96" s="48" t="s">
        <v>108</v>
      </c>
      <c r="C96" s="217" t="s">
        <v>156</v>
      </c>
      <c r="D96" s="218">
        <f>+'2. สุรปเบิกจ่าย แยกงบ (GF)'!X95</f>
        <v>6335018</v>
      </c>
      <c r="E96" s="218">
        <f>+'2. สุรปเบิกจ่าย แยกงบ (GF)'!Y95</f>
        <v>98008.75</v>
      </c>
      <c r="F96" s="218">
        <f>+'2. สุรปเบิกจ่าย แยกงบ (GF)'!Z95</f>
        <v>3624470.0300000003</v>
      </c>
      <c r="G96" s="615">
        <f t="shared" si="4"/>
        <v>2612539.2199999997</v>
      </c>
      <c r="H96" s="616">
        <f t="shared" si="5"/>
        <v>57.21325543194984</v>
      </c>
      <c r="I96" s="617">
        <f t="shared" si="6"/>
        <v>58.760350483613465</v>
      </c>
      <c r="J96" s="618">
        <f t="shared" si="7"/>
        <v>3722478.7800000003</v>
      </c>
    </row>
    <row r="97" spans="1:10" ht="26.25" customHeight="1" x14ac:dyDescent="0.5">
      <c r="A97" s="216">
        <v>90</v>
      </c>
      <c r="B97" s="48" t="s">
        <v>108</v>
      </c>
      <c r="C97" s="217" t="s">
        <v>54</v>
      </c>
      <c r="D97" s="218">
        <f>+'2. สุรปเบิกจ่าย แยกงบ (GF)'!X96</f>
        <v>3347059</v>
      </c>
      <c r="E97" s="218">
        <f>+'2. สุรปเบิกจ่าย แยกงบ (GF)'!Y96</f>
        <v>0</v>
      </c>
      <c r="F97" s="218">
        <f>+'2. สุรปเบิกจ่าย แยกงบ (GF)'!Z96</f>
        <v>2087832.6400000001</v>
      </c>
      <c r="G97" s="615">
        <f t="shared" si="4"/>
        <v>1259226.3599999999</v>
      </c>
      <c r="H97" s="616">
        <f t="shared" si="5"/>
        <v>62.378124795529452</v>
      </c>
      <c r="I97" s="617">
        <f t="shared" si="6"/>
        <v>62.378124795529452</v>
      </c>
      <c r="J97" s="618">
        <f t="shared" si="7"/>
        <v>2087832.6400000001</v>
      </c>
    </row>
    <row r="98" spans="1:10" ht="26.25" customHeight="1" x14ac:dyDescent="0.5">
      <c r="A98" s="216">
        <v>91</v>
      </c>
      <c r="B98" s="48" t="s">
        <v>108</v>
      </c>
      <c r="C98" s="217" t="s">
        <v>55</v>
      </c>
      <c r="D98" s="218">
        <f>+'2. สุรปเบิกจ่าย แยกงบ (GF)'!X97</f>
        <v>3382900</v>
      </c>
      <c r="E98" s="218">
        <f>+'2. สุรปเบิกจ่าย แยกงบ (GF)'!Y97</f>
        <v>243720</v>
      </c>
      <c r="F98" s="218">
        <f>+'2. สุรปเบิกจ่าย แยกงบ (GF)'!Z97</f>
        <v>1978879.62</v>
      </c>
      <c r="G98" s="615">
        <f t="shared" si="4"/>
        <v>1160300.3799999999</v>
      </c>
      <c r="H98" s="616">
        <f t="shared" si="5"/>
        <v>58.49654497620385</v>
      </c>
      <c r="I98" s="617">
        <f t="shared" si="6"/>
        <v>65.701014514174233</v>
      </c>
      <c r="J98" s="618">
        <f t="shared" si="7"/>
        <v>2222599.62</v>
      </c>
    </row>
    <row r="99" spans="1:10" ht="26.25" customHeight="1" x14ac:dyDescent="0.5">
      <c r="A99" s="216">
        <v>92</v>
      </c>
      <c r="B99" s="48" t="s">
        <v>110</v>
      </c>
      <c r="C99" s="217" t="s">
        <v>20</v>
      </c>
      <c r="D99" s="218">
        <f>+'2. สุรปเบิกจ่าย แยกงบ (GF)'!X98</f>
        <v>7308408</v>
      </c>
      <c r="E99" s="218">
        <f>+'2. สุรปเบิกจ่าย แยกงบ (GF)'!Y98</f>
        <v>382140.5</v>
      </c>
      <c r="F99" s="218">
        <f>+'2. สุรปเบิกจ่าย แยกงบ (GF)'!Z98</f>
        <v>4324570.8100000005</v>
      </c>
      <c r="G99" s="615">
        <f t="shared" si="4"/>
        <v>2601696.6899999995</v>
      </c>
      <c r="H99" s="616">
        <f t="shared" si="5"/>
        <v>59.172542228074853</v>
      </c>
      <c r="I99" s="617">
        <f t="shared" si="6"/>
        <v>64.401321190606765</v>
      </c>
      <c r="J99" s="618">
        <f t="shared" si="7"/>
        <v>4706711.3100000005</v>
      </c>
    </row>
    <row r="100" spans="1:10" ht="26.25" customHeight="1" x14ac:dyDescent="0.5">
      <c r="A100" s="216">
        <v>93</v>
      </c>
      <c r="B100" s="48" t="s">
        <v>110</v>
      </c>
      <c r="C100" s="217" t="s">
        <v>157</v>
      </c>
      <c r="D100" s="218">
        <f>+'2. สุรปเบิกจ่าย แยกงบ (GF)'!X99</f>
        <v>9941547</v>
      </c>
      <c r="E100" s="218">
        <f>+'2. สุรปเบิกจ่าย แยกงบ (GF)'!Y99</f>
        <v>0</v>
      </c>
      <c r="F100" s="218">
        <f>+'2. สุรปเบิกจ่าย แยกงบ (GF)'!Z99</f>
        <v>4809529.32</v>
      </c>
      <c r="G100" s="615">
        <f t="shared" si="4"/>
        <v>5132017.68</v>
      </c>
      <c r="H100" s="616">
        <f t="shared" si="5"/>
        <v>48.378077576860022</v>
      </c>
      <c r="I100" s="617">
        <f t="shared" si="6"/>
        <v>48.378077576860022</v>
      </c>
      <c r="J100" s="618">
        <f t="shared" si="7"/>
        <v>4809529.32</v>
      </c>
    </row>
    <row r="101" spans="1:10" ht="26.25" customHeight="1" x14ac:dyDescent="0.5">
      <c r="A101" s="216">
        <v>94</v>
      </c>
      <c r="B101" s="48" t="s">
        <v>108</v>
      </c>
      <c r="C101" s="217" t="s">
        <v>86</v>
      </c>
      <c r="D101" s="218">
        <f>+'2. สุรปเบิกจ่าย แยกงบ (GF)'!X100</f>
        <v>2519942</v>
      </c>
      <c r="E101" s="218">
        <f>+'2. สุรปเบิกจ่าย แยกงบ (GF)'!Y100</f>
        <v>0</v>
      </c>
      <c r="F101" s="218">
        <f>+'2. สุรปเบิกจ่าย แยกงบ (GF)'!Z100</f>
        <v>1764163.4300000002</v>
      </c>
      <c r="G101" s="615">
        <f t="shared" si="4"/>
        <v>755778.56999999983</v>
      </c>
      <c r="H101" s="616">
        <f t="shared" si="5"/>
        <v>70.008096614922096</v>
      </c>
      <c r="I101" s="617">
        <f t="shared" si="6"/>
        <v>70.008096614922096</v>
      </c>
      <c r="J101" s="618">
        <f t="shared" si="7"/>
        <v>1764163.4300000002</v>
      </c>
    </row>
    <row r="102" spans="1:10" ht="26.25" customHeight="1" x14ac:dyDescent="0.5">
      <c r="A102" s="216">
        <v>95</v>
      </c>
      <c r="B102" s="48" t="s">
        <v>110</v>
      </c>
      <c r="C102" s="217" t="s">
        <v>43</v>
      </c>
      <c r="D102" s="218">
        <f>+'2. สุรปเบิกจ่าย แยกงบ (GF)'!X101</f>
        <v>8954925</v>
      </c>
      <c r="E102" s="218">
        <f>+'2. สุรปเบิกจ่าย แยกงบ (GF)'!Y101</f>
        <v>0</v>
      </c>
      <c r="F102" s="218">
        <f>+'2. สุรปเบิกจ่าย แยกงบ (GF)'!Z101</f>
        <v>5332359.87</v>
      </c>
      <c r="G102" s="615">
        <f t="shared" si="4"/>
        <v>3622565.13</v>
      </c>
      <c r="H102" s="616">
        <f t="shared" si="5"/>
        <v>59.546672585197534</v>
      </c>
      <c r="I102" s="617">
        <f t="shared" si="6"/>
        <v>59.546672585197534</v>
      </c>
      <c r="J102" s="618">
        <f t="shared" si="7"/>
        <v>5332359.87</v>
      </c>
    </row>
    <row r="103" spans="1:10" ht="26.25" customHeight="1" thickBot="1" x14ac:dyDescent="0.55000000000000004">
      <c r="A103" s="516">
        <v>96</v>
      </c>
      <c r="B103" s="517" t="s">
        <v>110</v>
      </c>
      <c r="C103" s="619" t="s">
        <v>213</v>
      </c>
      <c r="D103" s="620">
        <f>+'2. สุรปเบิกจ่าย แยกงบ (GF)'!X102</f>
        <v>6729591</v>
      </c>
      <c r="E103" s="620">
        <f>+'2. สุรปเบิกจ่าย แยกงบ (GF)'!Y102</f>
        <v>874318.09</v>
      </c>
      <c r="F103" s="620">
        <f>+'2. สุรปเบิกจ่าย แยกงบ (GF)'!Z102</f>
        <v>4084085.5999999996</v>
      </c>
      <c r="G103" s="621">
        <f t="shared" si="4"/>
        <v>1771187.3100000005</v>
      </c>
      <c r="H103" s="622">
        <f t="shared" si="5"/>
        <v>60.688466802811632</v>
      </c>
      <c r="I103" s="623">
        <f t="shared" si="6"/>
        <v>73.680609861728584</v>
      </c>
      <c r="J103" s="618">
        <f t="shared" si="7"/>
        <v>4958403.6899999995</v>
      </c>
    </row>
    <row r="104" spans="1:10" s="628" customFormat="1" ht="29.25" customHeight="1" thickTop="1" thickBot="1" x14ac:dyDescent="0.55000000000000004">
      <c r="A104" s="1258" t="s">
        <v>159</v>
      </c>
      <c r="B104" s="1259"/>
      <c r="C104" s="1260"/>
      <c r="D104" s="624">
        <f>SUM(D8:D103)</f>
        <v>993916800</v>
      </c>
      <c r="E104" s="624">
        <f>SUM(E8:E103)</f>
        <v>69917322.840000018</v>
      </c>
      <c r="F104" s="624">
        <f>SUM(F8:F103)</f>
        <v>583381977.63000011</v>
      </c>
      <c r="G104" s="625">
        <f>SUM(G8:G103)</f>
        <v>340617499.53000015</v>
      </c>
      <c r="H104" s="626">
        <f>F104*100/D104</f>
        <v>58.695252724372921</v>
      </c>
      <c r="I104" s="627">
        <f t="shared" si="6"/>
        <v>65.729777429056455</v>
      </c>
      <c r="J104" s="618">
        <f t="shared" si="7"/>
        <v>653299300.47000015</v>
      </c>
    </row>
    <row r="105" spans="1:10" ht="26.25" customHeight="1" thickTop="1" x14ac:dyDescent="0.65">
      <c r="A105" s="225" t="s">
        <v>160</v>
      </c>
      <c r="B105" s="225"/>
      <c r="C105" s="225" t="s">
        <v>690</v>
      </c>
      <c r="D105" s="520"/>
      <c r="E105" s="520"/>
    </row>
  </sheetData>
  <mergeCells count="8">
    <mergeCell ref="A1:I1"/>
    <mergeCell ref="A2:I2"/>
    <mergeCell ref="A4:I4"/>
    <mergeCell ref="A5:I5"/>
    <mergeCell ref="A104:C104"/>
    <mergeCell ref="A3:H3"/>
    <mergeCell ref="A6:A7"/>
    <mergeCell ref="B6:C7"/>
  </mergeCells>
  <pageMargins left="0.47244094488188981" right="0.35433070866141736" top="0.74803149606299213" bottom="0.74803149606299213" header="0.31496062992125984" footer="0.31496062992125984"/>
  <pageSetup paperSize="9" scale="80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104"/>
  <sheetViews>
    <sheetView zoomScale="90" zoomScaleNormal="90" workbookViewId="0">
      <selection activeCell="A3" sqref="A3:AB3"/>
    </sheetView>
  </sheetViews>
  <sheetFormatPr defaultRowHeight="23.25" x14ac:dyDescent="0.5"/>
  <cols>
    <col min="1" max="1" width="6.140625" style="32" customWidth="1"/>
    <col min="2" max="2" width="4.140625" style="32" customWidth="1"/>
    <col min="3" max="3" width="17" style="32" customWidth="1"/>
    <col min="4" max="4" width="17.140625" style="12" customWidth="1"/>
    <col min="5" max="5" width="16.140625" style="12" customWidth="1"/>
    <col min="6" max="6" width="17.140625" style="13" customWidth="1"/>
    <col min="7" max="7" width="16.7109375" style="12" customWidth="1"/>
    <col min="8" max="8" width="15" style="11" customWidth="1"/>
    <col min="9" max="9" width="16.85546875" style="12" customWidth="1"/>
    <col min="10" max="10" width="16.140625" style="12" customWidth="1"/>
    <col min="11" max="11" width="16.140625" style="13" customWidth="1"/>
    <col min="12" max="12" width="18.85546875" style="12" customWidth="1"/>
    <col min="13" max="13" width="16.140625" style="11" customWidth="1"/>
    <col min="14" max="14" width="17" style="12" customWidth="1"/>
    <col min="15" max="15" width="17.5703125" style="12" customWidth="1"/>
    <col min="16" max="16" width="16.140625" style="13" customWidth="1"/>
    <col min="17" max="17" width="16.85546875" style="12" customWidth="1"/>
    <col min="18" max="18" width="16.140625" style="11" customWidth="1"/>
    <col min="19" max="20" width="16.140625" style="12" customWidth="1"/>
    <col min="21" max="21" width="16.140625" style="13" customWidth="1"/>
    <col min="22" max="22" width="16.140625" style="12" customWidth="1"/>
    <col min="23" max="23" width="16.140625" style="11" customWidth="1"/>
    <col min="24" max="25" width="18.42578125" style="12" customWidth="1"/>
    <col min="26" max="26" width="17.140625" style="13" customWidth="1"/>
    <col min="27" max="27" width="16.85546875" style="12" customWidth="1"/>
    <col min="28" max="28" width="16.140625" style="11" customWidth="1"/>
    <col min="29" max="29" width="28" style="11" hidden="1" customWidth="1"/>
    <col min="30" max="16384" width="9.140625" style="11"/>
  </cols>
  <sheetData>
    <row r="1" spans="1:29" s="1" customFormat="1" ht="38.25" x14ac:dyDescent="0.8">
      <c r="A1" s="1268" t="s">
        <v>57</v>
      </c>
      <c r="B1" s="1268"/>
      <c r="C1" s="1268"/>
      <c r="D1" s="1268"/>
      <c r="E1" s="1268"/>
      <c r="F1" s="1268"/>
      <c r="G1" s="1268"/>
      <c r="H1" s="1268"/>
      <c r="I1" s="1268"/>
      <c r="J1" s="1268"/>
      <c r="K1" s="1268"/>
      <c r="L1" s="1268"/>
      <c r="M1" s="1268"/>
      <c r="N1" s="1268"/>
      <c r="O1" s="1268"/>
      <c r="P1" s="1268"/>
      <c r="Q1" s="1268"/>
      <c r="R1" s="1268"/>
      <c r="S1" s="1268"/>
      <c r="T1" s="1268"/>
      <c r="U1" s="1268"/>
      <c r="V1" s="1268"/>
      <c r="W1" s="1268"/>
      <c r="X1" s="1268"/>
      <c r="Y1" s="1268"/>
      <c r="Z1" s="1268"/>
      <c r="AA1" s="1268"/>
      <c r="AB1" s="1268"/>
    </row>
    <row r="2" spans="1:29" s="2" customFormat="1" ht="38.25" x14ac:dyDescent="0.5">
      <c r="A2" s="1269" t="s">
        <v>911</v>
      </c>
      <c r="B2" s="1269"/>
      <c r="C2" s="1269"/>
      <c r="D2" s="1269"/>
      <c r="E2" s="1269"/>
      <c r="F2" s="1269"/>
      <c r="G2" s="1269"/>
      <c r="H2" s="1269"/>
      <c r="I2" s="1269"/>
      <c r="J2" s="1269"/>
      <c r="K2" s="1269"/>
      <c r="L2" s="1269"/>
      <c r="M2" s="1269"/>
      <c r="N2" s="1269"/>
      <c r="O2" s="1269"/>
      <c r="P2" s="1269"/>
      <c r="Q2" s="1269"/>
      <c r="R2" s="1269"/>
      <c r="S2" s="1269"/>
      <c r="T2" s="1269"/>
      <c r="U2" s="1269"/>
      <c r="V2" s="1269"/>
      <c r="W2" s="1269"/>
      <c r="X2" s="1269"/>
      <c r="Y2" s="1269"/>
      <c r="Z2" s="1269"/>
      <c r="AA2" s="1269"/>
      <c r="AB2" s="1269"/>
    </row>
    <row r="3" spans="1:29" s="2" customFormat="1" ht="38.25" x14ac:dyDescent="0.5">
      <c r="A3" s="1270" t="str">
        <f>+'1. สรุปเบิกจ่าย65รวมงบ(GF)'!A5:H5</f>
        <v>ตั้งแต่วันที่ 1  ตุลาคม 2564 ถึงวันที่ 31 มกราคม 2565</v>
      </c>
      <c r="B3" s="1270"/>
      <c r="C3" s="1270"/>
      <c r="D3" s="1270"/>
      <c r="E3" s="1270"/>
      <c r="F3" s="1270"/>
      <c r="G3" s="1270"/>
      <c r="H3" s="1270"/>
      <c r="I3" s="1270"/>
      <c r="J3" s="1270"/>
      <c r="K3" s="1270"/>
      <c r="L3" s="1270"/>
      <c r="M3" s="1270"/>
      <c r="N3" s="1270"/>
      <c r="O3" s="1270"/>
      <c r="P3" s="1270"/>
      <c r="Q3" s="1270"/>
      <c r="R3" s="1270"/>
      <c r="S3" s="1270"/>
      <c r="T3" s="1270"/>
      <c r="U3" s="1270"/>
      <c r="V3" s="1270"/>
      <c r="W3" s="1270"/>
      <c r="X3" s="1270"/>
      <c r="Y3" s="1270"/>
      <c r="Z3" s="1270"/>
      <c r="AA3" s="1270"/>
      <c r="AB3" s="1270"/>
    </row>
    <row r="4" spans="1:29" s="4" customFormat="1" ht="27.75" x14ac:dyDescent="0.5">
      <c r="A4" s="24" t="s">
        <v>163</v>
      </c>
      <c r="B4" s="1271" t="s">
        <v>1</v>
      </c>
      <c r="C4" s="1271"/>
      <c r="D4" s="1267" t="s">
        <v>13</v>
      </c>
      <c r="E4" s="1267"/>
      <c r="F4" s="1267"/>
      <c r="G4" s="1267"/>
      <c r="H4" s="1267"/>
      <c r="I4" s="1267" t="s">
        <v>14</v>
      </c>
      <c r="J4" s="1267"/>
      <c r="K4" s="1267"/>
      <c r="L4" s="1267"/>
      <c r="M4" s="1267"/>
      <c r="N4" s="1267" t="s">
        <v>15</v>
      </c>
      <c r="O4" s="1267"/>
      <c r="P4" s="1267"/>
      <c r="Q4" s="1267"/>
      <c r="R4" s="1267"/>
      <c r="S4" s="1267" t="s">
        <v>16</v>
      </c>
      <c r="T4" s="1267"/>
      <c r="U4" s="1267"/>
      <c r="V4" s="1267"/>
      <c r="W4" s="1267"/>
      <c r="X4" s="1267" t="s">
        <v>74</v>
      </c>
      <c r="Y4" s="1267"/>
      <c r="Z4" s="1267"/>
      <c r="AA4" s="1267"/>
      <c r="AB4" s="1267"/>
      <c r="AC4" s="180" t="s">
        <v>307</v>
      </c>
    </row>
    <row r="5" spans="1:29" s="4" customFormat="1" ht="27.75" x14ac:dyDescent="0.5">
      <c r="A5" s="24" t="s">
        <v>164</v>
      </c>
      <c r="B5" s="1271"/>
      <c r="C5" s="1271"/>
      <c r="D5" s="5" t="s">
        <v>66</v>
      </c>
      <c r="E5" s="6" t="s">
        <v>104</v>
      </c>
      <c r="F5" s="7" t="s">
        <v>105</v>
      </c>
      <c r="G5" s="5" t="s">
        <v>60</v>
      </c>
      <c r="H5" s="3" t="s">
        <v>65</v>
      </c>
      <c r="I5" s="5" t="s">
        <v>66</v>
      </c>
      <c r="J5" s="6" t="s">
        <v>104</v>
      </c>
      <c r="K5" s="7" t="s">
        <v>105</v>
      </c>
      <c r="L5" s="5" t="s">
        <v>60</v>
      </c>
      <c r="M5" s="3" t="s">
        <v>65</v>
      </c>
      <c r="N5" s="5" t="s">
        <v>66</v>
      </c>
      <c r="O5" s="6" t="s">
        <v>104</v>
      </c>
      <c r="P5" s="7" t="s">
        <v>105</v>
      </c>
      <c r="Q5" s="5" t="s">
        <v>60</v>
      </c>
      <c r="R5" s="3" t="s">
        <v>65</v>
      </c>
      <c r="S5" s="5" t="s">
        <v>66</v>
      </c>
      <c r="T5" s="6" t="s">
        <v>104</v>
      </c>
      <c r="U5" s="7" t="s">
        <v>105</v>
      </c>
      <c r="V5" s="5" t="s">
        <v>60</v>
      </c>
      <c r="W5" s="3" t="s">
        <v>65</v>
      </c>
      <c r="X5" s="5" t="s">
        <v>66</v>
      </c>
      <c r="Y5" s="6" t="s">
        <v>104</v>
      </c>
      <c r="Z5" s="7" t="s">
        <v>105</v>
      </c>
      <c r="AA5" s="5" t="s">
        <v>60</v>
      </c>
      <c r="AB5" s="3" t="s">
        <v>65</v>
      </c>
      <c r="AC5" s="181" t="s">
        <v>309</v>
      </c>
    </row>
    <row r="6" spans="1:29" s="4" customFormat="1" ht="27.75" x14ac:dyDescent="0.5">
      <c r="A6" s="25"/>
      <c r="B6" s="1271"/>
      <c r="C6" s="1271"/>
      <c r="D6" s="9" t="s">
        <v>2</v>
      </c>
      <c r="E6" s="10" t="s">
        <v>2</v>
      </c>
      <c r="F6" s="10" t="s">
        <v>2</v>
      </c>
      <c r="G6" s="9" t="s">
        <v>2</v>
      </c>
      <c r="H6" s="8" t="s">
        <v>106</v>
      </c>
      <c r="I6" s="9" t="s">
        <v>2</v>
      </c>
      <c r="J6" s="10" t="s">
        <v>2</v>
      </c>
      <c r="K6" s="10" t="s">
        <v>2</v>
      </c>
      <c r="L6" s="9" t="s">
        <v>2</v>
      </c>
      <c r="M6" s="8" t="s">
        <v>106</v>
      </c>
      <c r="N6" s="9" t="s">
        <v>2</v>
      </c>
      <c r="O6" s="10" t="s">
        <v>2</v>
      </c>
      <c r="P6" s="10" t="s">
        <v>2</v>
      </c>
      <c r="Q6" s="9" t="s">
        <v>2</v>
      </c>
      <c r="R6" s="8" t="s">
        <v>165</v>
      </c>
      <c r="S6" s="9" t="s">
        <v>2</v>
      </c>
      <c r="T6" s="10" t="s">
        <v>2</v>
      </c>
      <c r="U6" s="10" t="s">
        <v>2</v>
      </c>
      <c r="V6" s="9" t="s">
        <v>2</v>
      </c>
      <c r="W6" s="8" t="s">
        <v>106</v>
      </c>
      <c r="X6" s="9" t="s">
        <v>2</v>
      </c>
      <c r="Y6" s="10" t="s">
        <v>2</v>
      </c>
      <c r="Z6" s="10" t="s">
        <v>2</v>
      </c>
      <c r="AA6" s="9" t="s">
        <v>2</v>
      </c>
      <c r="AB6" s="8" t="s">
        <v>106</v>
      </c>
      <c r="AC6" s="182" t="s">
        <v>308</v>
      </c>
    </row>
    <row r="7" spans="1:29" s="15" customFormat="1" ht="35.25" customHeight="1" x14ac:dyDescent="0.5">
      <c r="A7" s="26">
        <v>1</v>
      </c>
      <c r="B7" s="1262" t="s">
        <v>107</v>
      </c>
      <c r="C7" s="1263"/>
      <c r="D7" s="20">
        <f>+'3.งบบุคลากร (GF)'!D8</f>
        <v>446566804</v>
      </c>
      <c r="E7" s="20">
        <f>+'3.งบบุคลากร (GF)'!E8</f>
        <v>0</v>
      </c>
      <c r="F7" s="20">
        <f>+'3.งบบุคลากร (GF)'!F8</f>
        <v>299082826.26999998</v>
      </c>
      <c r="G7" s="33">
        <f>+D7-E7-F7</f>
        <v>147483977.73000002</v>
      </c>
      <c r="H7" s="22">
        <f>F7*100/D7</f>
        <v>66.973815248031741</v>
      </c>
      <c r="I7" s="20">
        <f>+'4. งบดำเนินงาน (GF)'!D8</f>
        <v>28664711.760000002</v>
      </c>
      <c r="J7" s="20">
        <f>+'4. งบดำเนินงาน (GF)'!E8</f>
        <v>14086479.560000001</v>
      </c>
      <c r="K7" s="20">
        <f>+'4. งบดำเนินงาน (GF)'!F8</f>
        <v>6993356.9299999997</v>
      </c>
      <c r="L7" s="21">
        <f>+I7-J7-K7</f>
        <v>7584875.2700000014</v>
      </c>
      <c r="M7" s="22">
        <f>K7*100/I7</f>
        <v>24.397094896864925</v>
      </c>
      <c r="N7" s="20">
        <f>+'5.งบลงทุน'!F8</f>
        <v>28041742.299999997</v>
      </c>
      <c r="O7" s="20">
        <f>+'5.งบลงทุน'!G8</f>
        <v>6982018</v>
      </c>
      <c r="P7" s="20">
        <f>+'5.งบลงทุน'!H8</f>
        <v>113800</v>
      </c>
      <c r="Q7" s="21">
        <f>+N7-O7-P7</f>
        <v>20945924.299999997</v>
      </c>
      <c r="R7" s="22">
        <f>P7*100/N7</f>
        <v>0.40582357109814826</v>
      </c>
      <c r="S7" s="20">
        <f>+'6.งบรายจ่ายอื่น (GF)'!D7</f>
        <v>4830050</v>
      </c>
      <c r="T7" s="20">
        <f>+'6.งบรายจ่ายอื่น (GF)'!E7</f>
        <v>2500000</v>
      </c>
      <c r="U7" s="20">
        <f>+'6.งบรายจ่ายอื่น (GF)'!F7</f>
        <v>29280</v>
      </c>
      <c r="V7" s="21">
        <f>+S7-T7-U7</f>
        <v>2300770</v>
      </c>
      <c r="W7" s="22">
        <f>U7*100/S7</f>
        <v>0.60620490471113131</v>
      </c>
      <c r="X7" s="20">
        <f>+D7+I7+N7+S7</f>
        <v>508103308.06</v>
      </c>
      <c r="Y7" s="20">
        <f>+E7+J7+O7+T7</f>
        <v>23568497.560000002</v>
      </c>
      <c r="Z7" s="20">
        <f>+F7+K7+P7+U7</f>
        <v>306219263.19999999</v>
      </c>
      <c r="AA7" s="33">
        <f>+X7-Y7-Z7</f>
        <v>178315547.30000001</v>
      </c>
      <c r="AB7" s="22">
        <f>Z7*100/X7</f>
        <v>60.2671264568582</v>
      </c>
      <c r="AC7" s="177"/>
    </row>
    <row r="8" spans="1:29" s="14" customFormat="1" ht="35.25" customHeight="1" x14ac:dyDescent="0.5">
      <c r="A8" s="27">
        <v>2</v>
      </c>
      <c r="B8" s="28" t="s">
        <v>108</v>
      </c>
      <c r="C8" s="29" t="s">
        <v>109</v>
      </c>
      <c r="D8" s="20">
        <f>+'3.งบบุคลากร (GF)'!D9</f>
        <v>8458319</v>
      </c>
      <c r="E8" s="20">
        <f>+'3.งบบุคลากร (GF)'!E9</f>
        <v>0</v>
      </c>
      <c r="F8" s="20">
        <f>+'3.งบบุคลากร (GF)'!F9</f>
        <v>5105024.51</v>
      </c>
      <c r="G8" s="33">
        <f t="shared" ref="G8:G71" si="0">+D8-E8-F8</f>
        <v>3353294.49</v>
      </c>
      <c r="H8" s="22">
        <f t="shared" ref="H8:H71" si="1">F8*100/D8</f>
        <v>60.35507185292964</v>
      </c>
      <c r="I8" s="20">
        <f>+'4. งบดำเนินงาน (GF)'!D9</f>
        <v>5137708</v>
      </c>
      <c r="J8" s="20">
        <f>+'4. งบดำเนินงาน (GF)'!E9</f>
        <v>375400</v>
      </c>
      <c r="K8" s="20">
        <f>+'4. งบดำเนินงาน (GF)'!F9</f>
        <v>4187413.94</v>
      </c>
      <c r="L8" s="21">
        <f t="shared" ref="L8:L71" si="2">+I8-J8-K8</f>
        <v>574894.06000000006</v>
      </c>
      <c r="M8" s="22">
        <f t="shared" ref="M8:M71" si="3">K8*100/I8</f>
        <v>81.50354087853961</v>
      </c>
      <c r="N8" s="20">
        <f>+'5.งบลงทุน'!F9</f>
        <v>459975</v>
      </c>
      <c r="O8" s="20">
        <f>+'5.งบลงทุน'!G9</f>
        <v>0</v>
      </c>
      <c r="P8" s="20">
        <f>+'5.งบลงทุน'!H9</f>
        <v>459975</v>
      </c>
      <c r="Q8" s="21">
        <f t="shared" ref="Q8:Q71" si="4">+N8-O8-P8</f>
        <v>0</v>
      </c>
      <c r="R8" s="22">
        <f t="shared" ref="R8:R71" si="5">P8*100/N8</f>
        <v>100</v>
      </c>
      <c r="S8" s="20">
        <f>+'6.งบรายจ่ายอื่น (GF)'!D8</f>
        <v>117000</v>
      </c>
      <c r="T8" s="20">
        <f>+'6.งบรายจ่ายอื่น (GF)'!E8</f>
        <v>0</v>
      </c>
      <c r="U8" s="20">
        <f>+'6.งบรายจ่ายอื่น (GF)'!F8</f>
        <v>0</v>
      </c>
      <c r="V8" s="21">
        <f t="shared" ref="V8:V71" si="6">+S8-T8-U8</f>
        <v>117000</v>
      </c>
      <c r="W8" s="22">
        <f t="shared" ref="W8:W71" si="7">U8*100/S8</f>
        <v>0</v>
      </c>
      <c r="X8" s="20">
        <f t="shared" ref="X8:X71" si="8">+D8+I8+N8+S8</f>
        <v>14173002</v>
      </c>
      <c r="Y8" s="20">
        <f t="shared" ref="Y8:Y71" si="9">+E8+J8+O8+T8</f>
        <v>375400</v>
      </c>
      <c r="Z8" s="20">
        <f t="shared" ref="Z8:Z71" si="10">+F8+K8+P8+U8</f>
        <v>9752413.4499999993</v>
      </c>
      <c r="AA8" s="33">
        <f t="shared" ref="AA8:AA71" si="11">+X8-Y8-Z8</f>
        <v>4045188.5500000007</v>
      </c>
      <c r="AB8" s="22">
        <f t="shared" ref="AB8:AB71" si="12">Z8*100/X8</f>
        <v>68.80979378962904</v>
      </c>
      <c r="AC8" s="178" t="s">
        <v>304</v>
      </c>
    </row>
    <row r="9" spans="1:29" s="14" customFormat="1" ht="35.25" customHeight="1" x14ac:dyDescent="0.5">
      <c r="A9" s="27">
        <v>3</v>
      </c>
      <c r="B9" s="28" t="s">
        <v>110</v>
      </c>
      <c r="C9" s="29" t="s">
        <v>18</v>
      </c>
      <c r="D9" s="20">
        <f>+'3.งบบุคลากร (GF)'!D10</f>
        <v>6342305</v>
      </c>
      <c r="E9" s="20">
        <f>+'3.งบบุคลากร (GF)'!E10</f>
        <v>0</v>
      </c>
      <c r="F9" s="20">
        <f>+'3.งบบุคลากร (GF)'!F10</f>
        <v>3896900</v>
      </c>
      <c r="G9" s="33">
        <f>+D9-E9-F9</f>
        <v>2445405</v>
      </c>
      <c r="H9" s="22">
        <f t="shared" si="1"/>
        <v>61.4429611947076</v>
      </c>
      <c r="I9" s="20">
        <f>+'4. งบดำเนินงาน (GF)'!D10</f>
        <v>4533907</v>
      </c>
      <c r="J9" s="20">
        <f>+'4. งบดำเนินงาน (GF)'!E10</f>
        <v>556955.31999999995</v>
      </c>
      <c r="K9" s="20">
        <f>+'4. งบดำเนินงาน (GF)'!F10</f>
        <v>2872985.88</v>
      </c>
      <c r="L9" s="21">
        <f t="shared" si="2"/>
        <v>1103965.8000000003</v>
      </c>
      <c r="M9" s="22">
        <f t="shared" si="3"/>
        <v>63.366669850087355</v>
      </c>
      <c r="N9" s="20">
        <f>+'5.งบลงทุน'!F10</f>
        <v>459973.2</v>
      </c>
      <c r="O9" s="20">
        <f>+'5.งบลงทุน'!G10</f>
        <v>0</v>
      </c>
      <c r="P9" s="20">
        <f>+'5.งบลงทุน'!H10</f>
        <v>459973.2</v>
      </c>
      <c r="Q9" s="21">
        <f t="shared" si="4"/>
        <v>0</v>
      </c>
      <c r="R9" s="22">
        <f t="shared" si="5"/>
        <v>100</v>
      </c>
      <c r="S9" s="20">
        <f>+'6.งบรายจ่ายอื่น (GF)'!D9</f>
        <v>376770</v>
      </c>
      <c r="T9" s="20">
        <f>+'6.งบรายจ่ายอื่น (GF)'!E9</f>
        <v>27120</v>
      </c>
      <c r="U9" s="20">
        <f>+'6.งบรายจ่ายอื่น (GF)'!F9</f>
        <v>99840.6</v>
      </c>
      <c r="V9" s="21">
        <f t="shared" si="6"/>
        <v>249809.4</v>
      </c>
      <c r="W9" s="22">
        <f t="shared" si="7"/>
        <v>26.499084322000158</v>
      </c>
      <c r="X9" s="20">
        <f t="shared" si="8"/>
        <v>11712955.199999999</v>
      </c>
      <c r="Y9" s="20">
        <f t="shared" si="9"/>
        <v>584075.31999999995</v>
      </c>
      <c r="Z9" s="20">
        <f t="shared" si="10"/>
        <v>7329699.6799999997</v>
      </c>
      <c r="AA9" s="33">
        <f t="shared" si="11"/>
        <v>3799180.1999999993</v>
      </c>
      <c r="AB9" s="22">
        <f t="shared" si="12"/>
        <v>62.577714631743838</v>
      </c>
      <c r="AC9" s="178"/>
    </row>
    <row r="10" spans="1:29" s="14" customFormat="1" ht="35.25" customHeight="1" x14ac:dyDescent="0.5">
      <c r="A10" s="27">
        <v>4</v>
      </c>
      <c r="B10" s="28" t="s">
        <v>110</v>
      </c>
      <c r="C10" s="29" t="s">
        <v>75</v>
      </c>
      <c r="D10" s="20">
        <f>+'3.งบบุคลากร (GF)'!D11</f>
        <v>2607638</v>
      </c>
      <c r="E10" s="20">
        <f>+'3.งบบุคลากร (GF)'!E11</f>
        <v>0</v>
      </c>
      <c r="F10" s="20">
        <f>+'3.งบบุคลากร (GF)'!F11</f>
        <v>1643579.03</v>
      </c>
      <c r="G10" s="33">
        <f t="shared" si="0"/>
        <v>964058.97</v>
      </c>
      <c r="H10" s="22">
        <f t="shared" si="1"/>
        <v>63.029417043316599</v>
      </c>
      <c r="I10" s="20">
        <f>+'4. งบดำเนินงาน (GF)'!D11</f>
        <v>2011621</v>
      </c>
      <c r="J10" s="20">
        <f>+'4. งบดำเนินงาน (GF)'!E11</f>
        <v>249980.3</v>
      </c>
      <c r="K10" s="20">
        <f>+'4. งบดำเนินงาน (GF)'!F11</f>
        <v>747004.9</v>
      </c>
      <c r="L10" s="21">
        <f t="shared" si="2"/>
        <v>1014635.7999999999</v>
      </c>
      <c r="M10" s="22">
        <f t="shared" si="3"/>
        <v>37.134475132244098</v>
      </c>
      <c r="N10" s="20">
        <f>+'5.งบลงทุน'!F11</f>
        <v>217640</v>
      </c>
      <c r="O10" s="20">
        <f>+'5.งบลงทุน'!G11</f>
        <v>0</v>
      </c>
      <c r="P10" s="20">
        <f>+'5.งบลงทุน'!H11</f>
        <v>217640</v>
      </c>
      <c r="Q10" s="21">
        <f t="shared" si="4"/>
        <v>0</v>
      </c>
      <c r="R10" s="22">
        <f t="shared" si="5"/>
        <v>100</v>
      </c>
      <c r="S10" s="20">
        <f>+'6.งบรายจ่ายอื่น (GF)'!D10</f>
        <v>143910</v>
      </c>
      <c r="T10" s="20">
        <f>+'6.งบรายจ่ายอื่น (GF)'!E10</f>
        <v>0</v>
      </c>
      <c r="U10" s="20">
        <f>+'6.งบรายจ่ายอื่น (GF)'!F10</f>
        <v>15000</v>
      </c>
      <c r="V10" s="21">
        <f t="shared" si="6"/>
        <v>128910</v>
      </c>
      <c r="W10" s="22">
        <f t="shared" si="7"/>
        <v>10.423181154888471</v>
      </c>
      <c r="X10" s="20">
        <f t="shared" si="8"/>
        <v>4980809</v>
      </c>
      <c r="Y10" s="20">
        <f t="shared" si="9"/>
        <v>249980.3</v>
      </c>
      <c r="Z10" s="20">
        <f t="shared" si="10"/>
        <v>2623223.9300000002</v>
      </c>
      <c r="AA10" s="33">
        <f t="shared" si="11"/>
        <v>2107604.77</v>
      </c>
      <c r="AB10" s="22">
        <f t="shared" si="12"/>
        <v>52.666623634835233</v>
      </c>
      <c r="AC10" s="178"/>
    </row>
    <row r="11" spans="1:29" s="14" customFormat="1" ht="35.25" customHeight="1" x14ac:dyDescent="0.5">
      <c r="A11" s="27">
        <v>5</v>
      </c>
      <c r="B11" s="28" t="s">
        <v>110</v>
      </c>
      <c r="C11" s="29" t="s">
        <v>111</v>
      </c>
      <c r="D11" s="20">
        <f>+'3.งบบุคลากร (GF)'!D12</f>
        <v>2808815</v>
      </c>
      <c r="E11" s="20">
        <f>+'3.งบบุคลากร (GF)'!E12</f>
        <v>0</v>
      </c>
      <c r="F11" s="20">
        <f>+'3.งบบุคลากร (GF)'!F12</f>
        <v>1842203.87</v>
      </c>
      <c r="G11" s="33">
        <f t="shared" si="0"/>
        <v>966611.12999999989</v>
      </c>
      <c r="H11" s="22">
        <f t="shared" si="1"/>
        <v>65.58651495381504</v>
      </c>
      <c r="I11" s="20">
        <f>+'4. งบดำเนินงาน (GF)'!D12</f>
        <v>2078880</v>
      </c>
      <c r="J11" s="20">
        <f>+'4. งบดำเนินงาน (GF)'!E12</f>
        <v>401913.8</v>
      </c>
      <c r="K11" s="20">
        <f>+'4. งบดำเนินงาน (GF)'!F12</f>
        <v>1332368.44</v>
      </c>
      <c r="L11" s="21">
        <f t="shared" si="2"/>
        <v>344597.76000000001</v>
      </c>
      <c r="M11" s="22">
        <f t="shared" si="3"/>
        <v>64.090685369044877</v>
      </c>
      <c r="N11" s="20">
        <f>+'5.งบลงทุน'!F12</f>
        <v>140233.25</v>
      </c>
      <c r="O11" s="20">
        <f>+'5.งบลงทุน'!G12</f>
        <v>0</v>
      </c>
      <c r="P11" s="20">
        <f>+'5.งบลงทุน'!H12</f>
        <v>140233.25</v>
      </c>
      <c r="Q11" s="21">
        <f t="shared" si="4"/>
        <v>0</v>
      </c>
      <c r="R11" s="22">
        <f t="shared" si="5"/>
        <v>100</v>
      </c>
      <c r="S11" s="20">
        <f>+'6.งบรายจ่ายอื่น (GF)'!D11</f>
        <v>228910</v>
      </c>
      <c r="T11" s="20">
        <f>+'6.งบรายจ่ายอื่น (GF)'!E11</f>
        <v>0</v>
      </c>
      <c r="U11" s="20">
        <f>+'6.งบรายจ่ายอื่น (GF)'!F11</f>
        <v>16950</v>
      </c>
      <c r="V11" s="21">
        <f t="shared" si="6"/>
        <v>211960</v>
      </c>
      <c r="W11" s="22">
        <f t="shared" si="7"/>
        <v>7.4046568520379186</v>
      </c>
      <c r="X11" s="20">
        <f t="shared" si="8"/>
        <v>5256838.25</v>
      </c>
      <c r="Y11" s="20">
        <f t="shared" si="9"/>
        <v>401913.8</v>
      </c>
      <c r="Z11" s="20">
        <f t="shared" si="10"/>
        <v>3331755.56</v>
      </c>
      <c r="AA11" s="33">
        <f t="shared" si="11"/>
        <v>1523168.8900000001</v>
      </c>
      <c r="AB11" s="22">
        <f t="shared" si="12"/>
        <v>63.379457414349773</v>
      </c>
      <c r="AC11" s="178"/>
    </row>
    <row r="12" spans="1:29" s="14" customFormat="1" ht="35.25" customHeight="1" x14ac:dyDescent="0.5">
      <c r="A12" s="27">
        <v>6</v>
      </c>
      <c r="B12" s="28" t="s">
        <v>110</v>
      </c>
      <c r="C12" s="29" t="s">
        <v>72</v>
      </c>
      <c r="D12" s="20">
        <f>+'3.งบบุคลากร (GF)'!D13</f>
        <v>2654616</v>
      </c>
      <c r="E12" s="20">
        <f>+'3.งบบุคลากร (GF)'!E13</f>
        <v>0</v>
      </c>
      <c r="F12" s="20">
        <f>+'3.งบบุคลากร (GF)'!F13</f>
        <v>1649590</v>
      </c>
      <c r="G12" s="33">
        <f t="shared" si="0"/>
        <v>1005026</v>
      </c>
      <c r="H12" s="22">
        <f t="shared" si="1"/>
        <v>62.140437637684698</v>
      </c>
      <c r="I12" s="20">
        <f>+'4. งบดำเนินงาน (GF)'!D13</f>
        <v>1829022</v>
      </c>
      <c r="J12" s="20">
        <f>+'4. งบดำเนินงาน (GF)'!E13</f>
        <v>212233.8</v>
      </c>
      <c r="K12" s="20">
        <f>+'4. งบดำเนินงาน (GF)'!F13</f>
        <v>992436.17</v>
      </c>
      <c r="L12" s="21">
        <f t="shared" si="2"/>
        <v>624352.02999999991</v>
      </c>
      <c r="M12" s="22">
        <f t="shared" si="3"/>
        <v>54.260482924754321</v>
      </c>
      <c r="N12" s="20">
        <f>+'5.งบลงทุน'!F13</f>
        <v>255950</v>
      </c>
      <c r="O12" s="20">
        <f>+'5.งบลงทุน'!G13</f>
        <v>0</v>
      </c>
      <c r="P12" s="20">
        <f>+'5.งบลงทุน'!H13</f>
        <v>255950</v>
      </c>
      <c r="Q12" s="21">
        <f t="shared" si="4"/>
        <v>0</v>
      </c>
      <c r="R12" s="22">
        <f t="shared" si="5"/>
        <v>100</v>
      </c>
      <c r="S12" s="20">
        <f>+'6.งบรายจ่ายอื่น (GF)'!D12</f>
        <v>288360</v>
      </c>
      <c r="T12" s="20">
        <f>+'6.งบรายจ่ายอื่น (GF)'!E12</f>
        <v>0</v>
      </c>
      <c r="U12" s="20">
        <f>+'6.งบรายจ่ายอื่น (GF)'!F12</f>
        <v>62410</v>
      </c>
      <c r="V12" s="21">
        <f t="shared" si="6"/>
        <v>225950</v>
      </c>
      <c r="W12" s="22">
        <f t="shared" si="7"/>
        <v>21.64308503259814</v>
      </c>
      <c r="X12" s="20">
        <f t="shared" si="8"/>
        <v>5027948</v>
      </c>
      <c r="Y12" s="20">
        <f t="shared" si="9"/>
        <v>212233.8</v>
      </c>
      <c r="Z12" s="20">
        <f t="shared" si="10"/>
        <v>2960386.17</v>
      </c>
      <c r="AA12" s="33">
        <f t="shared" si="11"/>
        <v>1855328.0300000003</v>
      </c>
      <c r="AB12" s="22">
        <f t="shared" si="12"/>
        <v>58.878615490852333</v>
      </c>
      <c r="AC12" s="178" t="s">
        <v>305</v>
      </c>
    </row>
    <row r="13" spans="1:29" s="14" customFormat="1" ht="35.25" customHeight="1" x14ac:dyDescent="0.5">
      <c r="A13" s="27">
        <v>7</v>
      </c>
      <c r="B13" s="28" t="s">
        <v>110</v>
      </c>
      <c r="C13" s="29" t="s">
        <v>101</v>
      </c>
      <c r="D13" s="20">
        <f>+'3.งบบุคลากร (GF)'!D14</f>
        <v>2734176</v>
      </c>
      <c r="E13" s="20">
        <f>+'3.งบบุคลากร (GF)'!E14</f>
        <v>0</v>
      </c>
      <c r="F13" s="20">
        <f>+'3.งบบุคลากร (GF)'!F14</f>
        <v>1785700</v>
      </c>
      <c r="G13" s="33">
        <f t="shared" si="0"/>
        <v>948476</v>
      </c>
      <c r="H13" s="22">
        <f t="shared" si="1"/>
        <v>65.310353100897672</v>
      </c>
      <c r="I13" s="20">
        <f>+'4. งบดำเนินงาน (GF)'!D14</f>
        <v>2802151</v>
      </c>
      <c r="J13" s="20">
        <f>+'4. งบดำเนินงาน (GF)'!E14</f>
        <v>806098.41</v>
      </c>
      <c r="K13" s="20">
        <f>+'4. งบดำเนินงาน (GF)'!F14</f>
        <v>1810578.72</v>
      </c>
      <c r="L13" s="21">
        <f t="shared" si="2"/>
        <v>185473.86999999988</v>
      </c>
      <c r="M13" s="22">
        <f t="shared" si="3"/>
        <v>64.613888402159631</v>
      </c>
      <c r="N13" s="20">
        <f>+'5.งบลงทุน'!F14</f>
        <v>1986880</v>
      </c>
      <c r="O13" s="20">
        <f>+'5.งบลงทุน'!G14</f>
        <v>0</v>
      </c>
      <c r="P13" s="20">
        <f>+'5.งบลงทุน'!H14</f>
        <v>1986880</v>
      </c>
      <c r="Q13" s="21">
        <f t="shared" si="4"/>
        <v>0</v>
      </c>
      <c r="R13" s="22">
        <f t="shared" si="5"/>
        <v>100</v>
      </c>
      <c r="S13" s="20">
        <f>+'6.งบรายจ่ายอื่น (GF)'!D13</f>
        <v>294360</v>
      </c>
      <c r="T13" s="20">
        <f>+'6.งบรายจ่ายอื่น (GF)'!E13</f>
        <v>0</v>
      </c>
      <c r="U13" s="20">
        <f>+'6.งบรายจ่ายอื่น (GF)'!F13</f>
        <v>137450</v>
      </c>
      <c r="V13" s="21">
        <f t="shared" si="6"/>
        <v>156910</v>
      </c>
      <c r="W13" s="22">
        <f t="shared" si="7"/>
        <v>46.694523712460935</v>
      </c>
      <c r="X13" s="20">
        <f t="shared" si="8"/>
        <v>7817567</v>
      </c>
      <c r="Y13" s="20">
        <f t="shared" si="9"/>
        <v>806098.41</v>
      </c>
      <c r="Z13" s="20">
        <f t="shared" si="10"/>
        <v>5720608.7199999997</v>
      </c>
      <c r="AA13" s="33">
        <f t="shared" si="11"/>
        <v>1290859.8700000001</v>
      </c>
      <c r="AB13" s="22">
        <f t="shared" si="12"/>
        <v>73.176331203813149</v>
      </c>
      <c r="AC13" s="178"/>
    </row>
    <row r="14" spans="1:29" s="14" customFormat="1" ht="35.25" customHeight="1" x14ac:dyDescent="0.5">
      <c r="A14" s="27">
        <v>8</v>
      </c>
      <c r="B14" s="28" t="s">
        <v>110</v>
      </c>
      <c r="C14" s="29" t="s">
        <v>112</v>
      </c>
      <c r="D14" s="20">
        <f>+'3.งบบุคลากร (GF)'!D15</f>
        <v>5427503</v>
      </c>
      <c r="E14" s="20">
        <f>+'3.งบบุคลากร (GF)'!E15</f>
        <v>0</v>
      </c>
      <c r="F14" s="20">
        <f>+'3.งบบุคลากร (GF)'!F15</f>
        <v>3243591.61</v>
      </c>
      <c r="G14" s="33">
        <f t="shared" si="0"/>
        <v>2183911.39</v>
      </c>
      <c r="H14" s="22">
        <f t="shared" si="1"/>
        <v>59.762133894721018</v>
      </c>
      <c r="I14" s="20">
        <f>+'4. งบดำเนินงาน (GF)'!D15</f>
        <v>3392417</v>
      </c>
      <c r="J14" s="20">
        <f>+'4. งบดำเนินงาน (GF)'!E15</f>
        <v>758722.76</v>
      </c>
      <c r="K14" s="20">
        <f>+'4. งบดำเนินงาน (GF)'!F15</f>
        <v>1271933.19</v>
      </c>
      <c r="L14" s="21">
        <f t="shared" si="2"/>
        <v>1361761.0500000003</v>
      </c>
      <c r="M14" s="22">
        <f t="shared" si="3"/>
        <v>37.493421062328125</v>
      </c>
      <c r="N14" s="20">
        <f>+'5.งบลงทุน'!F15</f>
        <v>477098.82</v>
      </c>
      <c r="O14" s="20">
        <f>+'5.งบลงทุน'!G15</f>
        <v>0</v>
      </c>
      <c r="P14" s="20">
        <f>+'5.งบลงทุน'!H15</f>
        <v>477098.82</v>
      </c>
      <c r="Q14" s="21">
        <f t="shared" si="4"/>
        <v>0</v>
      </c>
      <c r="R14" s="22">
        <f t="shared" si="5"/>
        <v>100</v>
      </c>
      <c r="S14" s="20">
        <f>+'6.งบรายจ่ายอื่น (GF)'!D14</f>
        <v>275860</v>
      </c>
      <c r="T14" s="20">
        <f>+'6.งบรายจ่ายอื่น (GF)'!E14</f>
        <v>46900</v>
      </c>
      <c r="U14" s="20">
        <f>+'6.งบรายจ่ายอื่น (GF)'!F14</f>
        <v>35000</v>
      </c>
      <c r="V14" s="21">
        <f t="shared" si="6"/>
        <v>193960</v>
      </c>
      <c r="W14" s="22">
        <f t="shared" si="7"/>
        <v>12.687595156963678</v>
      </c>
      <c r="X14" s="20">
        <f t="shared" si="8"/>
        <v>9572878.8200000003</v>
      </c>
      <c r="Y14" s="20">
        <f t="shared" si="9"/>
        <v>805622.76</v>
      </c>
      <c r="Z14" s="20">
        <f t="shared" si="10"/>
        <v>5027623.62</v>
      </c>
      <c r="AA14" s="33">
        <f t="shared" si="11"/>
        <v>3739632.4400000004</v>
      </c>
      <c r="AB14" s="22">
        <f t="shared" si="12"/>
        <v>52.51945328604922</v>
      </c>
      <c r="AC14" s="178" t="s">
        <v>305</v>
      </c>
    </row>
    <row r="15" spans="1:29" s="14" customFormat="1" ht="35.25" customHeight="1" x14ac:dyDescent="0.5">
      <c r="A15" s="27">
        <v>9</v>
      </c>
      <c r="B15" s="28" t="s">
        <v>110</v>
      </c>
      <c r="C15" s="29" t="s">
        <v>113</v>
      </c>
      <c r="D15" s="20">
        <f>+'3.งบบุคลากร (GF)'!D16</f>
        <v>4900402</v>
      </c>
      <c r="E15" s="20">
        <f>+'3.งบบุคลากร (GF)'!E16</f>
        <v>0</v>
      </c>
      <c r="F15" s="20">
        <f>+'3.งบบุคลากร (GF)'!F16</f>
        <v>3387953.63</v>
      </c>
      <c r="G15" s="33">
        <f t="shared" si="0"/>
        <v>1512448.37</v>
      </c>
      <c r="H15" s="22">
        <f t="shared" si="1"/>
        <v>69.136238822855759</v>
      </c>
      <c r="I15" s="20">
        <f>+'4. งบดำเนินงาน (GF)'!D16</f>
        <v>3799735</v>
      </c>
      <c r="J15" s="20">
        <f>+'4. งบดำเนินงาน (GF)'!E16</f>
        <v>1631981.4</v>
      </c>
      <c r="K15" s="20">
        <f>+'4. งบดำเนินงาน (GF)'!F16</f>
        <v>1698901.82</v>
      </c>
      <c r="L15" s="21">
        <f t="shared" si="2"/>
        <v>468851.78</v>
      </c>
      <c r="M15" s="22">
        <f t="shared" si="3"/>
        <v>44.711060639755139</v>
      </c>
      <c r="N15" s="20">
        <f>+'5.งบลงทุน'!F16</f>
        <v>138180</v>
      </c>
      <c r="O15" s="20">
        <f>+'5.งบลงทุน'!G16</f>
        <v>0</v>
      </c>
      <c r="P15" s="20">
        <f>+'5.งบลงทุน'!H16</f>
        <v>138180</v>
      </c>
      <c r="Q15" s="21">
        <f t="shared" si="4"/>
        <v>0</v>
      </c>
      <c r="R15" s="22">
        <f t="shared" si="5"/>
        <v>100</v>
      </c>
      <c r="S15" s="20">
        <f>+'6.งบรายจ่ายอื่น (GF)'!D15</f>
        <v>233860</v>
      </c>
      <c r="T15" s="20">
        <f>+'6.งบรายจ่ายอื่น (GF)'!E15</f>
        <v>0</v>
      </c>
      <c r="U15" s="20">
        <f>+'6.งบรายจ่ายอื่น (GF)'!F15</f>
        <v>0</v>
      </c>
      <c r="V15" s="21">
        <f t="shared" si="6"/>
        <v>233860</v>
      </c>
      <c r="W15" s="22">
        <f t="shared" si="7"/>
        <v>0</v>
      </c>
      <c r="X15" s="20">
        <f t="shared" si="8"/>
        <v>9072177</v>
      </c>
      <c r="Y15" s="20">
        <f t="shared" si="9"/>
        <v>1631981.4</v>
      </c>
      <c r="Z15" s="20">
        <f t="shared" si="10"/>
        <v>5225035.45</v>
      </c>
      <c r="AA15" s="33">
        <f t="shared" si="11"/>
        <v>2215160.1499999994</v>
      </c>
      <c r="AB15" s="22">
        <f t="shared" si="12"/>
        <v>57.594064247203292</v>
      </c>
      <c r="AC15" s="178"/>
    </row>
    <row r="16" spans="1:29" s="14" customFormat="1" ht="35.25" customHeight="1" x14ac:dyDescent="0.5">
      <c r="A16" s="27">
        <v>10</v>
      </c>
      <c r="B16" s="28" t="s">
        <v>110</v>
      </c>
      <c r="C16" s="29" t="s">
        <v>114</v>
      </c>
      <c r="D16" s="20">
        <f>+'3.งบบุคลากร (GF)'!D17</f>
        <v>6783318</v>
      </c>
      <c r="E16" s="20">
        <f>+'3.งบบุคลากร (GF)'!E17</f>
        <v>0</v>
      </c>
      <c r="F16" s="20">
        <f>+'3.งบบุคลากร (GF)'!F17</f>
        <v>4374254.82</v>
      </c>
      <c r="G16" s="33">
        <f t="shared" si="0"/>
        <v>2409063.1799999997</v>
      </c>
      <c r="H16" s="22">
        <f t="shared" si="1"/>
        <v>64.485474807461486</v>
      </c>
      <c r="I16" s="20">
        <f>+'4. งบดำเนินงาน (GF)'!D17</f>
        <v>6717494</v>
      </c>
      <c r="J16" s="20">
        <f>+'4. งบดำเนินงาน (GF)'!E17</f>
        <v>1800810.65</v>
      </c>
      <c r="K16" s="20">
        <f>+'4. งบดำเนินงาน (GF)'!F17</f>
        <v>3031322.71</v>
      </c>
      <c r="L16" s="21">
        <f t="shared" si="2"/>
        <v>1885360.6399999997</v>
      </c>
      <c r="M16" s="22">
        <f t="shared" si="3"/>
        <v>45.125797060630049</v>
      </c>
      <c r="N16" s="20">
        <f>+'5.งบลงทุน'!F17</f>
        <v>1421293.5</v>
      </c>
      <c r="O16" s="20">
        <f>+'5.งบลงทุน'!G17</f>
        <v>0</v>
      </c>
      <c r="P16" s="20">
        <f>+'5.งบลงทุน'!H17</f>
        <v>1421293.5</v>
      </c>
      <c r="Q16" s="21">
        <f t="shared" si="4"/>
        <v>0</v>
      </c>
      <c r="R16" s="22">
        <f t="shared" si="5"/>
        <v>100</v>
      </c>
      <c r="S16" s="20">
        <f>+'6.งบรายจ่ายอื่น (GF)'!D16</f>
        <v>276910</v>
      </c>
      <c r="T16" s="20">
        <f>+'6.งบรายจ่ายอื่น (GF)'!E16</f>
        <v>0</v>
      </c>
      <c r="U16" s="20">
        <f>+'6.งบรายจ่ายอื่น (GF)'!F16</f>
        <v>73370</v>
      </c>
      <c r="V16" s="21">
        <f t="shared" si="6"/>
        <v>203540</v>
      </c>
      <c r="W16" s="22">
        <f t="shared" si="7"/>
        <v>26.495973420967101</v>
      </c>
      <c r="X16" s="20">
        <f t="shared" si="8"/>
        <v>15199015.5</v>
      </c>
      <c r="Y16" s="20">
        <f t="shared" si="9"/>
        <v>1800810.65</v>
      </c>
      <c r="Z16" s="20">
        <f t="shared" si="10"/>
        <v>8900241.0300000012</v>
      </c>
      <c r="AA16" s="33">
        <f t="shared" si="11"/>
        <v>4497963.8199999984</v>
      </c>
      <c r="AB16" s="22">
        <f t="shared" si="12"/>
        <v>58.558010089535081</v>
      </c>
      <c r="AC16" s="178"/>
    </row>
    <row r="17" spans="1:29" s="14" customFormat="1" ht="35.25" customHeight="1" x14ac:dyDescent="0.5">
      <c r="A17" s="27">
        <v>11</v>
      </c>
      <c r="B17" s="28" t="s">
        <v>110</v>
      </c>
      <c r="C17" s="29" t="s">
        <v>115</v>
      </c>
      <c r="D17" s="20">
        <f>+'3.งบบุคลากร (GF)'!D18</f>
        <v>5557043</v>
      </c>
      <c r="E17" s="20">
        <f>+'3.งบบุคลากร (GF)'!E18</f>
        <v>0</v>
      </c>
      <c r="F17" s="20">
        <f>+'3.งบบุคลากร (GF)'!F18</f>
        <v>3524002.57</v>
      </c>
      <c r="G17" s="33">
        <f t="shared" si="0"/>
        <v>2033040.4300000002</v>
      </c>
      <c r="H17" s="22">
        <f t="shared" si="1"/>
        <v>63.415067509824922</v>
      </c>
      <c r="I17" s="20">
        <f>+'4. งบดำเนินงาน (GF)'!D18</f>
        <v>7620884</v>
      </c>
      <c r="J17" s="20">
        <f>+'4. งบดำเนินงาน (GF)'!E18</f>
        <v>3334499.35</v>
      </c>
      <c r="K17" s="20">
        <f>+'4. งบดำเนินงาน (GF)'!F18</f>
        <v>3406212.68</v>
      </c>
      <c r="L17" s="21">
        <f t="shared" si="2"/>
        <v>880171.9700000002</v>
      </c>
      <c r="M17" s="22">
        <f t="shared" si="3"/>
        <v>44.69576862736659</v>
      </c>
      <c r="N17" s="20">
        <f>+'5.งบลงทุน'!F18</f>
        <v>940832</v>
      </c>
      <c r="O17" s="20">
        <f>+'5.งบลงทุน'!G18</f>
        <v>0</v>
      </c>
      <c r="P17" s="20">
        <f>+'5.งบลงทุน'!H18</f>
        <v>940832</v>
      </c>
      <c r="Q17" s="21">
        <f t="shared" si="4"/>
        <v>0</v>
      </c>
      <c r="R17" s="22">
        <f t="shared" si="5"/>
        <v>100</v>
      </c>
      <c r="S17" s="20">
        <f>+'6.งบรายจ่ายอื่น (GF)'!D17</f>
        <v>290910</v>
      </c>
      <c r="T17" s="20">
        <f>+'6.งบรายจ่ายอื่น (GF)'!E17</f>
        <v>0</v>
      </c>
      <c r="U17" s="20">
        <f>+'6.งบรายจ่ายอื่น (GF)'!F17</f>
        <v>34661.25</v>
      </c>
      <c r="V17" s="21">
        <f t="shared" si="6"/>
        <v>256248.75</v>
      </c>
      <c r="W17" s="22">
        <f t="shared" si="7"/>
        <v>11.914767453851706</v>
      </c>
      <c r="X17" s="20">
        <f t="shared" si="8"/>
        <v>14409669</v>
      </c>
      <c r="Y17" s="20">
        <f t="shared" si="9"/>
        <v>3334499.35</v>
      </c>
      <c r="Z17" s="20">
        <f t="shared" si="10"/>
        <v>7905708.5</v>
      </c>
      <c r="AA17" s="33">
        <f t="shared" si="11"/>
        <v>3169461.1500000004</v>
      </c>
      <c r="AB17" s="22">
        <f t="shared" si="12"/>
        <v>54.863914639538216</v>
      </c>
      <c r="AC17" s="178"/>
    </row>
    <row r="18" spans="1:29" s="14" customFormat="1" ht="35.25" customHeight="1" x14ac:dyDescent="0.5">
      <c r="A18" s="27">
        <v>12</v>
      </c>
      <c r="B18" s="28" t="s">
        <v>110</v>
      </c>
      <c r="C18" s="29" t="s">
        <v>116</v>
      </c>
      <c r="D18" s="20">
        <f>+'3.งบบุคลากร (GF)'!D19</f>
        <v>6297260</v>
      </c>
      <c r="E18" s="20">
        <f>+'3.งบบุคลากร (GF)'!E19</f>
        <v>0</v>
      </c>
      <c r="F18" s="20">
        <f>+'3.งบบุคลากร (GF)'!F19</f>
        <v>4033852.1</v>
      </c>
      <c r="G18" s="33">
        <f t="shared" si="0"/>
        <v>2263407.9</v>
      </c>
      <c r="H18" s="22">
        <f t="shared" si="1"/>
        <v>64.05725823612174</v>
      </c>
      <c r="I18" s="20">
        <f>+'4. งบดำเนินงาน (GF)'!D19</f>
        <v>8111654</v>
      </c>
      <c r="J18" s="20">
        <f>+'4. งบดำเนินงาน (GF)'!E19</f>
        <v>5260105.18</v>
      </c>
      <c r="K18" s="20">
        <f>+'4. งบดำเนินงาน (GF)'!F19</f>
        <v>2128577.89</v>
      </c>
      <c r="L18" s="21">
        <f t="shared" si="2"/>
        <v>722970.93000000017</v>
      </c>
      <c r="M18" s="22">
        <f t="shared" si="3"/>
        <v>26.240984760937781</v>
      </c>
      <c r="N18" s="20">
        <f>+'5.งบลงทุน'!F19</f>
        <v>882090</v>
      </c>
      <c r="O18" s="20">
        <f>+'5.งบลงทุน'!G19</f>
        <v>0</v>
      </c>
      <c r="P18" s="20">
        <f>+'5.งบลงทุน'!H19</f>
        <v>882090</v>
      </c>
      <c r="Q18" s="21">
        <f t="shared" si="4"/>
        <v>0</v>
      </c>
      <c r="R18" s="22">
        <f t="shared" si="5"/>
        <v>100</v>
      </c>
      <c r="S18" s="20">
        <f>+'6.งบรายจ่ายอื่น (GF)'!D18</f>
        <v>313710</v>
      </c>
      <c r="T18" s="20">
        <f>+'6.งบรายจ่ายอื่น (GF)'!E18</f>
        <v>0</v>
      </c>
      <c r="U18" s="20">
        <f>+'6.งบรายจ่ายอื่น (GF)'!F18</f>
        <v>57425</v>
      </c>
      <c r="V18" s="21">
        <f t="shared" si="6"/>
        <v>256285</v>
      </c>
      <c r="W18" s="22">
        <f t="shared" si="7"/>
        <v>18.305122565426668</v>
      </c>
      <c r="X18" s="20">
        <f t="shared" si="8"/>
        <v>15604714</v>
      </c>
      <c r="Y18" s="20">
        <f t="shared" si="9"/>
        <v>5260105.18</v>
      </c>
      <c r="Z18" s="20">
        <f t="shared" si="10"/>
        <v>7101944.9900000002</v>
      </c>
      <c r="AA18" s="33">
        <f t="shared" si="11"/>
        <v>3242663.83</v>
      </c>
      <c r="AB18" s="22">
        <f t="shared" si="12"/>
        <v>45.511535744903753</v>
      </c>
      <c r="AC18" s="178" t="s">
        <v>305</v>
      </c>
    </row>
    <row r="19" spans="1:29" s="14" customFormat="1" ht="35.25" customHeight="1" x14ac:dyDescent="0.5">
      <c r="A19" s="27">
        <v>13</v>
      </c>
      <c r="B19" s="28" t="s">
        <v>110</v>
      </c>
      <c r="C19" s="29" t="s">
        <v>117</v>
      </c>
      <c r="D19" s="20">
        <f>+'3.งบบุคลากร (GF)'!D20</f>
        <v>5907977</v>
      </c>
      <c r="E19" s="20">
        <f>+'3.งบบุคลากร (GF)'!E20</f>
        <v>0</v>
      </c>
      <c r="F19" s="20">
        <f>+'3.งบบุคลากร (GF)'!F20</f>
        <v>3522239.99</v>
      </c>
      <c r="G19" s="33">
        <f t="shared" si="0"/>
        <v>2385737.0099999998</v>
      </c>
      <c r="H19" s="22">
        <f t="shared" si="1"/>
        <v>59.618376814940206</v>
      </c>
      <c r="I19" s="20">
        <f>+'4. งบดำเนินงาน (GF)'!D20</f>
        <v>5060566</v>
      </c>
      <c r="J19" s="20">
        <f>+'4. งบดำเนินงาน (GF)'!E20</f>
        <v>999581.05</v>
      </c>
      <c r="K19" s="20">
        <f>+'4. งบดำเนินงาน (GF)'!F20</f>
        <v>2821270.41</v>
      </c>
      <c r="L19" s="21">
        <f t="shared" si="2"/>
        <v>1239714.54</v>
      </c>
      <c r="M19" s="22">
        <f t="shared" si="3"/>
        <v>55.75009613549156</v>
      </c>
      <c r="N19" s="20">
        <f>+'5.งบลงทุน'!F20</f>
        <v>218910</v>
      </c>
      <c r="O19" s="20">
        <f>+'5.งบลงทุน'!G20</f>
        <v>0</v>
      </c>
      <c r="P19" s="20">
        <f>+'5.งบลงทุน'!H20</f>
        <v>218910</v>
      </c>
      <c r="Q19" s="21">
        <f t="shared" si="4"/>
        <v>0</v>
      </c>
      <c r="R19" s="22">
        <f t="shared" si="5"/>
        <v>100</v>
      </c>
      <c r="S19" s="20">
        <f>+'6.งบรายจ่ายอื่น (GF)'!D19</f>
        <v>236910</v>
      </c>
      <c r="T19" s="20">
        <f>+'6.งบรายจ่ายอื่น (GF)'!E19</f>
        <v>0</v>
      </c>
      <c r="U19" s="20">
        <f>+'6.งบรายจ่ายอื่น (GF)'!F19</f>
        <v>39920</v>
      </c>
      <c r="V19" s="21">
        <f t="shared" si="6"/>
        <v>196990</v>
      </c>
      <c r="W19" s="22">
        <f t="shared" si="7"/>
        <v>16.850280697311216</v>
      </c>
      <c r="X19" s="20">
        <f t="shared" si="8"/>
        <v>11424363</v>
      </c>
      <c r="Y19" s="20">
        <f t="shared" si="9"/>
        <v>999581.05</v>
      </c>
      <c r="Z19" s="20">
        <f t="shared" si="10"/>
        <v>6602340.4000000004</v>
      </c>
      <c r="AA19" s="33">
        <f t="shared" si="11"/>
        <v>3822441.5499999989</v>
      </c>
      <c r="AB19" s="22">
        <f t="shared" si="12"/>
        <v>57.791759593073152</v>
      </c>
      <c r="AC19" s="178"/>
    </row>
    <row r="20" spans="1:29" s="14" customFormat="1" ht="35.25" customHeight="1" x14ac:dyDescent="0.5">
      <c r="A20" s="27">
        <v>14</v>
      </c>
      <c r="B20" s="28" t="s">
        <v>110</v>
      </c>
      <c r="C20" s="29" t="s">
        <v>118</v>
      </c>
      <c r="D20" s="20">
        <f>+'3.งบบุคลากร (GF)'!D21</f>
        <v>8959202</v>
      </c>
      <c r="E20" s="20">
        <f>+'3.งบบุคลากร (GF)'!E21</f>
        <v>0</v>
      </c>
      <c r="F20" s="20">
        <f>+'3.งบบุคลากร (GF)'!F21</f>
        <v>5904350</v>
      </c>
      <c r="G20" s="33">
        <f t="shared" si="0"/>
        <v>3054852</v>
      </c>
      <c r="H20" s="22">
        <f t="shared" si="1"/>
        <v>65.902632846095003</v>
      </c>
      <c r="I20" s="20">
        <f>+'4. งบดำเนินงาน (GF)'!D21</f>
        <v>6707830</v>
      </c>
      <c r="J20" s="20">
        <f>+'4. งบดำเนินงาน (GF)'!E21</f>
        <v>2312255.4</v>
      </c>
      <c r="K20" s="20">
        <f>+'4. งบดำเนินงาน (GF)'!F21</f>
        <v>3673042.67</v>
      </c>
      <c r="L20" s="21">
        <f t="shared" si="2"/>
        <v>722531.9299999997</v>
      </c>
      <c r="M20" s="22">
        <f t="shared" si="3"/>
        <v>54.757539621606391</v>
      </c>
      <c r="N20" s="20">
        <f>+'5.งบลงทุน'!F21</f>
        <v>580280</v>
      </c>
      <c r="O20" s="20">
        <f>+'5.งบลงทุน'!G21</f>
        <v>0</v>
      </c>
      <c r="P20" s="20">
        <f>+'5.งบลงทุน'!H21</f>
        <v>580280</v>
      </c>
      <c r="Q20" s="21">
        <f t="shared" si="4"/>
        <v>0</v>
      </c>
      <c r="R20" s="22">
        <f t="shared" si="5"/>
        <v>100</v>
      </c>
      <c r="S20" s="20">
        <f>+'6.งบรายจ่ายอื่น (GF)'!D20</f>
        <v>363860</v>
      </c>
      <c r="T20" s="20">
        <f>+'6.งบรายจ่ายอื่น (GF)'!E20</f>
        <v>17100</v>
      </c>
      <c r="U20" s="20">
        <f>+'6.งบรายจ่ายอื่น (GF)'!F20</f>
        <v>84830.26</v>
      </c>
      <c r="V20" s="21">
        <f t="shared" si="6"/>
        <v>261929.74</v>
      </c>
      <c r="W20" s="22">
        <f t="shared" si="7"/>
        <v>23.313983400208873</v>
      </c>
      <c r="X20" s="20">
        <f t="shared" si="8"/>
        <v>16611172</v>
      </c>
      <c r="Y20" s="20">
        <f t="shared" si="9"/>
        <v>2329355.4</v>
      </c>
      <c r="Z20" s="20">
        <f t="shared" si="10"/>
        <v>10242502.93</v>
      </c>
      <c r="AA20" s="33">
        <f t="shared" si="11"/>
        <v>4039313.67</v>
      </c>
      <c r="AB20" s="22">
        <f t="shared" si="12"/>
        <v>61.660326736728749</v>
      </c>
      <c r="AC20" s="178" t="s">
        <v>306</v>
      </c>
    </row>
    <row r="21" spans="1:29" s="14" customFormat="1" ht="35.25" customHeight="1" x14ac:dyDescent="0.5">
      <c r="A21" s="27">
        <v>15</v>
      </c>
      <c r="B21" s="28" t="s">
        <v>110</v>
      </c>
      <c r="C21" s="29" t="s">
        <v>119</v>
      </c>
      <c r="D21" s="20">
        <f>+'3.งบบุคลากร (GF)'!D22</f>
        <v>6574376</v>
      </c>
      <c r="E21" s="20">
        <f>+'3.งบบุคลากร (GF)'!E22</f>
        <v>0</v>
      </c>
      <c r="F21" s="20">
        <f>+'3.งบบุคลากร (GF)'!F22</f>
        <v>4258915.49</v>
      </c>
      <c r="G21" s="33">
        <f t="shared" si="0"/>
        <v>2315460.5099999998</v>
      </c>
      <c r="H21" s="22">
        <f t="shared" si="1"/>
        <v>64.780528068367246</v>
      </c>
      <c r="I21" s="20">
        <f>+'4. งบดำเนินงาน (GF)'!D22</f>
        <v>4472637</v>
      </c>
      <c r="J21" s="20">
        <f>+'4. งบดำเนินงาน (GF)'!E22</f>
        <v>79290</v>
      </c>
      <c r="K21" s="20">
        <f>+'4. งบดำเนินงาน (GF)'!F22</f>
        <v>2448020.89</v>
      </c>
      <c r="L21" s="21">
        <f t="shared" si="2"/>
        <v>1945326.1099999999</v>
      </c>
      <c r="M21" s="22">
        <f t="shared" si="3"/>
        <v>54.733279047684846</v>
      </c>
      <c r="N21" s="20">
        <f>+'5.งบลงทุน'!F22</f>
        <v>540050</v>
      </c>
      <c r="O21" s="20">
        <f>+'5.งบลงทุน'!G22</f>
        <v>0</v>
      </c>
      <c r="P21" s="20">
        <f>+'5.งบลงทุน'!H22</f>
        <v>540050</v>
      </c>
      <c r="Q21" s="21">
        <f t="shared" si="4"/>
        <v>0</v>
      </c>
      <c r="R21" s="22">
        <f t="shared" si="5"/>
        <v>100</v>
      </c>
      <c r="S21" s="20">
        <f>+'6.งบรายจ่ายอื่น (GF)'!D21</f>
        <v>357860</v>
      </c>
      <c r="T21" s="20">
        <f>+'6.งบรายจ่ายอื่น (GF)'!E21</f>
        <v>0</v>
      </c>
      <c r="U21" s="20">
        <f>+'6.งบรายจ่ายอื่น (GF)'!F21</f>
        <v>29500</v>
      </c>
      <c r="V21" s="21">
        <f t="shared" si="6"/>
        <v>328360</v>
      </c>
      <c r="W21" s="22">
        <f t="shared" si="7"/>
        <v>8.2434471581065214</v>
      </c>
      <c r="X21" s="20">
        <f t="shared" si="8"/>
        <v>11944923</v>
      </c>
      <c r="Y21" s="20">
        <f t="shared" si="9"/>
        <v>79290</v>
      </c>
      <c r="Z21" s="20">
        <f t="shared" si="10"/>
        <v>7276486.3800000008</v>
      </c>
      <c r="AA21" s="33">
        <f t="shared" si="11"/>
        <v>4589146.6199999992</v>
      </c>
      <c r="AB21" s="22">
        <f t="shared" si="12"/>
        <v>60.916980209918485</v>
      </c>
      <c r="AC21" s="178"/>
    </row>
    <row r="22" spans="1:29" s="14" customFormat="1" ht="35.25" customHeight="1" x14ac:dyDescent="0.5">
      <c r="A22" s="27">
        <v>16</v>
      </c>
      <c r="B22" s="28" t="s">
        <v>110</v>
      </c>
      <c r="C22" s="29" t="s">
        <v>120</v>
      </c>
      <c r="D22" s="20">
        <f>+'3.งบบุคลากร (GF)'!D23</f>
        <v>5130925</v>
      </c>
      <c r="E22" s="20">
        <f>+'3.งบบุคลากร (GF)'!E23</f>
        <v>0</v>
      </c>
      <c r="F22" s="20">
        <f>+'3.งบบุคลากร (GF)'!F23</f>
        <v>3396386.67</v>
      </c>
      <c r="G22" s="33">
        <f t="shared" si="0"/>
        <v>1734538.33</v>
      </c>
      <c r="H22" s="22">
        <f t="shared" si="1"/>
        <v>66.194432193025619</v>
      </c>
      <c r="I22" s="20">
        <f>+'4. งบดำเนินงาน (GF)'!D23</f>
        <v>3587535.03</v>
      </c>
      <c r="J22" s="20">
        <f>+'4. งบดำเนินงาน (GF)'!E23</f>
        <v>478123</v>
      </c>
      <c r="K22" s="20">
        <f>+'4. งบดำเนินงาน (GF)'!F23</f>
        <v>2723579.27</v>
      </c>
      <c r="L22" s="21">
        <f t="shared" si="2"/>
        <v>385832.75999999978</v>
      </c>
      <c r="M22" s="22">
        <f t="shared" si="3"/>
        <v>75.917844626593094</v>
      </c>
      <c r="N22" s="20">
        <f>+'5.งบลงทุน'!F23</f>
        <v>95400</v>
      </c>
      <c r="O22" s="20">
        <f>+'5.งบลงทุน'!G23</f>
        <v>0</v>
      </c>
      <c r="P22" s="20">
        <f>+'5.งบลงทุน'!H23</f>
        <v>95400</v>
      </c>
      <c r="Q22" s="21">
        <f t="shared" si="4"/>
        <v>0</v>
      </c>
      <c r="R22" s="22">
        <f t="shared" si="5"/>
        <v>100</v>
      </c>
      <c r="S22" s="20">
        <f>+'6.งบรายจ่ายอื่น (GF)'!D22</f>
        <v>383910</v>
      </c>
      <c r="T22" s="20">
        <f>+'6.งบรายจ่ายอื่น (GF)'!E22</f>
        <v>20000</v>
      </c>
      <c r="U22" s="20">
        <f>+'6.งบรายจ่ายอื่น (GF)'!F22</f>
        <v>48500</v>
      </c>
      <c r="V22" s="21">
        <f t="shared" si="6"/>
        <v>315410</v>
      </c>
      <c r="W22" s="22">
        <f t="shared" si="7"/>
        <v>12.63316923237217</v>
      </c>
      <c r="X22" s="20">
        <f t="shared" si="8"/>
        <v>9197770.0299999993</v>
      </c>
      <c r="Y22" s="20">
        <f t="shared" si="9"/>
        <v>498123</v>
      </c>
      <c r="Z22" s="20">
        <f t="shared" si="10"/>
        <v>6263865.9399999995</v>
      </c>
      <c r="AA22" s="33">
        <f t="shared" si="11"/>
        <v>2435781.09</v>
      </c>
      <c r="AB22" s="22">
        <f t="shared" si="12"/>
        <v>68.102006459928859</v>
      </c>
      <c r="AC22" s="178"/>
    </row>
    <row r="23" spans="1:29" s="14" customFormat="1" ht="35.25" customHeight="1" x14ac:dyDescent="0.5">
      <c r="A23" s="27">
        <v>17</v>
      </c>
      <c r="B23" s="28" t="s">
        <v>108</v>
      </c>
      <c r="C23" s="29" t="s">
        <v>121</v>
      </c>
      <c r="D23" s="20">
        <f>+'3.งบบุคลากร (GF)'!D24</f>
        <v>2713295</v>
      </c>
      <c r="E23" s="20">
        <f>+'3.งบบุคลากร (GF)'!E24</f>
        <v>0</v>
      </c>
      <c r="F23" s="20">
        <f>+'3.งบบุคลากร (GF)'!F24</f>
        <v>1758675.46</v>
      </c>
      <c r="G23" s="33">
        <f t="shared" si="0"/>
        <v>954619.54</v>
      </c>
      <c r="H23" s="22">
        <f t="shared" si="1"/>
        <v>64.81696461313642</v>
      </c>
      <c r="I23" s="20">
        <f>+'4. งบดำเนินงาน (GF)'!D24</f>
        <v>2707041</v>
      </c>
      <c r="J23" s="20">
        <f>+'4. งบดำเนินงาน (GF)'!E24</f>
        <v>0</v>
      </c>
      <c r="K23" s="20">
        <f>+'4. งบดำเนินงาน (GF)'!F24</f>
        <v>1705818.69</v>
      </c>
      <c r="L23" s="21">
        <f t="shared" si="2"/>
        <v>1001222.31</v>
      </c>
      <c r="M23" s="22">
        <f t="shared" si="3"/>
        <v>63.014143117891457</v>
      </c>
      <c r="N23" s="20">
        <f>+'5.งบลงทุน'!F24</f>
        <v>113099</v>
      </c>
      <c r="O23" s="20">
        <f>+'5.งบลงทุน'!G24</f>
        <v>0</v>
      </c>
      <c r="P23" s="20">
        <f>+'5.งบลงทุน'!H24</f>
        <v>113099</v>
      </c>
      <c r="Q23" s="21">
        <f t="shared" si="4"/>
        <v>0</v>
      </c>
      <c r="R23" s="22">
        <f t="shared" si="5"/>
        <v>100</v>
      </c>
      <c r="S23" s="20">
        <f>+'6.งบรายจ่ายอื่น (GF)'!D23</f>
        <v>90000</v>
      </c>
      <c r="T23" s="20">
        <f>+'6.งบรายจ่ายอื่น (GF)'!E23</f>
        <v>0</v>
      </c>
      <c r="U23" s="20">
        <f>+'6.งบรายจ่ายอื่น (GF)'!F23</f>
        <v>0</v>
      </c>
      <c r="V23" s="21">
        <f t="shared" si="6"/>
        <v>90000</v>
      </c>
      <c r="W23" s="22">
        <f t="shared" si="7"/>
        <v>0</v>
      </c>
      <c r="X23" s="20">
        <f t="shared" si="8"/>
        <v>5623435</v>
      </c>
      <c r="Y23" s="20">
        <f t="shared" si="9"/>
        <v>0</v>
      </c>
      <c r="Z23" s="20">
        <f t="shared" si="10"/>
        <v>3577593.15</v>
      </c>
      <c r="AA23" s="33">
        <f t="shared" si="11"/>
        <v>2045841.85</v>
      </c>
      <c r="AB23" s="22">
        <f t="shared" si="12"/>
        <v>63.619356318691331</v>
      </c>
      <c r="AC23" s="178"/>
    </row>
    <row r="24" spans="1:29" s="14" customFormat="1" ht="35.25" customHeight="1" x14ac:dyDescent="0.5">
      <c r="A24" s="27">
        <v>18</v>
      </c>
      <c r="B24" s="28" t="s">
        <v>108</v>
      </c>
      <c r="C24" s="29" t="s">
        <v>122</v>
      </c>
      <c r="D24" s="20">
        <f>+'3.งบบุคลากร (GF)'!D25</f>
        <v>2017610</v>
      </c>
      <c r="E24" s="20">
        <f>+'3.งบบุคลากร (GF)'!E25</f>
        <v>0</v>
      </c>
      <c r="F24" s="20">
        <f>+'3.งบบุคลากร (GF)'!F25</f>
        <v>1329600</v>
      </c>
      <c r="G24" s="33">
        <f t="shared" si="0"/>
        <v>688010</v>
      </c>
      <c r="H24" s="22">
        <f t="shared" si="1"/>
        <v>65.899752677673092</v>
      </c>
      <c r="I24" s="20">
        <f>+'4. งบดำเนินงาน (GF)'!D25</f>
        <v>1426473</v>
      </c>
      <c r="J24" s="20">
        <f>+'4. งบดำเนินงาน (GF)'!E25</f>
        <v>0</v>
      </c>
      <c r="K24" s="20">
        <f>+'4. งบดำเนินงาน (GF)'!F25</f>
        <v>777097.14</v>
      </c>
      <c r="L24" s="21">
        <f t="shared" si="2"/>
        <v>649375.86</v>
      </c>
      <c r="M24" s="22">
        <f t="shared" si="3"/>
        <v>54.476820802076169</v>
      </c>
      <c r="N24" s="20">
        <f>+'5.งบลงทุน'!F25</f>
        <v>275100</v>
      </c>
      <c r="O24" s="20">
        <f>+'5.งบลงทุน'!G25</f>
        <v>275100</v>
      </c>
      <c r="P24" s="20">
        <f>+'5.งบลงทุน'!H25</f>
        <v>0</v>
      </c>
      <c r="Q24" s="21">
        <f t="shared" si="4"/>
        <v>0</v>
      </c>
      <c r="R24" s="22">
        <f t="shared" si="5"/>
        <v>0</v>
      </c>
      <c r="S24" s="20">
        <f>+'6.งบรายจ่ายอื่น (GF)'!D24</f>
        <v>80000</v>
      </c>
      <c r="T24" s="20">
        <f>+'6.งบรายจ่ายอื่น (GF)'!E24</f>
        <v>0</v>
      </c>
      <c r="U24" s="20">
        <f>+'6.งบรายจ่ายอื่น (GF)'!F24</f>
        <v>0</v>
      </c>
      <c r="V24" s="21">
        <f t="shared" si="6"/>
        <v>80000</v>
      </c>
      <c r="W24" s="22">
        <f t="shared" si="7"/>
        <v>0</v>
      </c>
      <c r="X24" s="20">
        <f t="shared" si="8"/>
        <v>3799183</v>
      </c>
      <c r="Y24" s="20">
        <f t="shared" si="9"/>
        <v>275100</v>
      </c>
      <c r="Z24" s="20">
        <f t="shared" si="10"/>
        <v>2106697.14</v>
      </c>
      <c r="AA24" s="33">
        <f t="shared" si="11"/>
        <v>1417385.8599999999</v>
      </c>
      <c r="AB24" s="22">
        <f t="shared" si="12"/>
        <v>55.451320454950448</v>
      </c>
      <c r="AC24" s="178"/>
    </row>
    <row r="25" spans="1:29" s="14" customFormat="1" ht="35.25" customHeight="1" x14ac:dyDescent="0.5">
      <c r="A25" s="27">
        <v>19</v>
      </c>
      <c r="B25" s="28" t="s">
        <v>108</v>
      </c>
      <c r="C25" s="29" t="s">
        <v>19</v>
      </c>
      <c r="D25" s="20">
        <f>+'3.งบบุคลากร (GF)'!D26</f>
        <v>1515653</v>
      </c>
      <c r="E25" s="20">
        <f>+'3.งบบุคลากร (GF)'!E26</f>
        <v>0</v>
      </c>
      <c r="F25" s="20">
        <f>+'3.งบบุคลากร (GF)'!F26</f>
        <v>1055740</v>
      </c>
      <c r="G25" s="33">
        <f t="shared" si="0"/>
        <v>459913</v>
      </c>
      <c r="H25" s="22">
        <f t="shared" si="1"/>
        <v>69.655785328172087</v>
      </c>
      <c r="I25" s="20">
        <f>+'4. งบดำเนินงาน (GF)'!D26</f>
        <v>1549796</v>
      </c>
      <c r="J25" s="20">
        <f>+'4. งบดำเนินงาน (GF)'!E26</f>
        <v>2419.1999999999998</v>
      </c>
      <c r="K25" s="20">
        <f>+'4. งบดำเนินงาน (GF)'!F26</f>
        <v>975768.99</v>
      </c>
      <c r="L25" s="21">
        <f t="shared" si="2"/>
        <v>571607.81000000006</v>
      </c>
      <c r="M25" s="22">
        <f t="shared" si="3"/>
        <v>62.961124560909951</v>
      </c>
      <c r="N25" s="20">
        <f>+'5.งบลงทุน'!F26</f>
        <v>34950</v>
      </c>
      <c r="O25" s="20">
        <f>+'5.งบลงทุน'!G26</f>
        <v>0</v>
      </c>
      <c r="P25" s="20">
        <f>+'5.งบลงทุน'!H26</f>
        <v>34950</v>
      </c>
      <c r="Q25" s="21">
        <f t="shared" si="4"/>
        <v>0</v>
      </c>
      <c r="R25" s="22">
        <f t="shared" si="5"/>
        <v>100</v>
      </c>
      <c r="S25" s="20">
        <f>+'6.งบรายจ่ายอื่น (GF)'!D25</f>
        <v>91000</v>
      </c>
      <c r="T25" s="20">
        <f>+'6.งบรายจ่ายอื่น (GF)'!E25</f>
        <v>0</v>
      </c>
      <c r="U25" s="20">
        <f>+'6.งบรายจ่ายอื่น (GF)'!F25</f>
        <v>0</v>
      </c>
      <c r="V25" s="21">
        <f t="shared" si="6"/>
        <v>91000</v>
      </c>
      <c r="W25" s="22">
        <f t="shared" si="7"/>
        <v>0</v>
      </c>
      <c r="X25" s="20">
        <f t="shared" si="8"/>
        <v>3191399</v>
      </c>
      <c r="Y25" s="20">
        <f t="shared" si="9"/>
        <v>2419.1999999999998</v>
      </c>
      <c r="Z25" s="20">
        <f t="shared" si="10"/>
        <v>2066458.99</v>
      </c>
      <c r="AA25" s="33">
        <f t="shared" si="11"/>
        <v>1122520.8099999998</v>
      </c>
      <c r="AB25" s="22">
        <f t="shared" si="12"/>
        <v>64.750881666629581</v>
      </c>
      <c r="AC25" s="178"/>
    </row>
    <row r="26" spans="1:29" s="14" customFormat="1" ht="35.25" customHeight="1" x14ac:dyDescent="0.5">
      <c r="A26" s="27">
        <v>20</v>
      </c>
      <c r="B26" s="28" t="s">
        <v>108</v>
      </c>
      <c r="C26" s="29" t="s">
        <v>20</v>
      </c>
      <c r="D26" s="20">
        <f>+'3.งบบุคลากร (GF)'!D27</f>
        <v>1829860</v>
      </c>
      <c r="E26" s="20">
        <f>+'3.งบบุคลากร (GF)'!E27</f>
        <v>0</v>
      </c>
      <c r="F26" s="20">
        <f>+'3.งบบุคลากร (GF)'!F27</f>
        <v>1135794.6100000001</v>
      </c>
      <c r="G26" s="33">
        <f t="shared" si="0"/>
        <v>694065.3899999999</v>
      </c>
      <c r="H26" s="22">
        <f t="shared" si="1"/>
        <v>62.070027761686696</v>
      </c>
      <c r="I26" s="20">
        <f>+'4. งบดำเนินงาน (GF)'!D27</f>
        <v>1647950</v>
      </c>
      <c r="J26" s="20">
        <f>+'4. งบดำเนินงาน (GF)'!E27</f>
        <v>0</v>
      </c>
      <c r="K26" s="20">
        <f>+'4. งบดำเนินงาน (GF)'!F27</f>
        <v>1128584.8700000001</v>
      </c>
      <c r="L26" s="21">
        <f t="shared" si="2"/>
        <v>519365.12999999989</v>
      </c>
      <c r="M26" s="22">
        <f t="shared" si="3"/>
        <v>68.484169422615992</v>
      </c>
      <c r="N26" s="20">
        <f>+'5.งบลงทุน'!F27</f>
        <v>177100</v>
      </c>
      <c r="O26" s="20">
        <f>+'5.งบลงทุน'!G27</f>
        <v>0</v>
      </c>
      <c r="P26" s="20">
        <f>+'5.งบลงทุน'!H27</f>
        <v>177100</v>
      </c>
      <c r="Q26" s="21">
        <f t="shared" si="4"/>
        <v>0</v>
      </c>
      <c r="R26" s="22">
        <f t="shared" si="5"/>
        <v>100</v>
      </c>
      <c r="S26" s="20">
        <f>+'6.งบรายจ่ายอื่น (GF)'!D26</f>
        <v>83000</v>
      </c>
      <c r="T26" s="20">
        <f>+'6.งบรายจ่ายอื่น (GF)'!E26</f>
        <v>0</v>
      </c>
      <c r="U26" s="20">
        <f>+'6.งบรายจ่ายอื่น (GF)'!F26</f>
        <v>4000</v>
      </c>
      <c r="V26" s="21">
        <f t="shared" si="6"/>
        <v>79000</v>
      </c>
      <c r="W26" s="22">
        <f t="shared" si="7"/>
        <v>4.8192771084337354</v>
      </c>
      <c r="X26" s="20">
        <f t="shared" si="8"/>
        <v>3737910</v>
      </c>
      <c r="Y26" s="20">
        <f t="shared" si="9"/>
        <v>0</v>
      </c>
      <c r="Z26" s="20">
        <f t="shared" si="10"/>
        <v>2445479.4800000004</v>
      </c>
      <c r="AA26" s="33">
        <f t="shared" si="11"/>
        <v>1292430.5199999996</v>
      </c>
      <c r="AB26" s="22">
        <f t="shared" si="12"/>
        <v>65.423712181406202</v>
      </c>
      <c r="AC26" s="178" t="s">
        <v>305</v>
      </c>
    </row>
    <row r="27" spans="1:29" s="14" customFormat="1" ht="35.25" customHeight="1" x14ac:dyDescent="0.5">
      <c r="A27" s="27">
        <v>21</v>
      </c>
      <c r="B27" s="28" t="s">
        <v>108</v>
      </c>
      <c r="C27" s="29" t="s">
        <v>123</v>
      </c>
      <c r="D27" s="20">
        <f>+'3.งบบุคลากร (GF)'!D28</f>
        <v>1082515</v>
      </c>
      <c r="E27" s="20">
        <f>+'3.งบบุคลากร (GF)'!E28</f>
        <v>0</v>
      </c>
      <c r="F27" s="20">
        <f>+'3.งบบุคลากร (GF)'!F28</f>
        <v>671220</v>
      </c>
      <c r="G27" s="33">
        <f t="shared" si="0"/>
        <v>411295</v>
      </c>
      <c r="H27" s="22">
        <f t="shared" si="1"/>
        <v>62.005607312600752</v>
      </c>
      <c r="I27" s="20">
        <f>+'4. งบดำเนินงาน (GF)'!D28</f>
        <v>602165</v>
      </c>
      <c r="J27" s="20">
        <f>+'4. งบดำเนินงาน (GF)'!E28</f>
        <v>26800</v>
      </c>
      <c r="K27" s="20">
        <f>+'4. งบดำเนินงาน (GF)'!F28</f>
        <v>299903.09999999998</v>
      </c>
      <c r="L27" s="21">
        <f t="shared" si="2"/>
        <v>275461.90000000002</v>
      </c>
      <c r="M27" s="22">
        <f t="shared" si="3"/>
        <v>49.804140061278879</v>
      </c>
      <c r="N27" s="20">
        <f>+'5.งบลงทุน'!F28</f>
        <v>12900</v>
      </c>
      <c r="O27" s="20">
        <f>+'5.งบลงทุน'!G28</f>
        <v>0</v>
      </c>
      <c r="P27" s="20">
        <f>+'5.งบลงทุน'!H28</f>
        <v>12900</v>
      </c>
      <c r="Q27" s="21">
        <f t="shared" si="4"/>
        <v>0</v>
      </c>
      <c r="R27" s="22">
        <f t="shared" si="5"/>
        <v>100</v>
      </c>
      <c r="S27" s="20">
        <f>+'6.งบรายจ่ายอื่น (GF)'!D27</f>
        <v>5000</v>
      </c>
      <c r="T27" s="20">
        <f>+'6.งบรายจ่ายอื่น (GF)'!E27</f>
        <v>0</v>
      </c>
      <c r="U27" s="20">
        <f>+'6.งบรายจ่ายอื่น (GF)'!F27</f>
        <v>5000</v>
      </c>
      <c r="V27" s="21">
        <f t="shared" si="6"/>
        <v>0</v>
      </c>
      <c r="W27" s="22">
        <f t="shared" si="7"/>
        <v>100</v>
      </c>
      <c r="X27" s="20">
        <f t="shared" si="8"/>
        <v>1702580</v>
      </c>
      <c r="Y27" s="20">
        <f t="shared" si="9"/>
        <v>26800</v>
      </c>
      <c r="Z27" s="20">
        <f t="shared" si="10"/>
        <v>989023.1</v>
      </c>
      <c r="AA27" s="33">
        <f t="shared" si="11"/>
        <v>686756.9</v>
      </c>
      <c r="AB27" s="22">
        <f t="shared" si="12"/>
        <v>58.089669795251915</v>
      </c>
      <c r="AC27" s="178"/>
    </row>
    <row r="28" spans="1:29" s="14" customFormat="1" ht="35.25" customHeight="1" x14ac:dyDescent="0.5">
      <c r="A28" s="27">
        <v>22</v>
      </c>
      <c r="B28" s="28" t="s">
        <v>108</v>
      </c>
      <c r="C28" s="29" t="s">
        <v>124</v>
      </c>
      <c r="D28" s="20">
        <f>+'3.งบบุคลากร (GF)'!D29</f>
        <v>1086289</v>
      </c>
      <c r="E28" s="20">
        <f>+'3.งบบุคลากร (GF)'!E29</f>
        <v>0</v>
      </c>
      <c r="F28" s="20">
        <f>+'3.งบบุคลากร (GF)'!F29</f>
        <v>664880</v>
      </c>
      <c r="G28" s="33">
        <f t="shared" si="0"/>
        <v>421409</v>
      </c>
      <c r="H28" s="22">
        <f t="shared" si="1"/>
        <v>61.206548165359308</v>
      </c>
      <c r="I28" s="20">
        <f>+'4. งบดำเนินงาน (GF)'!D29</f>
        <v>619520</v>
      </c>
      <c r="J28" s="20">
        <f>+'4. งบดำเนินงาน (GF)'!E29</f>
        <v>0</v>
      </c>
      <c r="K28" s="20">
        <f>+'4. งบดำเนินงาน (GF)'!F29</f>
        <v>408010.18</v>
      </c>
      <c r="L28" s="21">
        <f t="shared" si="2"/>
        <v>211509.82</v>
      </c>
      <c r="M28" s="22">
        <f t="shared" si="3"/>
        <v>65.859081224173551</v>
      </c>
      <c r="N28" s="20">
        <f>+'5.งบลงทุน'!F29</f>
        <v>79900</v>
      </c>
      <c r="O28" s="20">
        <f>+'5.งบลงทุน'!G29</f>
        <v>0</v>
      </c>
      <c r="P28" s="20">
        <f>+'5.งบลงทุน'!H29</f>
        <v>79900</v>
      </c>
      <c r="Q28" s="21">
        <f t="shared" si="4"/>
        <v>0</v>
      </c>
      <c r="R28" s="22">
        <f t="shared" si="5"/>
        <v>100</v>
      </c>
      <c r="S28" s="20">
        <f>+'6.งบรายจ่ายอื่น (GF)'!D28</f>
        <v>5000</v>
      </c>
      <c r="T28" s="20">
        <f>+'6.งบรายจ่ายอื่น (GF)'!E28</f>
        <v>0</v>
      </c>
      <c r="U28" s="20">
        <f>+'6.งบรายจ่ายอื่น (GF)'!F28</f>
        <v>0</v>
      </c>
      <c r="V28" s="21">
        <f t="shared" si="6"/>
        <v>5000</v>
      </c>
      <c r="W28" s="22">
        <f t="shared" si="7"/>
        <v>0</v>
      </c>
      <c r="X28" s="20">
        <f t="shared" si="8"/>
        <v>1790709</v>
      </c>
      <c r="Y28" s="20">
        <f t="shared" si="9"/>
        <v>0</v>
      </c>
      <c r="Z28" s="20">
        <f t="shared" si="10"/>
        <v>1152790.18</v>
      </c>
      <c r="AA28" s="33">
        <f t="shared" si="11"/>
        <v>637918.82000000007</v>
      </c>
      <c r="AB28" s="22">
        <f t="shared" si="12"/>
        <v>64.376187309049101</v>
      </c>
      <c r="AC28" s="178" t="s">
        <v>305</v>
      </c>
    </row>
    <row r="29" spans="1:29" s="14" customFormat="1" ht="35.25" customHeight="1" x14ac:dyDescent="0.5">
      <c r="A29" s="27">
        <v>23</v>
      </c>
      <c r="B29" s="28" t="s">
        <v>108</v>
      </c>
      <c r="C29" s="29" t="s">
        <v>125</v>
      </c>
      <c r="D29" s="20">
        <f>+'3.งบบุคลากร (GF)'!D30</f>
        <v>1828125</v>
      </c>
      <c r="E29" s="20">
        <f>+'3.งบบุคลากร (GF)'!E30</f>
        <v>0</v>
      </c>
      <c r="F29" s="20">
        <f>+'3.งบบุคลากร (GF)'!F30</f>
        <v>1120923.55</v>
      </c>
      <c r="G29" s="33">
        <f t="shared" si="0"/>
        <v>707201.45</v>
      </c>
      <c r="H29" s="22">
        <f t="shared" si="1"/>
        <v>61.31547623931624</v>
      </c>
      <c r="I29" s="20">
        <f>+'4. งบดำเนินงาน (GF)'!D30</f>
        <v>1989950</v>
      </c>
      <c r="J29" s="20">
        <f>+'4. งบดำเนินงาน (GF)'!E30</f>
        <v>188431</v>
      </c>
      <c r="K29" s="20">
        <f>+'4. งบดำเนินงาน (GF)'!F30</f>
        <v>1110775.9099999999</v>
      </c>
      <c r="L29" s="21">
        <f t="shared" si="2"/>
        <v>690743.09000000008</v>
      </c>
      <c r="M29" s="22">
        <f t="shared" si="3"/>
        <v>55.819287419281885</v>
      </c>
      <c r="N29" s="20">
        <f>+'5.งบลงทุน'!F30</f>
        <v>419200</v>
      </c>
      <c r="O29" s="20">
        <f>+'5.งบลงทุน'!G30</f>
        <v>0</v>
      </c>
      <c r="P29" s="20">
        <f>+'5.งบลงทุน'!H30</f>
        <v>419200</v>
      </c>
      <c r="Q29" s="21">
        <f t="shared" si="4"/>
        <v>0</v>
      </c>
      <c r="R29" s="22">
        <f t="shared" si="5"/>
        <v>100</v>
      </c>
      <c r="S29" s="20">
        <f>+'6.งบรายจ่ายอื่น (GF)'!D29</f>
        <v>93000</v>
      </c>
      <c r="T29" s="20">
        <f>+'6.งบรายจ่ายอื่น (GF)'!E29</f>
        <v>0</v>
      </c>
      <c r="U29" s="20">
        <f>+'6.งบรายจ่ายอื่น (GF)'!F29</f>
        <v>0</v>
      </c>
      <c r="V29" s="21">
        <f t="shared" si="6"/>
        <v>93000</v>
      </c>
      <c r="W29" s="22">
        <f t="shared" si="7"/>
        <v>0</v>
      </c>
      <c r="X29" s="20">
        <f t="shared" si="8"/>
        <v>4330275</v>
      </c>
      <c r="Y29" s="20">
        <f t="shared" si="9"/>
        <v>188431</v>
      </c>
      <c r="Z29" s="20">
        <f t="shared" si="10"/>
        <v>2650899.46</v>
      </c>
      <c r="AA29" s="33">
        <f t="shared" si="11"/>
        <v>1490944.54</v>
      </c>
      <c r="AB29" s="22">
        <f t="shared" si="12"/>
        <v>61.217808568739862</v>
      </c>
      <c r="AC29" s="178"/>
    </row>
    <row r="30" spans="1:29" s="14" customFormat="1" ht="35.25" customHeight="1" x14ac:dyDescent="0.5">
      <c r="A30" s="27">
        <v>24</v>
      </c>
      <c r="B30" s="28" t="s">
        <v>108</v>
      </c>
      <c r="C30" s="29" t="s">
        <v>21</v>
      </c>
      <c r="D30" s="20">
        <f>+'3.งบบุคลากร (GF)'!D31</f>
        <v>3637338</v>
      </c>
      <c r="E30" s="20">
        <f>+'3.งบบุคลากร (GF)'!E31</f>
        <v>0</v>
      </c>
      <c r="F30" s="20">
        <f>+'3.งบบุคลากร (GF)'!F31</f>
        <v>2197050</v>
      </c>
      <c r="G30" s="33">
        <f t="shared" si="0"/>
        <v>1440288</v>
      </c>
      <c r="H30" s="22">
        <f t="shared" si="1"/>
        <v>60.402690099187922</v>
      </c>
      <c r="I30" s="20">
        <f>+'4. งบดำเนินงาน (GF)'!D31</f>
        <v>1740175</v>
      </c>
      <c r="J30" s="20">
        <f>+'4. งบดำเนินงาน (GF)'!E31</f>
        <v>28095.8</v>
      </c>
      <c r="K30" s="20">
        <f>+'4. งบดำเนินงาน (GF)'!F31</f>
        <v>801014.51</v>
      </c>
      <c r="L30" s="21">
        <f t="shared" si="2"/>
        <v>911064.69</v>
      </c>
      <c r="M30" s="22">
        <f t="shared" si="3"/>
        <v>46.030687143534415</v>
      </c>
      <c r="N30" s="20">
        <f>+'5.งบลงทุน'!F31</f>
        <v>367000</v>
      </c>
      <c r="O30" s="20">
        <f>+'5.งบลงทุน'!G31</f>
        <v>0</v>
      </c>
      <c r="P30" s="20">
        <f>+'5.งบลงทุน'!H31</f>
        <v>367000</v>
      </c>
      <c r="Q30" s="21">
        <f t="shared" si="4"/>
        <v>0</v>
      </c>
      <c r="R30" s="22">
        <f t="shared" si="5"/>
        <v>100</v>
      </c>
      <c r="S30" s="20">
        <f>+'6.งบรายจ่ายอื่น (GF)'!D30</f>
        <v>83000</v>
      </c>
      <c r="T30" s="20">
        <f>+'6.งบรายจ่ายอื่น (GF)'!E30</f>
        <v>0</v>
      </c>
      <c r="U30" s="20">
        <f>+'6.งบรายจ่ายอื่น (GF)'!F30</f>
        <v>0</v>
      </c>
      <c r="V30" s="21">
        <f t="shared" si="6"/>
        <v>83000</v>
      </c>
      <c r="W30" s="22">
        <f t="shared" si="7"/>
        <v>0</v>
      </c>
      <c r="X30" s="20">
        <f t="shared" si="8"/>
        <v>5827513</v>
      </c>
      <c r="Y30" s="20">
        <f t="shared" si="9"/>
        <v>28095.8</v>
      </c>
      <c r="Z30" s="20">
        <f t="shared" si="10"/>
        <v>3365064.51</v>
      </c>
      <c r="AA30" s="33">
        <f t="shared" si="11"/>
        <v>2434352.6900000004</v>
      </c>
      <c r="AB30" s="22">
        <f t="shared" si="12"/>
        <v>57.74443591974827</v>
      </c>
      <c r="AC30" s="178" t="s">
        <v>305</v>
      </c>
    </row>
    <row r="31" spans="1:29" s="14" customFormat="1" ht="35.25" customHeight="1" x14ac:dyDescent="0.5">
      <c r="A31" s="27">
        <v>25</v>
      </c>
      <c r="B31" s="28" t="s">
        <v>108</v>
      </c>
      <c r="C31" s="29" t="s">
        <v>22</v>
      </c>
      <c r="D31" s="20">
        <f>+'3.งบบุคลากร (GF)'!D32</f>
        <v>1489176</v>
      </c>
      <c r="E31" s="20">
        <f>+'3.งบบุคลากร (GF)'!E32</f>
        <v>0</v>
      </c>
      <c r="F31" s="20">
        <f>+'3.งบบุคลากร (GF)'!F32</f>
        <v>1012561.94</v>
      </c>
      <c r="G31" s="33">
        <f t="shared" si="0"/>
        <v>476614.06000000006</v>
      </c>
      <c r="H31" s="22">
        <f t="shared" si="1"/>
        <v>67.994779663384321</v>
      </c>
      <c r="I31" s="20">
        <f>+'4. งบดำเนินงาน (GF)'!D32</f>
        <v>1748452</v>
      </c>
      <c r="J31" s="20">
        <f>+'4. งบดำเนินงาน (GF)'!E32</f>
        <v>133044.21</v>
      </c>
      <c r="K31" s="20">
        <f>+'4. งบดำเนินงาน (GF)'!F32</f>
        <v>1285735.47</v>
      </c>
      <c r="L31" s="21">
        <f t="shared" si="2"/>
        <v>329672.32000000007</v>
      </c>
      <c r="M31" s="22">
        <f t="shared" si="3"/>
        <v>73.535645816985536</v>
      </c>
      <c r="N31" s="20">
        <f>+'5.งบลงทุน'!F32</f>
        <v>81435</v>
      </c>
      <c r="O31" s="20">
        <f>+'5.งบลงทุน'!G32</f>
        <v>0</v>
      </c>
      <c r="P31" s="20">
        <f>+'5.งบลงทุน'!H32</f>
        <v>81435</v>
      </c>
      <c r="Q31" s="21">
        <f t="shared" si="4"/>
        <v>0</v>
      </c>
      <c r="R31" s="22">
        <f t="shared" si="5"/>
        <v>100</v>
      </c>
      <c r="S31" s="20">
        <f>+'6.งบรายจ่ายอื่น (GF)'!D31</f>
        <v>97000</v>
      </c>
      <c r="T31" s="20">
        <f>+'6.งบรายจ่ายอื่น (GF)'!E31</f>
        <v>0</v>
      </c>
      <c r="U31" s="20">
        <f>+'6.งบรายจ่ายอื่น (GF)'!F31</f>
        <v>10000</v>
      </c>
      <c r="V31" s="21">
        <f t="shared" si="6"/>
        <v>87000</v>
      </c>
      <c r="W31" s="22">
        <f t="shared" si="7"/>
        <v>10.309278350515465</v>
      </c>
      <c r="X31" s="20">
        <f t="shared" si="8"/>
        <v>3416063</v>
      </c>
      <c r="Y31" s="20">
        <f t="shared" si="9"/>
        <v>133044.21</v>
      </c>
      <c r="Z31" s="20">
        <f t="shared" si="10"/>
        <v>2389732.41</v>
      </c>
      <c r="AA31" s="33">
        <f t="shared" si="11"/>
        <v>893286.37999999989</v>
      </c>
      <c r="AB31" s="22">
        <f t="shared" si="12"/>
        <v>69.955747595989891</v>
      </c>
      <c r="AC31" s="178" t="s">
        <v>305</v>
      </c>
    </row>
    <row r="32" spans="1:29" s="14" customFormat="1" ht="35.25" customHeight="1" x14ac:dyDescent="0.5">
      <c r="A32" s="27">
        <v>26</v>
      </c>
      <c r="B32" s="28" t="s">
        <v>108</v>
      </c>
      <c r="C32" s="29" t="s">
        <v>126</v>
      </c>
      <c r="D32" s="20">
        <f>+'3.งบบุคลากร (GF)'!D33</f>
        <v>954170</v>
      </c>
      <c r="E32" s="20">
        <f>+'3.งบบุคลากร (GF)'!E33</f>
        <v>0</v>
      </c>
      <c r="F32" s="20">
        <f>+'3.งบบุคลากร (GF)'!F33</f>
        <v>533225.16</v>
      </c>
      <c r="G32" s="33">
        <f t="shared" si="0"/>
        <v>420944.83999999997</v>
      </c>
      <c r="H32" s="22">
        <f t="shared" si="1"/>
        <v>55.883664336543802</v>
      </c>
      <c r="I32" s="20">
        <f>+'4. งบดำเนินงาน (GF)'!D33</f>
        <v>1485621</v>
      </c>
      <c r="J32" s="20">
        <f>+'4. งบดำเนินงาน (GF)'!E33</f>
        <v>240618</v>
      </c>
      <c r="K32" s="20">
        <f>+'4. งบดำเนินงาน (GF)'!F33</f>
        <v>733927.88</v>
      </c>
      <c r="L32" s="21">
        <f t="shared" si="2"/>
        <v>511075.12</v>
      </c>
      <c r="M32" s="22">
        <f t="shared" si="3"/>
        <v>49.402093804543689</v>
      </c>
      <c r="N32" s="20">
        <f>+'5.งบลงทุน'!F33</f>
        <v>168800</v>
      </c>
      <c r="O32" s="20">
        <f>+'5.งบลงทุน'!G33</f>
        <v>0</v>
      </c>
      <c r="P32" s="20">
        <f>+'5.งบลงทุน'!H33</f>
        <v>168800</v>
      </c>
      <c r="Q32" s="21">
        <f t="shared" si="4"/>
        <v>0</v>
      </c>
      <c r="R32" s="22">
        <f t="shared" si="5"/>
        <v>100</v>
      </c>
      <c r="S32" s="20">
        <f>+'6.งบรายจ่ายอื่น (GF)'!D32</f>
        <v>79000</v>
      </c>
      <c r="T32" s="20">
        <f>+'6.งบรายจ่ายอื่น (GF)'!E32</f>
        <v>0</v>
      </c>
      <c r="U32" s="20">
        <f>+'6.งบรายจ่ายอื่น (GF)'!F32</f>
        <v>3000</v>
      </c>
      <c r="V32" s="21">
        <f t="shared" si="6"/>
        <v>76000</v>
      </c>
      <c r="W32" s="22">
        <f t="shared" si="7"/>
        <v>3.7974683544303796</v>
      </c>
      <c r="X32" s="20">
        <f t="shared" si="8"/>
        <v>2687591</v>
      </c>
      <c r="Y32" s="20">
        <f t="shared" si="9"/>
        <v>240618</v>
      </c>
      <c r="Z32" s="20">
        <f t="shared" si="10"/>
        <v>1438953.04</v>
      </c>
      <c r="AA32" s="33">
        <f t="shared" si="11"/>
        <v>1008019.96</v>
      </c>
      <c r="AB32" s="22">
        <f t="shared" si="12"/>
        <v>53.540625787182648</v>
      </c>
      <c r="AC32" s="178"/>
    </row>
    <row r="33" spans="1:29" s="14" customFormat="1" ht="35.25" customHeight="1" x14ac:dyDescent="0.5">
      <c r="A33" s="27">
        <v>27</v>
      </c>
      <c r="B33" s="28" t="s">
        <v>108</v>
      </c>
      <c r="C33" s="29" t="s">
        <v>127</v>
      </c>
      <c r="D33" s="20">
        <f>+'3.งบบุคลากร (GF)'!D34</f>
        <v>974029</v>
      </c>
      <c r="E33" s="20">
        <f>+'3.งบบุคลากร (GF)'!E34</f>
        <v>0</v>
      </c>
      <c r="F33" s="20">
        <f>+'3.งบบุคลากร (GF)'!F34</f>
        <v>600320</v>
      </c>
      <c r="G33" s="33">
        <f t="shared" si="0"/>
        <v>373709</v>
      </c>
      <c r="H33" s="22">
        <f t="shared" si="1"/>
        <v>61.63266186119715</v>
      </c>
      <c r="I33" s="20">
        <f>+'4. งบดำเนินงาน (GF)'!D34</f>
        <v>1142461</v>
      </c>
      <c r="J33" s="20">
        <f>+'4. งบดำเนินงาน (GF)'!E34</f>
        <v>0</v>
      </c>
      <c r="K33" s="20">
        <f>+'4. งบดำเนินงาน (GF)'!F34</f>
        <v>461630.2</v>
      </c>
      <c r="L33" s="21">
        <f t="shared" si="2"/>
        <v>680830.8</v>
      </c>
      <c r="M33" s="22">
        <f t="shared" si="3"/>
        <v>40.40664845452055</v>
      </c>
      <c r="N33" s="20">
        <f>+'5.งบลงทุน'!F34</f>
        <v>458447.92</v>
      </c>
      <c r="O33" s="20">
        <f>+'5.งบลงทุน'!G34</f>
        <v>0</v>
      </c>
      <c r="P33" s="20">
        <f>+'5.งบลงทุน'!H34</f>
        <v>458447.92</v>
      </c>
      <c r="Q33" s="21">
        <f t="shared" si="4"/>
        <v>0</v>
      </c>
      <c r="R33" s="22">
        <f t="shared" si="5"/>
        <v>100</v>
      </c>
      <c r="S33" s="20">
        <f>+'6.งบรายจ่ายอื่น (GF)'!D33</f>
        <v>5000</v>
      </c>
      <c r="T33" s="20">
        <f>+'6.งบรายจ่ายอื่น (GF)'!E33</f>
        <v>0</v>
      </c>
      <c r="U33" s="20">
        <f>+'6.งบรายจ่ายอื่น (GF)'!F33</f>
        <v>0</v>
      </c>
      <c r="V33" s="21">
        <f t="shared" si="6"/>
        <v>5000</v>
      </c>
      <c r="W33" s="22">
        <f t="shared" si="7"/>
        <v>0</v>
      </c>
      <c r="X33" s="20">
        <f t="shared" si="8"/>
        <v>2579937.92</v>
      </c>
      <c r="Y33" s="20">
        <f t="shared" si="9"/>
        <v>0</v>
      </c>
      <c r="Z33" s="20">
        <f t="shared" si="10"/>
        <v>1520398.1199999999</v>
      </c>
      <c r="AA33" s="33">
        <f t="shared" si="11"/>
        <v>1059539.8</v>
      </c>
      <c r="AB33" s="22">
        <f t="shared" si="12"/>
        <v>58.931577702458824</v>
      </c>
      <c r="AC33" s="178" t="s">
        <v>304</v>
      </c>
    </row>
    <row r="34" spans="1:29" s="14" customFormat="1" ht="35.25" customHeight="1" x14ac:dyDescent="0.5">
      <c r="A34" s="27">
        <v>28</v>
      </c>
      <c r="B34" s="28" t="s">
        <v>108</v>
      </c>
      <c r="C34" s="29" t="s">
        <v>23</v>
      </c>
      <c r="D34" s="20">
        <f>+'3.งบบุคลากร (GF)'!D35</f>
        <v>3027160</v>
      </c>
      <c r="E34" s="20">
        <f>+'3.งบบุคลากร (GF)'!E35</f>
        <v>0</v>
      </c>
      <c r="F34" s="20">
        <f>+'3.งบบุคลากร (GF)'!F35</f>
        <v>2015630</v>
      </c>
      <c r="G34" s="33">
        <f t="shared" si="0"/>
        <v>1011530</v>
      </c>
      <c r="H34" s="22">
        <f t="shared" si="1"/>
        <v>66.584851808295568</v>
      </c>
      <c r="I34" s="20">
        <f>+'4. งบดำเนินงาน (GF)'!D35</f>
        <v>1717562</v>
      </c>
      <c r="J34" s="20">
        <f>+'4. งบดำเนินงาน (GF)'!E35</f>
        <v>0</v>
      </c>
      <c r="K34" s="20">
        <f>+'4. งบดำเนินงาน (GF)'!F35</f>
        <v>1225294.81</v>
      </c>
      <c r="L34" s="21">
        <f t="shared" si="2"/>
        <v>492267.18999999994</v>
      </c>
      <c r="M34" s="22">
        <f t="shared" si="3"/>
        <v>71.339189502329461</v>
      </c>
      <c r="N34" s="20">
        <f>+'5.งบลงทุน'!F35</f>
        <v>305150</v>
      </c>
      <c r="O34" s="20">
        <f>+'5.งบลงทุน'!G35</f>
        <v>0</v>
      </c>
      <c r="P34" s="20">
        <f>+'5.งบลงทุน'!H35</f>
        <v>305150</v>
      </c>
      <c r="Q34" s="21">
        <f t="shared" si="4"/>
        <v>0</v>
      </c>
      <c r="R34" s="22">
        <f t="shared" si="5"/>
        <v>100</v>
      </c>
      <c r="S34" s="20">
        <f>+'6.งบรายจ่ายอื่น (GF)'!D34</f>
        <v>108000</v>
      </c>
      <c r="T34" s="20">
        <f>+'6.งบรายจ่ายอื่น (GF)'!E34</f>
        <v>0</v>
      </c>
      <c r="U34" s="20">
        <f>+'6.งบรายจ่ายอื่น (GF)'!F34</f>
        <v>0</v>
      </c>
      <c r="V34" s="21">
        <f t="shared" si="6"/>
        <v>108000</v>
      </c>
      <c r="W34" s="22">
        <f t="shared" si="7"/>
        <v>0</v>
      </c>
      <c r="X34" s="20">
        <f t="shared" si="8"/>
        <v>5157872</v>
      </c>
      <c r="Y34" s="20">
        <f t="shared" si="9"/>
        <v>0</v>
      </c>
      <c r="Z34" s="20">
        <f t="shared" si="10"/>
        <v>3546074.81</v>
      </c>
      <c r="AA34" s="33">
        <f t="shared" si="11"/>
        <v>1611797.19</v>
      </c>
      <c r="AB34" s="22">
        <f t="shared" si="12"/>
        <v>68.750733054251825</v>
      </c>
      <c r="AC34" s="178"/>
    </row>
    <row r="35" spans="1:29" s="14" customFormat="1" ht="35.25" customHeight="1" x14ac:dyDescent="0.5">
      <c r="A35" s="27">
        <v>29</v>
      </c>
      <c r="B35" s="28" t="s">
        <v>108</v>
      </c>
      <c r="C35" s="29" t="s">
        <v>24</v>
      </c>
      <c r="D35" s="20">
        <f>+'3.งบบุคลากร (GF)'!D36</f>
        <v>2270199</v>
      </c>
      <c r="E35" s="20">
        <f>+'3.งบบุคลากร (GF)'!E36</f>
        <v>0</v>
      </c>
      <c r="F35" s="20">
        <f>+'3.งบบุคลากร (GF)'!F36</f>
        <v>1577116.13</v>
      </c>
      <c r="G35" s="33">
        <f t="shared" si="0"/>
        <v>693082.87000000011</v>
      </c>
      <c r="H35" s="22">
        <f t="shared" si="1"/>
        <v>69.470391362166936</v>
      </c>
      <c r="I35" s="20">
        <f>+'4. งบดำเนินงาน (GF)'!D36</f>
        <v>2942693</v>
      </c>
      <c r="J35" s="20">
        <f>+'4. งบดำเนินงาน (GF)'!E36</f>
        <v>930064</v>
      </c>
      <c r="K35" s="20">
        <f>+'4. งบดำเนินงาน (GF)'!F36</f>
        <v>1483422.55</v>
      </c>
      <c r="L35" s="21">
        <f t="shared" si="2"/>
        <v>529206.44999999995</v>
      </c>
      <c r="M35" s="22">
        <f t="shared" si="3"/>
        <v>50.41037410290506</v>
      </c>
      <c r="N35" s="20">
        <f>+'5.งบลงทุน'!F36</f>
        <v>5097570</v>
      </c>
      <c r="O35" s="20">
        <f>+'5.งบลงทุน'!G36</f>
        <v>5000000</v>
      </c>
      <c r="P35" s="20">
        <f>+'5.งบลงทุน'!H36</f>
        <v>97570</v>
      </c>
      <c r="Q35" s="21">
        <f t="shared" si="4"/>
        <v>0</v>
      </c>
      <c r="R35" s="22">
        <f t="shared" si="5"/>
        <v>1.9140492430707181</v>
      </c>
      <c r="S35" s="20">
        <f>+'6.งบรายจ่ายอื่น (GF)'!D35</f>
        <v>116000</v>
      </c>
      <c r="T35" s="20">
        <f>+'6.งบรายจ่ายอื่น (GF)'!E35</f>
        <v>0</v>
      </c>
      <c r="U35" s="20">
        <f>+'6.งบรายจ่ายอื่น (GF)'!F35</f>
        <v>36700</v>
      </c>
      <c r="V35" s="21">
        <f t="shared" si="6"/>
        <v>79300</v>
      </c>
      <c r="W35" s="22">
        <f t="shared" si="7"/>
        <v>31.637931034482758</v>
      </c>
      <c r="X35" s="20">
        <f t="shared" si="8"/>
        <v>10426462</v>
      </c>
      <c r="Y35" s="20">
        <f t="shared" si="9"/>
        <v>5930064</v>
      </c>
      <c r="Z35" s="20">
        <f t="shared" si="10"/>
        <v>3194808.6799999997</v>
      </c>
      <c r="AA35" s="33">
        <f t="shared" si="11"/>
        <v>1301589.3200000003</v>
      </c>
      <c r="AB35" s="22">
        <f t="shared" si="12"/>
        <v>30.641349673551776</v>
      </c>
      <c r="AC35" s="178"/>
    </row>
    <row r="36" spans="1:29" s="14" customFormat="1" ht="35.25" customHeight="1" x14ac:dyDescent="0.5">
      <c r="A36" s="27">
        <v>30</v>
      </c>
      <c r="B36" s="28" t="s">
        <v>108</v>
      </c>
      <c r="C36" s="29" t="s">
        <v>25</v>
      </c>
      <c r="D36" s="20">
        <f>+'3.งบบุคลากร (GF)'!D37</f>
        <v>1533276</v>
      </c>
      <c r="E36" s="20">
        <f>+'3.งบบุคลากร (GF)'!E37</f>
        <v>0</v>
      </c>
      <c r="F36" s="20">
        <f>+'3.งบบุคลากร (GF)'!F37</f>
        <v>949980</v>
      </c>
      <c r="G36" s="33">
        <f t="shared" si="0"/>
        <v>583296</v>
      </c>
      <c r="H36" s="22">
        <f t="shared" si="1"/>
        <v>61.957534064317187</v>
      </c>
      <c r="I36" s="20">
        <f>+'4. งบดำเนินงาน (GF)'!D37</f>
        <v>916208</v>
      </c>
      <c r="J36" s="20">
        <f>+'4. งบดำเนินงาน (GF)'!E37</f>
        <v>0</v>
      </c>
      <c r="K36" s="20">
        <f>+'4. งบดำเนินงาน (GF)'!F37</f>
        <v>444035.55</v>
      </c>
      <c r="L36" s="21">
        <f t="shared" si="2"/>
        <v>472172.45</v>
      </c>
      <c r="M36" s="22">
        <f t="shared" si="3"/>
        <v>48.464491687477079</v>
      </c>
      <c r="N36" s="20">
        <f>+'5.งบลงทุน'!F37</f>
        <v>116000</v>
      </c>
      <c r="O36" s="20">
        <f>+'5.งบลงทุน'!G37</f>
        <v>0</v>
      </c>
      <c r="P36" s="20">
        <f>+'5.งบลงทุน'!H37</f>
        <v>116000</v>
      </c>
      <c r="Q36" s="21">
        <f t="shared" si="4"/>
        <v>0</v>
      </c>
      <c r="R36" s="22">
        <f t="shared" si="5"/>
        <v>100</v>
      </c>
      <c r="S36" s="20">
        <f>+'6.งบรายจ่ายอื่น (GF)'!D36</f>
        <v>5000</v>
      </c>
      <c r="T36" s="20">
        <f>+'6.งบรายจ่ายอื่น (GF)'!E36</f>
        <v>0</v>
      </c>
      <c r="U36" s="20">
        <f>+'6.งบรายจ่ายอื่น (GF)'!F36</f>
        <v>0</v>
      </c>
      <c r="V36" s="21">
        <f t="shared" si="6"/>
        <v>5000</v>
      </c>
      <c r="W36" s="22">
        <f t="shared" si="7"/>
        <v>0</v>
      </c>
      <c r="X36" s="20">
        <f t="shared" si="8"/>
        <v>2570484</v>
      </c>
      <c r="Y36" s="20">
        <f t="shared" si="9"/>
        <v>0</v>
      </c>
      <c r="Z36" s="20">
        <f t="shared" si="10"/>
        <v>1510015.55</v>
      </c>
      <c r="AA36" s="33">
        <f t="shared" si="11"/>
        <v>1060468.45</v>
      </c>
      <c r="AB36" s="22">
        <f t="shared" si="12"/>
        <v>58.744405722813291</v>
      </c>
      <c r="AC36" s="178"/>
    </row>
    <row r="37" spans="1:29" s="14" customFormat="1" ht="35.25" customHeight="1" x14ac:dyDescent="0.5">
      <c r="A37" s="27">
        <v>31</v>
      </c>
      <c r="B37" s="28" t="s">
        <v>108</v>
      </c>
      <c r="C37" s="29" t="s">
        <v>173</v>
      </c>
      <c r="D37" s="20">
        <f>+'3.งบบุคลากร (GF)'!D38</f>
        <v>1142029</v>
      </c>
      <c r="E37" s="20">
        <f>+'3.งบบุคลากร (GF)'!E38</f>
        <v>0</v>
      </c>
      <c r="F37" s="20">
        <f>+'3.งบบุคลากร (GF)'!F38</f>
        <v>709490.55</v>
      </c>
      <c r="G37" s="33">
        <f t="shared" si="0"/>
        <v>432538.44999999995</v>
      </c>
      <c r="H37" s="22">
        <f t="shared" si="1"/>
        <v>62.125440772519788</v>
      </c>
      <c r="I37" s="20">
        <f>+'4. งบดำเนินงาน (GF)'!D38</f>
        <v>1197480</v>
      </c>
      <c r="J37" s="20">
        <f>+'4. งบดำเนินงาน (GF)'!E38</f>
        <v>144000</v>
      </c>
      <c r="K37" s="20">
        <f>+'4. งบดำเนินงาน (GF)'!F38</f>
        <v>783538.27</v>
      </c>
      <c r="L37" s="21">
        <f t="shared" si="2"/>
        <v>269941.73</v>
      </c>
      <c r="M37" s="22">
        <f t="shared" si="3"/>
        <v>65.432263586865758</v>
      </c>
      <c r="N37" s="20">
        <f>+'5.งบลงทุน'!F38</f>
        <v>0</v>
      </c>
      <c r="O37" s="20">
        <f>+'5.งบลงทุน'!G38</f>
        <v>0</v>
      </c>
      <c r="P37" s="20">
        <f>+'5.งบลงทุน'!H38</f>
        <v>0</v>
      </c>
      <c r="Q37" s="21">
        <f t="shared" si="4"/>
        <v>0</v>
      </c>
      <c r="R37" s="22" t="e">
        <f t="shared" si="5"/>
        <v>#DIV/0!</v>
      </c>
      <c r="S37" s="20">
        <f>+'6.งบรายจ่ายอื่น (GF)'!D37</f>
        <v>5000</v>
      </c>
      <c r="T37" s="20">
        <f>+'6.งบรายจ่ายอื่น (GF)'!E37</f>
        <v>0</v>
      </c>
      <c r="U37" s="20">
        <f>+'6.งบรายจ่ายอื่น (GF)'!F37</f>
        <v>0</v>
      </c>
      <c r="V37" s="21">
        <f t="shared" si="6"/>
        <v>5000</v>
      </c>
      <c r="W37" s="22">
        <f t="shared" si="7"/>
        <v>0</v>
      </c>
      <c r="X37" s="20">
        <f t="shared" si="8"/>
        <v>2344509</v>
      </c>
      <c r="Y37" s="20">
        <f t="shared" si="9"/>
        <v>144000</v>
      </c>
      <c r="Z37" s="20">
        <f t="shared" si="10"/>
        <v>1493028.82</v>
      </c>
      <c r="AA37" s="33">
        <f t="shared" si="11"/>
        <v>707480.17999999993</v>
      </c>
      <c r="AB37" s="22">
        <f t="shared" si="12"/>
        <v>63.681940227143507</v>
      </c>
      <c r="AC37" s="178" t="s">
        <v>305</v>
      </c>
    </row>
    <row r="38" spans="1:29" s="14" customFormat="1" ht="35.25" customHeight="1" x14ac:dyDescent="0.5">
      <c r="A38" s="27">
        <v>32</v>
      </c>
      <c r="B38" s="28" t="s">
        <v>108</v>
      </c>
      <c r="C38" s="29" t="s">
        <v>26</v>
      </c>
      <c r="D38" s="20">
        <f>+'3.งบบุคลากร (GF)'!D39</f>
        <v>3419186</v>
      </c>
      <c r="E38" s="20">
        <f>+'3.งบบุคลากร (GF)'!E39</f>
        <v>0</v>
      </c>
      <c r="F38" s="20">
        <f>+'3.งบบุคลากร (GF)'!F39</f>
        <v>2134000</v>
      </c>
      <c r="G38" s="33">
        <f t="shared" si="0"/>
        <v>1285186</v>
      </c>
      <c r="H38" s="22">
        <f t="shared" si="1"/>
        <v>62.412515727427525</v>
      </c>
      <c r="I38" s="20">
        <f>+'4. งบดำเนินงาน (GF)'!D39</f>
        <v>4735065</v>
      </c>
      <c r="J38" s="20">
        <f>+'4. งบดำเนินงาน (GF)'!E39</f>
        <v>297896.24</v>
      </c>
      <c r="K38" s="20">
        <f>+'4. งบดำเนินงาน (GF)'!F39</f>
        <v>1643039.53</v>
      </c>
      <c r="L38" s="21">
        <f t="shared" si="2"/>
        <v>2794129.2299999995</v>
      </c>
      <c r="M38" s="22">
        <f t="shared" si="3"/>
        <v>34.699408139064616</v>
      </c>
      <c r="N38" s="20">
        <f>+'5.งบลงทุน'!F39</f>
        <v>4247900</v>
      </c>
      <c r="O38" s="20">
        <f>+'5.งบลงทุน'!G39</f>
        <v>0</v>
      </c>
      <c r="P38" s="20">
        <f>+'5.งบลงทุน'!H39</f>
        <v>215900</v>
      </c>
      <c r="Q38" s="21">
        <f t="shared" si="4"/>
        <v>4032000</v>
      </c>
      <c r="R38" s="22">
        <f t="shared" si="5"/>
        <v>5.0825113585536386</v>
      </c>
      <c r="S38" s="20">
        <f>+'6.งบรายจ่ายอื่น (GF)'!D38</f>
        <v>192000</v>
      </c>
      <c r="T38" s="20">
        <f>+'6.งบรายจ่ายอื่น (GF)'!E38</f>
        <v>0</v>
      </c>
      <c r="U38" s="20">
        <f>+'6.งบรายจ่ายอื่น (GF)'!F38</f>
        <v>8500</v>
      </c>
      <c r="V38" s="21">
        <f t="shared" si="6"/>
        <v>183500</v>
      </c>
      <c r="W38" s="22">
        <f t="shared" si="7"/>
        <v>4.427083333333333</v>
      </c>
      <c r="X38" s="20">
        <f t="shared" si="8"/>
        <v>12594151</v>
      </c>
      <c r="Y38" s="20">
        <f t="shared" si="9"/>
        <v>297896.24</v>
      </c>
      <c r="Z38" s="20">
        <f t="shared" si="10"/>
        <v>4001439.5300000003</v>
      </c>
      <c r="AA38" s="33">
        <f t="shared" si="11"/>
        <v>8294815.2299999995</v>
      </c>
      <c r="AB38" s="22">
        <f t="shared" si="12"/>
        <v>31.772205446798278</v>
      </c>
      <c r="AC38" s="178" t="s">
        <v>305</v>
      </c>
    </row>
    <row r="39" spans="1:29" s="14" customFormat="1" ht="35.25" customHeight="1" x14ac:dyDescent="0.5">
      <c r="A39" s="27">
        <v>33</v>
      </c>
      <c r="B39" s="28" t="s">
        <v>108</v>
      </c>
      <c r="C39" s="29" t="s">
        <v>27</v>
      </c>
      <c r="D39" s="20">
        <f>+'3.งบบุคลากร (GF)'!D40</f>
        <v>660412</v>
      </c>
      <c r="E39" s="20">
        <f>+'3.งบบุคลากร (GF)'!E40</f>
        <v>0</v>
      </c>
      <c r="F39" s="20">
        <f>+'3.งบบุคลากร (GF)'!F40</f>
        <v>433280</v>
      </c>
      <c r="G39" s="33">
        <f t="shared" si="0"/>
        <v>227132</v>
      </c>
      <c r="H39" s="22">
        <f t="shared" si="1"/>
        <v>65.607529845005843</v>
      </c>
      <c r="I39" s="20">
        <f>+'4. งบดำเนินงาน (GF)'!D40</f>
        <v>430446</v>
      </c>
      <c r="J39" s="20">
        <f>+'4. งบดำเนินงาน (GF)'!E40</f>
        <v>0</v>
      </c>
      <c r="K39" s="20">
        <f>+'4. งบดำเนินงาน (GF)'!F40</f>
        <v>293073.42</v>
      </c>
      <c r="L39" s="21">
        <f t="shared" si="2"/>
        <v>137372.58000000002</v>
      </c>
      <c r="M39" s="22">
        <f t="shared" si="3"/>
        <v>68.085989880263725</v>
      </c>
      <c r="N39" s="20">
        <f>+'5.งบลงทุน'!F40</f>
        <v>0</v>
      </c>
      <c r="O39" s="20">
        <f>+'5.งบลงทุน'!G40</f>
        <v>0</v>
      </c>
      <c r="P39" s="20">
        <f>+'5.งบลงทุน'!H40</f>
        <v>0</v>
      </c>
      <c r="Q39" s="21">
        <f t="shared" si="4"/>
        <v>0</v>
      </c>
      <c r="R39" s="22" t="e">
        <f t="shared" si="5"/>
        <v>#DIV/0!</v>
      </c>
      <c r="S39" s="20">
        <f>+'6.งบรายจ่ายอื่น (GF)'!D39</f>
        <v>5000</v>
      </c>
      <c r="T39" s="20">
        <f>+'6.งบรายจ่ายอื่น (GF)'!E39</f>
        <v>0</v>
      </c>
      <c r="U39" s="20">
        <f>+'6.งบรายจ่ายอื่น (GF)'!F39</f>
        <v>0</v>
      </c>
      <c r="V39" s="21">
        <f t="shared" si="6"/>
        <v>5000</v>
      </c>
      <c r="W39" s="22">
        <f t="shared" si="7"/>
        <v>0</v>
      </c>
      <c r="X39" s="20">
        <f t="shared" si="8"/>
        <v>1095858</v>
      </c>
      <c r="Y39" s="20">
        <f t="shared" si="9"/>
        <v>0</v>
      </c>
      <c r="Z39" s="20">
        <f t="shared" si="10"/>
        <v>726353.41999999993</v>
      </c>
      <c r="AA39" s="33">
        <f t="shared" si="11"/>
        <v>369504.58000000007</v>
      </c>
      <c r="AB39" s="22">
        <f t="shared" si="12"/>
        <v>66.281709856569009</v>
      </c>
      <c r="AC39" s="178" t="s">
        <v>305</v>
      </c>
    </row>
    <row r="40" spans="1:29" s="14" customFormat="1" ht="35.25" customHeight="1" x14ac:dyDescent="0.5">
      <c r="A40" s="27">
        <v>34</v>
      </c>
      <c r="B40" s="28" t="s">
        <v>108</v>
      </c>
      <c r="C40" s="29" t="s">
        <v>28</v>
      </c>
      <c r="D40" s="20">
        <f>+'3.งบบุคลากร (GF)'!D41</f>
        <v>2063979</v>
      </c>
      <c r="E40" s="20">
        <f>+'3.งบบุคลากร (GF)'!E41</f>
        <v>0</v>
      </c>
      <c r="F40" s="20">
        <f>+'3.งบบุคลากร (GF)'!F41</f>
        <v>1286960</v>
      </c>
      <c r="G40" s="33">
        <f t="shared" si="0"/>
        <v>777019</v>
      </c>
      <c r="H40" s="22">
        <f t="shared" si="1"/>
        <v>62.353347587354328</v>
      </c>
      <c r="I40" s="20">
        <f>+'4. งบดำเนินงาน (GF)'!D41</f>
        <v>2789040</v>
      </c>
      <c r="J40" s="20">
        <f>+'4. งบดำเนินงาน (GF)'!E41</f>
        <v>0</v>
      </c>
      <c r="K40" s="20">
        <f>+'4. งบดำเนินงาน (GF)'!F41</f>
        <v>1447522.54</v>
      </c>
      <c r="L40" s="21">
        <f t="shared" si="2"/>
        <v>1341517.46</v>
      </c>
      <c r="M40" s="22">
        <f t="shared" si="3"/>
        <v>51.900386512922012</v>
      </c>
      <c r="N40" s="20">
        <f>+'5.งบลงทุน'!F41</f>
        <v>69900</v>
      </c>
      <c r="O40" s="20">
        <f>+'5.งบลงทุน'!G41</f>
        <v>0</v>
      </c>
      <c r="P40" s="20">
        <f>+'5.งบลงทุน'!H41</f>
        <v>69900</v>
      </c>
      <c r="Q40" s="21">
        <f t="shared" si="4"/>
        <v>0</v>
      </c>
      <c r="R40" s="22">
        <f t="shared" si="5"/>
        <v>100</v>
      </c>
      <c r="S40" s="20">
        <f>+'6.งบรายจ่ายอื่น (GF)'!D40</f>
        <v>105000</v>
      </c>
      <c r="T40" s="20">
        <f>+'6.งบรายจ่ายอื่น (GF)'!E40</f>
        <v>0</v>
      </c>
      <c r="U40" s="20">
        <f>+'6.งบรายจ่ายอื่น (GF)'!F40</f>
        <v>0</v>
      </c>
      <c r="V40" s="21">
        <f t="shared" si="6"/>
        <v>105000</v>
      </c>
      <c r="W40" s="22">
        <f t="shared" si="7"/>
        <v>0</v>
      </c>
      <c r="X40" s="20">
        <f t="shared" si="8"/>
        <v>5027919</v>
      </c>
      <c r="Y40" s="20">
        <f t="shared" si="9"/>
        <v>0</v>
      </c>
      <c r="Z40" s="20">
        <f t="shared" si="10"/>
        <v>2804382.54</v>
      </c>
      <c r="AA40" s="33">
        <f t="shared" si="11"/>
        <v>2223536.46</v>
      </c>
      <c r="AB40" s="22">
        <f t="shared" si="12"/>
        <v>55.776207611936471</v>
      </c>
      <c r="AC40" s="178"/>
    </row>
    <row r="41" spans="1:29" s="14" customFormat="1" ht="35.25" customHeight="1" x14ac:dyDescent="0.5">
      <c r="A41" s="27">
        <v>35</v>
      </c>
      <c r="B41" s="28" t="s">
        <v>108</v>
      </c>
      <c r="C41" s="29" t="s">
        <v>128</v>
      </c>
      <c r="D41" s="20">
        <f>+'3.งบบุคลากร (GF)'!D42</f>
        <v>2242844</v>
      </c>
      <c r="E41" s="20">
        <f>+'3.งบบุคลากร (GF)'!E42</f>
        <v>0</v>
      </c>
      <c r="F41" s="20">
        <f>+'3.งบบุคลากร (GF)'!F42</f>
        <v>1388580</v>
      </c>
      <c r="G41" s="33">
        <f t="shared" si="0"/>
        <v>854264</v>
      </c>
      <c r="H41" s="22">
        <f t="shared" si="1"/>
        <v>61.91157298501367</v>
      </c>
      <c r="I41" s="20">
        <f>+'4. งบดำเนินงาน (GF)'!D42</f>
        <v>4071349</v>
      </c>
      <c r="J41" s="20">
        <f>+'4. งบดำเนินงาน (GF)'!E42</f>
        <v>503626.51</v>
      </c>
      <c r="K41" s="20">
        <f>+'4. งบดำเนินงาน (GF)'!F42</f>
        <v>1564425.87</v>
      </c>
      <c r="L41" s="21">
        <f t="shared" si="2"/>
        <v>2003296.62</v>
      </c>
      <c r="M41" s="22">
        <f t="shared" si="3"/>
        <v>38.425246030246974</v>
      </c>
      <c r="N41" s="20">
        <f>+'5.งบลงทุน'!F42</f>
        <v>154038</v>
      </c>
      <c r="O41" s="20">
        <f>+'5.งบลงทุน'!G42</f>
        <v>0</v>
      </c>
      <c r="P41" s="20">
        <f>+'5.งบลงทุน'!H42</f>
        <v>154038</v>
      </c>
      <c r="Q41" s="21">
        <f t="shared" si="4"/>
        <v>0</v>
      </c>
      <c r="R41" s="22">
        <f t="shared" si="5"/>
        <v>100</v>
      </c>
      <c r="S41" s="20">
        <f>+'6.งบรายจ่ายอื่น (GF)'!D41</f>
        <v>163000</v>
      </c>
      <c r="T41" s="20">
        <f>+'6.งบรายจ่ายอื่น (GF)'!E41</f>
        <v>0</v>
      </c>
      <c r="U41" s="20">
        <f>+'6.งบรายจ่ายอื่น (GF)'!F41</f>
        <v>26796.75</v>
      </c>
      <c r="V41" s="21">
        <f t="shared" si="6"/>
        <v>136203.25</v>
      </c>
      <c r="W41" s="22">
        <f t="shared" si="7"/>
        <v>16.439723926380367</v>
      </c>
      <c r="X41" s="20">
        <f t="shared" si="8"/>
        <v>6631231</v>
      </c>
      <c r="Y41" s="20">
        <f t="shared" si="9"/>
        <v>503626.51</v>
      </c>
      <c r="Z41" s="20">
        <f t="shared" si="10"/>
        <v>3133840.62</v>
      </c>
      <c r="AA41" s="33">
        <f t="shared" si="11"/>
        <v>2993763.87</v>
      </c>
      <c r="AB41" s="22">
        <f t="shared" si="12"/>
        <v>47.258806396580063</v>
      </c>
      <c r="AC41" s="178" t="s">
        <v>305</v>
      </c>
    </row>
    <row r="42" spans="1:29" s="14" customFormat="1" ht="35.25" customHeight="1" x14ac:dyDescent="0.5">
      <c r="A42" s="27">
        <v>36</v>
      </c>
      <c r="B42" s="28" t="s">
        <v>108</v>
      </c>
      <c r="C42" s="29" t="s">
        <v>29</v>
      </c>
      <c r="D42" s="20">
        <f>+'3.งบบุคลากร (GF)'!D43</f>
        <v>1320409</v>
      </c>
      <c r="E42" s="20">
        <f>+'3.งบบุคลากร (GF)'!E43</f>
        <v>0</v>
      </c>
      <c r="F42" s="20">
        <f>+'3.งบบุคลากร (GF)'!F43</f>
        <v>856723.2</v>
      </c>
      <c r="G42" s="33">
        <f t="shared" si="0"/>
        <v>463685.80000000005</v>
      </c>
      <c r="H42" s="22">
        <f t="shared" si="1"/>
        <v>64.883168775735399</v>
      </c>
      <c r="I42" s="20">
        <f>+'4. งบดำเนินงาน (GF)'!D43</f>
        <v>2186889</v>
      </c>
      <c r="J42" s="20">
        <f>+'4. งบดำเนินงาน (GF)'!E43</f>
        <v>0</v>
      </c>
      <c r="K42" s="20">
        <f>+'4. งบดำเนินงาน (GF)'!F43</f>
        <v>1057031.81</v>
      </c>
      <c r="L42" s="21">
        <f t="shared" si="2"/>
        <v>1129857.19</v>
      </c>
      <c r="M42" s="22">
        <f t="shared" si="3"/>
        <v>48.334954814807702</v>
      </c>
      <c r="N42" s="20">
        <f>+'5.งบลงทุน'!F43</f>
        <v>6173550</v>
      </c>
      <c r="O42" s="20">
        <f>+'5.งบลงทุน'!G43</f>
        <v>6040000</v>
      </c>
      <c r="P42" s="20">
        <f>+'5.งบลงทุน'!H43</f>
        <v>133550</v>
      </c>
      <c r="Q42" s="21">
        <f t="shared" si="4"/>
        <v>0</v>
      </c>
      <c r="R42" s="22">
        <f t="shared" si="5"/>
        <v>2.1632610086579036</v>
      </c>
      <c r="S42" s="20">
        <f>+'6.งบรายจ่ายอื่น (GF)'!D42</f>
        <v>86000</v>
      </c>
      <c r="T42" s="20">
        <f>+'6.งบรายจ่ายอื่น (GF)'!E42</f>
        <v>0</v>
      </c>
      <c r="U42" s="20">
        <f>+'6.งบรายจ่ายอื่น (GF)'!F42</f>
        <v>3200</v>
      </c>
      <c r="V42" s="21">
        <f t="shared" si="6"/>
        <v>82800</v>
      </c>
      <c r="W42" s="22">
        <f t="shared" si="7"/>
        <v>3.7209302325581395</v>
      </c>
      <c r="X42" s="20">
        <f t="shared" si="8"/>
        <v>9766848</v>
      </c>
      <c r="Y42" s="20">
        <f t="shared" si="9"/>
        <v>6040000</v>
      </c>
      <c r="Z42" s="20">
        <f t="shared" si="10"/>
        <v>2050505.01</v>
      </c>
      <c r="AA42" s="33">
        <f t="shared" si="11"/>
        <v>1676342.99</v>
      </c>
      <c r="AB42" s="22">
        <f t="shared" si="12"/>
        <v>20.994542046727869</v>
      </c>
      <c r="AC42" s="178" t="s">
        <v>304</v>
      </c>
    </row>
    <row r="43" spans="1:29" s="14" customFormat="1" ht="35.25" customHeight="1" x14ac:dyDescent="0.5">
      <c r="A43" s="27">
        <v>37</v>
      </c>
      <c r="B43" s="28" t="s">
        <v>108</v>
      </c>
      <c r="C43" s="29" t="s">
        <v>30</v>
      </c>
      <c r="D43" s="20">
        <f>+'3.งบบุคลากร (GF)'!D44</f>
        <v>3194177</v>
      </c>
      <c r="E43" s="20">
        <f>+'3.งบบุคลากร (GF)'!E44</f>
        <v>0</v>
      </c>
      <c r="F43" s="20">
        <f>+'3.งบบุคลากร (GF)'!F44</f>
        <v>2066943.87</v>
      </c>
      <c r="G43" s="33">
        <f t="shared" si="0"/>
        <v>1127233.1299999999</v>
      </c>
      <c r="H43" s="22">
        <f t="shared" si="1"/>
        <v>64.70974745607397</v>
      </c>
      <c r="I43" s="20">
        <f>+'4. งบดำเนินงาน (GF)'!D44</f>
        <v>2760592</v>
      </c>
      <c r="J43" s="20">
        <f>+'4. งบดำเนินงาน (GF)'!E44</f>
        <v>657681.14</v>
      </c>
      <c r="K43" s="20">
        <f>+'4. งบดำเนินงาน (GF)'!F44</f>
        <v>1508579.71</v>
      </c>
      <c r="L43" s="21">
        <f t="shared" si="2"/>
        <v>594331.14999999991</v>
      </c>
      <c r="M43" s="22">
        <f t="shared" si="3"/>
        <v>54.646963767191963</v>
      </c>
      <c r="N43" s="20">
        <f>+'5.งบลงทุน'!F44</f>
        <v>132750</v>
      </c>
      <c r="O43" s="20">
        <f>+'5.งบลงทุน'!G44</f>
        <v>0</v>
      </c>
      <c r="P43" s="20">
        <f>+'5.งบลงทุน'!H44</f>
        <v>132750</v>
      </c>
      <c r="Q43" s="21">
        <f t="shared" si="4"/>
        <v>0</v>
      </c>
      <c r="R43" s="22">
        <f t="shared" si="5"/>
        <v>100</v>
      </c>
      <c r="S43" s="20">
        <f>+'6.งบรายจ่ายอื่น (GF)'!D43</f>
        <v>163000</v>
      </c>
      <c r="T43" s="20">
        <f>+'6.งบรายจ่ายอื่น (GF)'!E43</f>
        <v>0</v>
      </c>
      <c r="U43" s="20">
        <f>+'6.งบรายจ่ายอื่น (GF)'!F43</f>
        <v>28960</v>
      </c>
      <c r="V43" s="21">
        <f t="shared" si="6"/>
        <v>134040</v>
      </c>
      <c r="W43" s="22">
        <f t="shared" si="7"/>
        <v>17.766871165644172</v>
      </c>
      <c r="X43" s="20">
        <f t="shared" si="8"/>
        <v>6250519</v>
      </c>
      <c r="Y43" s="20">
        <f t="shared" si="9"/>
        <v>657681.14</v>
      </c>
      <c r="Z43" s="20">
        <f t="shared" si="10"/>
        <v>3737233.58</v>
      </c>
      <c r="AA43" s="33">
        <f t="shared" si="11"/>
        <v>1855604.2800000003</v>
      </c>
      <c r="AB43" s="22">
        <f t="shared" si="12"/>
        <v>59.790772254272007</v>
      </c>
      <c r="AC43" s="178" t="s">
        <v>305</v>
      </c>
    </row>
    <row r="44" spans="1:29" s="14" customFormat="1" ht="35.25" customHeight="1" x14ac:dyDescent="0.5">
      <c r="A44" s="27">
        <v>38</v>
      </c>
      <c r="B44" s="28" t="s">
        <v>108</v>
      </c>
      <c r="C44" s="29" t="s">
        <v>31</v>
      </c>
      <c r="D44" s="20">
        <f>+'3.งบบุคลากร (GF)'!D45</f>
        <v>4008811</v>
      </c>
      <c r="E44" s="20">
        <f>+'3.งบบุคลากร (GF)'!E45</f>
        <v>0</v>
      </c>
      <c r="F44" s="20">
        <f>+'3.งบบุคลากร (GF)'!F45</f>
        <v>2693109.03</v>
      </c>
      <c r="G44" s="33">
        <f t="shared" si="0"/>
        <v>1315701.9700000002</v>
      </c>
      <c r="H44" s="22">
        <f t="shared" si="1"/>
        <v>67.17974556545569</v>
      </c>
      <c r="I44" s="20">
        <f>+'4. งบดำเนินงาน (GF)'!D45</f>
        <v>1496826</v>
      </c>
      <c r="J44" s="20">
        <f>+'4. งบดำเนินงาน (GF)'!E45</f>
        <v>68784.2</v>
      </c>
      <c r="K44" s="20">
        <f>+'4. งบดำเนินงาน (GF)'!F45</f>
        <v>1310780.8</v>
      </c>
      <c r="L44" s="21">
        <f t="shared" si="2"/>
        <v>117261</v>
      </c>
      <c r="M44" s="22">
        <f t="shared" si="3"/>
        <v>87.570686238747854</v>
      </c>
      <c r="N44" s="20">
        <f>+'5.งบลงทุน'!F45</f>
        <v>101170</v>
      </c>
      <c r="O44" s="20">
        <f>+'5.งบลงทุน'!G45</f>
        <v>0</v>
      </c>
      <c r="P44" s="20">
        <f>+'5.งบลงทุน'!H45</f>
        <v>101170</v>
      </c>
      <c r="Q44" s="21">
        <f t="shared" si="4"/>
        <v>0</v>
      </c>
      <c r="R44" s="22">
        <f t="shared" si="5"/>
        <v>100</v>
      </c>
      <c r="S44" s="20">
        <f>+'6.งบรายจ่ายอื่น (GF)'!D44</f>
        <v>88000</v>
      </c>
      <c r="T44" s="20">
        <f>+'6.งบรายจ่ายอื่น (GF)'!E44</f>
        <v>0</v>
      </c>
      <c r="U44" s="20">
        <f>+'6.งบรายจ่ายอื่น (GF)'!F44</f>
        <v>0</v>
      </c>
      <c r="V44" s="21">
        <f t="shared" si="6"/>
        <v>88000</v>
      </c>
      <c r="W44" s="22">
        <f t="shared" si="7"/>
        <v>0</v>
      </c>
      <c r="X44" s="20">
        <f t="shared" si="8"/>
        <v>5694807</v>
      </c>
      <c r="Y44" s="20">
        <f t="shared" si="9"/>
        <v>68784.2</v>
      </c>
      <c r="Z44" s="20">
        <f t="shared" si="10"/>
        <v>4105059.83</v>
      </c>
      <c r="AA44" s="33">
        <f t="shared" si="11"/>
        <v>1520962.9699999997</v>
      </c>
      <c r="AB44" s="22">
        <f t="shared" si="12"/>
        <v>72.084266069069599</v>
      </c>
      <c r="AC44" s="178" t="s">
        <v>305</v>
      </c>
    </row>
    <row r="45" spans="1:29" s="14" customFormat="1" ht="35.25" customHeight="1" x14ac:dyDescent="0.5">
      <c r="A45" s="27">
        <v>39</v>
      </c>
      <c r="B45" s="28" t="s">
        <v>108</v>
      </c>
      <c r="C45" s="29" t="s">
        <v>129</v>
      </c>
      <c r="D45" s="20">
        <f>+'3.งบบุคลากร (GF)'!D46</f>
        <v>1253098</v>
      </c>
      <c r="E45" s="20">
        <f>+'3.งบบุคลากร (GF)'!E46</f>
        <v>0</v>
      </c>
      <c r="F45" s="20">
        <f>+'3.งบบุคลากร (GF)'!F46</f>
        <v>775714</v>
      </c>
      <c r="G45" s="33">
        <f t="shared" si="0"/>
        <v>477384</v>
      </c>
      <c r="H45" s="22">
        <f t="shared" si="1"/>
        <v>61.90369787518614</v>
      </c>
      <c r="I45" s="20">
        <f>+'4. งบดำเนินงาน (GF)'!D46</f>
        <v>603009</v>
      </c>
      <c r="J45" s="20">
        <f>+'4. งบดำเนินงาน (GF)'!E46</f>
        <v>18000</v>
      </c>
      <c r="K45" s="20">
        <f>+'4. งบดำเนินงาน (GF)'!F46</f>
        <v>345608.88</v>
      </c>
      <c r="L45" s="21">
        <f t="shared" si="2"/>
        <v>239400.12</v>
      </c>
      <c r="M45" s="22">
        <f t="shared" si="3"/>
        <v>57.314050039054145</v>
      </c>
      <c r="N45" s="20">
        <f>+'5.งบลงทุน'!F46</f>
        <v>0</v>
      </c>
      <c r="O45" s="20">
        <f>+'5.งบลงทุน'!G46</f>
        <v>0</v>
      </c>
      <c r="P45" s="20">
        <f>+'5.งบลงทุน'!H46</f>
        <v>0</v>
      </c>
      <c r="Q45" s="21">
        <f t="shared" si="4"/>
        <v>0</v>
      </c>
      <c r="R45" s="22" t="e">
        <f t="shared" si="5"/>
        <v>#DIV/0!</v>
      </c>
      <c r="S45" s="20">
        <f>+'6.งบรายจ่ายอื่น (GF)'!D45</f>
        <v>5000</v>
      </c>
      <c r="T45" s="20">
        <f>+'6.งบรายจ่ายอื่น (GF)'!E45</f>
        <v>0</v>
      </c>
      <c r="U45" s="20">
        <f>+'6.งบรายจ่ายอื่น (GF)'!F45</f>
        <v>0</v>
      </c>
      <c r="V45" s="21">
        <f t="shared" si="6"/>
        <v>5000</v>
      </c>
      <c r="W45" s="22">
        <f t="shared" si="7"/>
        <v>0</v>
      </c>
      <c r="X45" s="20">
        <f t="shared" si="8"/>
        <v>1861107</v>
      </c>
      <c r="Y45" s="20">
        <f t="shared" si="9"/>
        <v>18000</v>
      </c>
      <c r="Z45" s="20">
        <f t="shared" si="10"/>
        <v>1121322.8799999999</v>
      </c>
      <c r="AA45" s="33">
        <f t="shared" si="11"/>
        <v>721784.12000000011</v>
      </c>
      <c r="AB45" s="22">
        <f t="shared" si="12"/>
        <v>60.250317687268911</v>
      </c>
      <c r="AC45" s="178" t="s">
        <v>305</v>
      </c>
    </row>
    <row r="46" spans="1:29" s="14" customFormat="1" ht="35.25" customHeight="1" x14ac:dyDescent="0.5">
      <c r="A46" s="27">
        <v>40</v>
      </c>
      <c r="B46" s="28" t="s">
        <v>108</v>
      </c>
      <c r="C46" s="29" t="s">
        <v>32</v>
      </c>
      <c r="D46" s="20">
        <f>+'3.งบบุคลากร (GF)'!D47</f>
        <v>2053610</v>
      </c>
      <c r="E46" s="20">
        <f>+'3.งบบุคลากร (GF)'!E47</f>
        <v>0</v>
      </c>
      <c r="F46" s="20">
        <f>+'3.งบบุคลากร (GF)'!F47</f>
        <v>1258180</v>
      </c>
      <c r="G46" s="33">
        <f t="shared" si="0"/>
        <v>795430</v>
      </c>
      <c r="H46" s="22">
        <f t="shared" si="1"/>
        <v>61.266744902878344</v>
      </c>
      <c r="I46" s="20">
        <f>+'4. งบดำเนินงาน (GF)'!D47</f>
        <v>1889495</v>
      </c>
      <c r="J46" s="20">
        <f>+'4. งบดำเนินงาน (GF)'!E47</f>
        <v>256304.02</v>
      </c>
      <c r="K46" s="20">
        <f>+'4. งบดำเนินงาน (GF)'!F47</f>
        <v>1233460.72</v>
      </c>
      <c r="L46" s="21">
        <f t="shared" si="2"/>
        <v>399730.26</v>
      </c>
      <c r="M46" s="22">
        <f t="shared" si="3"/>
        <v>65.279914474502448</v>
      </c>
      <c r="N46" s="20">
        <f>+'5.งบลงทุน'!F47</f>
        <v>0</v>
      </c>
      <c r="O46" s="20">
        <f>+'5.งบลงทุน'!G47</f>
        <v>0</v>
      </c>
      <c r="P46" s="20">
        <f>+'5.งบลงทุน'!H47</f>
        <v>0</v>
      </c>
      <c r="Q46" s="21">
        <f t="shared" si="4"/>
        <v>0</v>
      </c>
      <c r="R46" s="22" t="e">
        <f t="shared" si="5"/>
        <v>#DIV/0!</v>
      </c>
      <c r="S46" s="20">
        <f>+'6.งบรายจ่ายอื่น (GF)'!D46</f>
        <v>79000</v>
      </c>
      <c r="T46" s="20">
        <f>+'6.งบรายจ่ายอื่น (GF)'!E46</f>
        <v>0</v>
      </c>
      <c r="U46" s="20">
        <f>+'6.งบรายจ่ายอื่น (GF)'!F46</f>
        <v>7727</v>
      </c>
      <c r="V46" s="21">
        <f t="shared" si="6"/>
        <v>71273</v>
      </c>
      <c r="W46" s="22">
        <f t="shared" si="7"/>
        <v>9.7810126582278478</v>
      </c>
      <c r="X46" s="20">
        <f t="shared" si="8"/>
        <v>4022105</v>
      </c>
      <c r="Y46" s="20">
        <f t="shared" si="9"/>
        <v>256304.02</v>
      </c>
      <c r="Z46" s="20">
        <f t="shared" si="10"/>
        <v>2499367.7199999997</v>
      </c>
      <c r="AA46" s="33">
        <f t="shared" si="11"/>
        <v>1266433.2600000002</v>
      </c>
      <c r="AB46" s="22">
        <f t="shared" si="12"/>
        <v>62.140787473226077</v>
      </c>
      <c r="AC46" s="178" t="s">
        <v>305</v>
      </c>
    </row>
    <row r="47" spans="1:29" s="14" customFormat="1" ht="35.25" customHeight="1" x14ac:dyDescent="0.5">
      <c r="A47" s="27">
        <v>41</v>
      </c>
      <c r="B47" s="28" t="s">
        <v>108</v>
      </c>
      <c r="C47" s="29" t="s">
        <v>33</v>
      </c>
      <c r="D47" s="20">
        <f>+'3.งบบุคลากร (GF)'!D48</f>
        <v>2881361</v>
      </c>
      <c r="E47" s="20">
        <f>+'3.งบบุคลากร (GF)'!E48</f>
        <v>0</v>
      </c>
      <c r="F47" s="20">
        <f>+'3.งบบุคลากร (GF)'!F48</f>
        <v>1786980</v>
      </c>
      <c r="G47" s="33">
        <f t="shared" si="0"/>
        <v>1094381</v>
      </c>
      <c r="H47" s="22">
        <f t="shared" si="1"/>
        <v>62.018608567270817</v>
      </c>
      <c r="I47" s="20">
        <f>+'4. งบดำเนินงาน (GF)'!D48</f>
        <v>2272278</v>
      </c>
      <c r="J47" s="20">
        <f>+'4. งบดำเนินงาน (GF)'!E48</f>
        <v>541413.34</v>
      </c>
      <c r="K47" s="20">
        <f>+'4. งบดำเนินงาน (GF)'!F48</f>
        <v>1236872.6499999999</v>
      </c>
      <c r="L47" s="21">
        <f t="shared" si="2"/>
        <v>493992.01000000024</v>
      </c>
      <c r="M47" s="22">
        <f t="shared" si="3"/>
        <v>54.433156946465168</v>
      </c>
      <c r="N47" s="20">
        <f>+'5.งบลงทุน'!F48</f>
        <v>57100</v>
      </c>
      <c r="O47" s="20">
        <f>+'5.งบลงทุน'!G48</f>
        <v>0</v>
      </c>
      <c r="P47" s="20">
        <f>+'5.งบลงทุน'!H48</f>
        <v>57100</v>
      </c>
      <c r="Q47" s="21">
        <f t="shared" si="4"/>
        <v>0</v>
      </c>
      <c r="R47" s="22">
        <f t="shared" si="5"/>
        <v>100</v>
      </c>
      <c r="S47" s="20">
        <f>+'6.งบรายจ่ายอื่น (GF)'!D47</f>
        <v>105000</v>
      </c>
      <c r="T47" s="20">
        <f>+'6.งบรายจ่ายอื่น (GF)'!E47</f>
        <v>0</v>
      </c>
      <c r="U47" s="20">
        <f>+'6.งบรายจ่ายอื่น (GF)'!F47</f>
        <v>23400</v>
      </c>
      <c r="V47" s="21">
        <f t="shared" si="6"/>
        <v>81600</v>
      </c>
      <c r="W47" s="22">
        <f t="shared" si="7"/>
        <v>22.285714285714285</v>
      </c>
      <c r="X47" s="20">
        <f t="shared" si="8"/>
        <v>5315739</v>
      </c>
      <c r="Y47" s="20">
        <f t="shared" si="9"/>
        <v>541413.34</v>
      </c>
      <c r="Z47" s="20">
        <f t="shared" si="10"/>
        <v>3104352.65</v>
      </c>
      <c r="AA47" s="33">
        <f t="shared" si="11"/>
        <v>1669973.0100000002</v>
      </c>
      <c r="AB47" s="22">
        <f t="shared" si="12"/>
        <v>58.399267721759855</v>
      </c>
      <c r="AC47" s="178"/>
    </row>
    <row r="48" spans="1:29" s="14" customFormat="1" ht="35.25" customHeight="1" x14ac:dyDescent="0.5">
      <c r="A48" s="27">
        <v>42</v>
      </c>
      <c r="B48" s="28" t="s">
        <v>108</v>
      </c>
      <c r="C48" s="29" t="s">
        <v>34</v>
      </c>
      <c r="D48" s="20">
        <f>+'3.งบบุคลากร (GF)'!D49</f>
        <v>1389042</v>
      </c>
      <c r="E48" s="20">
        <f>+'3.งบบุคลากร (GF)'!E49</f>
        <v>0</v>
      </c>
      <c r="F48" s="20">
        <f>+'3.งบบุคลากร (GF)'!F49</f>
        <v>844876.13</v>
      </c>
      <c r="G48" s="33">
        <f t="shared" si="0"/>
        <v>544165.87</v>
      </c>
      <c r="H48" s="22">
        <f t="shared" si="1"/>
        <v>60.824376080780851</v>
      </c>
      <c r="I48" s="20">
        <f>+'4. งบดำเนินงาน (GF)'!D49</f>
        <v>496451</v>
      </c>
      <c r="J48" s="20">
        <f>+'4. งบดำเนินงาน (GF)'!E49</f>
        <v>0</v>
      </c>
      <c r="K48" s="20">
        <f>+'4. งบดำเนินงาน (GF)'!F49</f>
        <v>318965.48</v>
      </c>
      <c r="L48" s="21">
        <f t="shared" si="2"/>
        <v>177485.52000000002</v>
      </c>
      <c r="M48" s="22">
        <f t="shared" si="3"/>
        <v>64.249136369953931</v>
      </c>
      <c r="N48" s="20">
        <f>+'5.งบลงทุน'!F49</f>
        <v>148100</v>
      </c>
      <c r="O48" s="20">
        <f>+'5.งบลงทุน'!G49</f>
        <v>0</v>
      </c>
      <c r="P48" s="20">
        <f>+'5.งบลงทุน'!H49</f>
        <v>148100</v>
      </c>
      <c r="Q48" s="21">
        <f t="shared" si="4"/>
        <v>0</v>
      </c>
      <c r="R48" s="22">
        <f t="shared" si="5"/>
        <v>100</v>
      </c>
      <c r="S48" s="20">
        <f>+'6.งบรายจ่ายอื่น (GF)'!D48</f>
        <v>5000</v>
      </c>
      <c r="T48" s="20">
        <f>+'6.งบรายจ่ายอื่น (GF)'!E48</f>
        <v>0</v>
      </c>
      <c r="U48" s="20">
        <f>+'6.งบรายจ่ายอื่น (GF)'!F48</f>
        <v>0</v>
      </c>
      <c r="V48" s="21">
        <f t="shared" si="6"/>
        <v>5000</v>
      </c>
      <c r="W48" s="22">
        <f t="shared" si="7"/>
        <v>0</v>
      </c>
      <c r="X48" s="20">
        <f t="shared" si="8"/>
        <v>2038593</v>
      </c>
      <c r="Y48" s="20">
        <f t="shared" si="9"/>
        <v>0</v>
      </c>
      <c r="Z48" s="20">
        <f t="shared" si="10"/>
        <v>1311941.6099999999</v>
      </c>
      <c r="AA48" s="33">
        <f t="shared" si="11"/>
        <v>726651.39000000013</v>
      </c>
      <c r="AB48" s="22">
        <f t="shared" si="12"/>
        <v>64.35524942938585</v>
      </c>
      <c r="AC48" s="178"/>
    </row>
    <row r="49" spans="1:29" s="14" customFormat="1" ht="35.25" customHeight="1" x14ac:dyDescent="0.5">
      <c r="A49" s="27">
        <v>43</v>
      </c>
      <c r="B49" s="28" t="s">
        <v>108</v>
      </c>
      <c r="C49" s="29" t="s">
        <v>35</v>
      </c>
      <c r="D49" s="20">
        <f>+'3.งบบุคลากร (GF)'!D50</f>
        <v>2539363</v>
      </c>
      <c r="E49" s="20">
        <f>+'3.งบบุคลากร (GF)'!E50</f>
        <v>0</v>
      </c>
      <c r="F49" s="20">
        <f>+'3.งบบุคลากร (GF)'!F50</f>
        <v>1666520</v>
      </c>
      <c r="G49" s="33">
        <f t="shared" si="0"/>
        <v>872843</v>
      </c>
      <c r="H49" s="22">
        <f t="shared" si="1"/>
        <v>65.627482167772001</v>
      </c>
      <c r="I49" s="20">
        <f>+'4. งบดำเนินงาน (GF)'!D50</f>
        <v>2527814</v>
      </c>
      <c r="J49" s="20">
        <f>+'4. งบดำเนินงาน (GF)'!E50</f>
        <v>449617.44</v>
      </c>
      <c r="K49" s="20">
        <f>+'4. งบดำเนินงาน (GF)'!F50</f>
        <v>1352756.97</v>
      </c>
      <c r="L49" s="21">
        <f t="shared" si="2"/>
        <v>725439.59000000008</v>
      </c>
      <c r="M49" s="22">
        <f t="shared" si="3"/>
        <v>53.514893500866755</v>
      </c>
      <c r="N49" s="20">
        <f>+'5.งบลงทุน'!F50</f>
        <v>2042300</v>
      </c>
      <c r="O49" s="20">
        <f>+'5.งบลงทุน'!G50</f>
        <v>0</v>
      </c>
      <c r="P49" s="20">
        <f>+'5.งบลงทุน'!H50</f>
        <v>94300</v>
      </c>
      <c r="Q49" s="21">
        <f t="shared" si="4"/>
        <v>1948000</v>
      </c>
      <c r="R49" s="22">
        <f t="shared" si="5"/>
        <v>4.6173431914997796</v>
      </c>
      <c r="S49" s="20">
        <f>+'6.งบรายจ่ายอื่น (GF)'!D49</f>
        <v>107000</v>
      </c>
      <c r="T49" s="20">
        <f>+'6.งบรายจ่ายอื่น (GF)'!E49</f>
        <v>0</v>
      </c>
      <c r="U49" s="20">
        <f>+'6.งบรายจ่ายอื่น (GF)'!F49</f>
        <v>25000</v>
      </c>
      <c r="V49" s="21">
        <f t="shared" si="6"/>
        <v>82000</v>
      </c>
      <c r="W49" s="22">
        <f t="shared" si="7"/>
        <v>23.364485981308412</v>
      </c>
      <c r="X49" s="20">
        <f t="shared" si="8"/>
        <v>7216477</v>
      </c>
      <c r="Y49" s="20">
        <f t="shared" si="9"/>
        <v>449617.44</v>
      </c>
      <c r="Z49" s="20">
        <f t="shared" si="10"/>
        <v>3138576.9699999997</v>
      </c>
      <c r="AA49" s="33">
        <f t="shared" si="11"/>
        <v>3628282.59</v>
      </c>
      <c r="AB49" s="22">
        <f t="shared" si="12"/>
        <v>43.491816990478874</v>
      </c>
      <c r="AC49" s="178"/>
    </row>
    <row r="50" spans="1:29" s="14" customFormat="1" ht="35.25" customHeight="1" x14ac:dyDescent="0.5">
      <c r="A50" s="27">
        <v>44</v>
      </c>
      <c r="B50" s="28" t="s">
        <v>108</v>
      </c>
      <c r="C50" s="29" t="s">
        <v>130</v>
      </c>
      <c r="D50" s="20">
        <f>+'3.งบบุคลากร (GF)'!D51</f>
        <v>1636673</v>
      </c>
      <c r="E50" s="20">
        <f>+'3.งบบุคลากร (GF)'!E51</f>
        <v>0</v>
      </c>
      <c r="F50" s="20">
        <f>+'3.งบบุคลากร (GF)'!F51</f>
        <v>1057920</v>
      </c>
      <c r="G50" s="33">
        <f t="shared" si="0"/>
        <v>578753</v>
      </c>
      <c r="H50" s="22">
        <f t="shared" si="1"/>
        <v>64.638446409270514</v>
      </c>
      <c r="I50" s="20">
        <f>+'4. งบดำเนินงาน (GF)'!D51</f>
        <v>1031844</v>
      </c>
      <c r="J50" s="20">
        <f>+'4. งบดำเนินงาน (GF)'!E51</f>
        <v>135500</v>
      </c>
      <c r="K50" s="20">
        <f>+'4. งบดำเนินงาน (GF)'!F51</f>
        <v>649312.51</v>
      </c>
      <c r="L50" s="21">
        <f t="shared" si="2"/>
        <v>247031.49</v>
      </c>
      <c r="M50" s="22">
        <f t="shared" si="3"/>
        <v>62.927391156027461</v>
      </c>
      <c r="N50" s="20">
        <f>+'5.งบลงทุน'!F51</f>
        <v>32300</v>
      </c>
      <c r="O50" s="20">
        <f>+'5.งบลงทุน'!G51</f>
        <v>0</v>
      </c>
      <c r="P50" s="20">
        <f>+'5.งบลงทุน'!H51</f>
        <v>32300</v>
      </c>
      <c r="Q50" s="21">
        <f t="shared" si="4"/>
        <v>0</v>
      </c>
      <c r="R50" s="22">
        <f t="shared" si="5"/>
        <v>100</v>
      </c>
      <c r="S50" s="20">
        <f>+'6.งบรายจ่ายอื่น (GF)'!D50</f>
        <v>15000</v>
      </c>
      <c r="T50" s="20">
        <f>+'6.งบรายจ่ายอื่น (GF)'!E50</f>
        <v>0</v>
      </c>
      <c r="U50" s="20">
        <f>+'6.งบรายจ่ายอื่น (GF)'!F50</f>
        <v>15000</v>
      </c>
      <c r="V50" s="21">
        <f t="shared" si="6"/>
        <v>0</v>
      </c>
      <c r="W50" s="22">
        <f t="shared" si="7"/>
        <v>100</v>
      </c>
      <c r="X50" s="20">
        <f t="shared" si="8"/>
        <v>2715817</v>
      </c>
      <c r="Y50" s="20">
        <f t="shared" si="9"/>
        <v>135500</v>
      </c>
      <c r="Z50" s="20">
        <f t="shared" si="10"/>
        <v>1754532.51</v>
      </c>
      <c r="AA50" s="33">
        <f t="shared" si="11"/>
        <v>825784.49</v>
      </c>
      <c r="AB50" s="22">
        <f t="shared" si="12"/>
        <v>64.604224437802699</v>
      </c>
      <c r="AC50" s="178"/>
    </row>
    <row r="51" spans="1:29" s="14" customFormat="1" ht="35.25" customHeight="1" x14ac:dyDescent="0.5">
      <c r="A51" s="27">
        <v>45</v>
      </c>
      <c r="B51" s="28" t="s">
        <v>108</v>
      </c>
      <c r="C51" s="29" t="s">
        <v>36</v>
      </c>
      <c r="D51" s="20">
        <f>+'3.งบบุคลากร (GF)'!D52</f>
        <v>1926400</v>
      </c>
      <c r="E51" s="20">
        <f>+'3.งบบุคลากร (GF)'!E52</f>
        <v>0</v>
      </c>
      <c r="F51" s="20">
        <f>+'3.งบบุคลากร (GF)'!F52</f>
        <v>1187541.29</v>
      </c>
      <c r="G51" s="33">
        <f t="shared" si="0"/>
        <v>738858.71</v>
      </c>
      <c r="H51" s="22">
        <f t="shared" si="1"/>
        <v>61.645623442691033</v>
      </c>
      <c r="I51" s="20">
        <f>+'4. งบดำเนินงาน (GF)'!D52</f>
        <v>1606207</v>
      </c>
      <c r="J51" s="20">
        <f>+'4. งบดำเนินงาน (GF)'!E52</f>
        <v>162141</v>
      </c>
      <c r="K51" s="20">
        <f>+'4. งบดำเนินงาน (GF)'!F52</f>
        <v>904814.8</v>
      </c>
      <c r="L51" s="21">
        <f t="shared" si="2"/>
        <v>539251.19999999995</v>
      </c>
      <c r="M51" s="22">
        <f t="shared" si="3"/>
        <v>56.332390532478065</v>
      </c>
      <c r="N51" s="20">
        <f>+'5.งบลงทุน'!F52</f>
        <v>95400</v>
      </c>
      <c r="O51" s="20">
        <f>+'5.งบลงทุน'!G52</f>
        <v>0</v>
      </c>
      <c r="P51" s="20">
        <f>+'5.งบลงทุน'!H52</f>
        <v>95400</v>
      </c>
      <c r="Q51" s="21">
        <f t="shared" si="4"/>
        <v>0</v>
      </c>
      <c r="R51" s="22">
        <f t="shared" si="5"/>
        <v>100</v>
      </c>
      <c r="S51" s="20">
        <f>+'6.งบรายจ่ายอื่น (GF)'!D51</f>
        <v>78000</v>
      </c>
      <c r="T51" s="20">
        <f>+'6.งบรายจ่ายอื่น (GF)'!E51</f>
        <v>0</v>
      </c>
      <c r="U51" s="20">
        <f>+'6.งบรายจ่ายอื่น (GF)'!F51</f>
        <v>10000</v>
      </c>
      <c r="V51" s="21">
        <f t="shared" si="6"/>
        <v>68000</v>
      </c>
      <c r="W51" s="22">
        <f t="shared" si="7"/>
        <v>12.820512820512821</v>
      </c>
      <c r="X51" s="20">
        <f t="shared" si="8"/>
        <v>3706007</v>
      </c>
      <c r="Y51" s="20">
        <f t="shared" si="9"/>
        <v>162141</v>
      </c>
      <c r="Z51" s="20">
        <f t="shared" si="10"/>
        <v>2197756.09</v>
      </c>
      <c r="AA51" s="33">
        <f t="shared" si="11"/>
        <v>1346109.9100000001</v>
      </c>
      <c r="AB51" s="22">
        <f t="shared" si="12"/>
        <v>59.302534776647754</v>
      </c>
      <c r="AC51" s="178"/>
    </row>
    <row r="52" spans="1:29" s="14" customFormat="1" ht="35.25" customHeight="1" x14ac:dyDescent="0.5">
      <c r="A52" s="27">
        <v>46</v>
      </c>
      <c r="B52" s="28" t="s">
        <v>108</v>
      </c>
      <c r="C52" s="29" t="s">
        <v>37</v>
      </c>
      <c r="D52" s="20">
        <f>+'3.งบบุคลากร (GF)'!D53</f>
        <v>3701197</v>
      </c>
      <c r="E52" s="20">
        <f>+'3.งบบุคลากร (GF)'!E53</f>
        <v>0</v>
      </c>
      <c r="F52" s="20">
        <f>+'3.งบบุคลากร (GF)'!F53</f>
        <v>2263084.83</v>
      </c>
      <c r="G52" s="33">
        <f t="shared" si="0"/>
        <v>1438112.17</v>
      </c>
      <c r="H52" s="22">
        <f t="shared" si="1"/>
        <v>61.144673736631688</v>
      </c>
      <c r="I52" s="20">
        <f>+'4. งบดำเนินงาน (GF)'!D53</f>
        <v>1666845</v>
      </c>
      <c r="J52" s="20">
        <f>+'4. งบดำเนินงาน (GF)'!E53</f>
        <v>34011.199999999997</v>
      </c>
      <c r="K52" s="20">
        <f>+'4. งบดำเนินงาน (GF)'!F53</f>
        <v>1137696.04</v>
      </c>
      <c r="L52" s="21">
        <f t="shared" si="2"/>
        <v>495137.76</v>
      </c>
      <c r="M52" s="22">
        <f t="shared" si="3"/>
        <v>68.254459172868508</v>
      </c>
      <c r="N52" s="20">
        <f>+'5.งบลงทุน'!F53</f>
        <v>0</v>
      </c>
      <c r="O52" s="20">
        <f>+'5.งบลงทุน'!G53</f>
        <v>0</v>
      </c>
      <c r="P52" s="20">
        <f>+'5.งบลงทุน'!H53</f>
        <v>0</v>
      </c>
      <c r="Q52" s="21">
        <f t="shared" si="4"/>
        <v>0</v>
      </c>
      <c r="R52" s="22" t="e">
        <f t="shared" si="5"/>
        <v>#DIV/0!</v>
      </c>
      <c r="S52" s="20">
        <f>+'6.งบรายจ่ายอื่น (GF)'!D52</f>
        <v>74000</v>
      </c>
      <c r="T52" s="20">
        <f>+'6.งบรายจ่ายอื่น (GF)'!E52</f>
        <v>0</v>
      </c>
      <c r="U52" s="20">
        <f>+'6.งบรายจ่ายอื่น (GF)'!F52</f>
        <v>34350</v>
      </c>
      <c r="V52" s="21">
        <f t="shared" si="6"/>
        <v>39650</v>
      </c>
      <c r="W52" s="22">
        <f t="shared" si="7"/>
        <v>46.418918918918919</v>
      </c>
      <c r="X52" s="20">
        <f t="shared" si="8"/>
        <v>5442042</v>
      </c>
      <c r="Y52" s="20">
        <f t="shared" si="9"/>
        <v>34011.199999999997</v>
      </c>
      <c r="Z52" s="20">
        <f t="shared" si="10"/>
        <v>3435130.87</v>
      </c>
      <c r="AA52" s="33">
        <f t="shared" si="11"/>
        <v>1972899.9299999997</v>
      </c>
      <c r="AB52" s="22">
        <f t="shared" si="12"/>
        <v>63.122094059546029</v>
      </c>
      <c r="AC52" s="178" t="s">
        <v>304</v>
      </c>
    </row>
    <row r="53" spans="1:29" s="14" customFormat="1" ht="35.25" customHeight="1" x14ac:dyDescent="0.5">
      <c r="A53" s="27">
        <v>47</v>
      </c>
      <c r="B53" s="28" t="s">
        <v>108</v>
      </c>
      <c r="C53" s="29" t="s">
        <v>38</v>
      </c>
      <c r="D53" s="20">
        <f>+'3.งบบุคลากร (GF)'!D54</f>
        <v>845936</v>
      </c>
      <c r="E53" s="20">
        <f>+'3.งบบุคลากร (GF)'!E54</f>
        <v>0</v>
      </c>
      <c r="F53" s="20">
        <f>+'3.งบบุคลากร (GF)'!F54</f>
        <v>551240</v>
      </c>
      <c r="G53" s="33">
        <f t="shared" si="0"/>
        <v>294696</v>
      </c>
      <c r="H53" s="22">
        <f t="shared" si="1"/>
        <v>65.163322048003636</v>
      </c>
      <c r="I53" s="20">
        <f>+'4. งบดำเนินงาน (GF)'!D54</f>
        <v>1152285</v>
      </c>
      <c r="J53" s="20">
        <f>+'4. งบดำเนินงาน (GF)'!E54</f>
        <v>177438</v>
      </c>
      <c r="K53" s="20">
        <f>+'4. งบดำเนินงาน (GF)'!F54</f>
        <v>575988.54</v>
      </c>
      <c r="L53" s="21">
        <f t="shared" si="2"/>
        <v>398858.45999999996</v>
      </c>
      <c r="M53" s="22">
        <f t="shared" si="3"/>
        <v>49.986638722191124</v>
      </c>
      <c r="N53" s="20">
        <f>+'5.งบลงทุน'!F54</f>
        <v>8400</v>
      </c>
      <c r="O53" s="20">
        <f>+'5.งบลงทุน'!G54</f>
        <v>0</v>
      </c>
      <c r="P53" s="20">
        <f>+'5.งบลงทุน'!H54</f>
        <v>8400</v>
      </c>
      <c r="Q53" s="21">
        <f t="shared" si="4"/>
        <v>0</v>
      </c>
      <c r="R53" s="22">
        <f t="shared" si="5"/>
        <v>100</v>
      </c>
      <c r="S53" s="20">
        <f>+'6.งบรายจ่ายอื่น (GF)'!D53</f>
        <v>89000</v>
      </c>
      <c r="T53" s="20">
        <f>+'6.งบรายจ่ายอื่น (GF)'!E53</f>
        <v>0</v>
      </c>
      <c r="U53" s="20">
        <f>+'6.งบรายจ่ายอื่น (GF)'!F53</f>
        <v>22897</v>
      </c>
      <c r="V53" s="21">
        <f t="shared" si="6"/>
        <v>66103</v>
      </c>
      <c r="W53" s="22">
        <f t="shared" si="7"/>
        <v>25.726966292134833</v>
      </c>
      <c r="X53" s="20">
        <f t="shared" si="8"/>
        <v>2095621</v>
      </c>
      <c r="Y53" s="20">
        <f t="shared" si="9"/>
        <v>177438</v>
      </c>
      <c r="Z53" s="20">
        <f t="shared" si="10"/>
        <v>1158525.54</v>
      </c>
      <c r="AA53" s="33">
        <f t="shared" si="11"/>
        <v>759657.46</v>
      </c>
      <c r="AB53" s="22">
        <f t="shared" si="12"/>
        <v>55.283161411342988</v>
      </c>
      <c r="AC53" s="178"/>
    </row>
    <row r="54" spans="1:29" s="14" customFormat="1" ht="35.25" customHeight="1" x14ac:dyDescent="0.5">
      <c r="A54" s="27">
        <v>48</v>
      </c>
      <c r="B54" s="28" t="s">
        <v>108</v>
      </c>
      <c r="C54" s="29" t="s">
        <v>131</v>
      </c>
      <c r="D54" s="20">
        <f>+'3.งบบุคลากร (GF)'!D55</f>
        <v>2629597</v>
      </c>
      <c r="E54" s="20">
        <f>+'3.งบบุคลากร (GF)'!E55</f>
        <v>0</v>
      </c>
      <c r="F54" s="20">
        <f>+'3.งบบุคลากร (GF)'!F55</f>
        <v>1725330</v>
      </c>
      <c r="G54" s="33">
        <f t="shared" si="0"/>
        <v>904267</v>
      </c>
      <c r="H54" s="22">
        <f t="shared" si="1"/>
        <v>65.611954987779498</v>
      </c>
      <c r="I54" s="20">
        <f>+'4. งบดำเนินงาน (GF)'!D55</f>
        <v>1440475</v>
      </c>
      <c r="J54" s="20">
        <f>+'4. งบดำเนินงาน (GF)'!E55</f>
        <v>254141.5</v>
      </c>
      <c r="K54" s="20">
        <f>+'4. งบดำเนินงาน (GF)'!F55</f>
        <v>870503.68</v>
      </c>
      <c r="L54" s="21">
        <f t="shared" si="2"/>
        <v>315829.81999999995</v>
      </c>
      <c r="M54" s="22">
        <f t="shared" si="3"/>
        <v>60.43171037331436</v>
      </c>
      <c r="N54" s="20">
        <f>+'5.งบลงทุน'!F55</f>
        <v>117200</v>
      </c>
      <c r="O54" s="20">
        <f>+'5.งบลงทุน'!G55</f>
        <v>0</v>
      </c>
      <c r="P54" s="20">
        <f>+'5.งบลงทุน'!H55</f>
        <v>117200</v>
      </c>
      <c r="Q54" s="21">
        <f t="shared" si="4"/>
        <v>0</v>
      </c>
      <c r="R54" s="22">
        <f t="shared" si="5"/>
        <v>100</v>
      </c>
      <c r="S54" s="20">
        <f>+'6.งบรายจ่ายอื่น (GF)'!D54</f>
        <v>78000</v>
      </c>
      <c r="T54" s="20">
        <f>+'6.งบรายจ่ายอื่น (GF)'!E54</f>
        <v>0</v>
      </c>
      <c r="U54" s="20">
        <f>+'6.งบรายจ่ายอื่น (GF)'!F54</f>
        <v>4000</v>
      </c>
      <c r="V54" s="21">
        <f t="shared" si="6"/>
        <v>74000</v>
      </c>
      <c r="W54" s="22">
        <f t="shared" si="7"/>
        <v>5.1282051282051286</v>
      </c>
      <c r="X54" s="20">
        <f t="shared" si="8"/>
        <v>4265272</v>
      </c>
      <c r="Y54" s="20">
        <f t="shared" si="9"/>
        <v>254141.5</v>
      </c>
      <c r="Z54" s="20">
        <f t="shared" si="10"/>
        <v>2717033.68</v>
      </c>
      <c r="AA54" s="33">
        <f t="shared" si="11"/>
        <v>1294096.8199999998</v>
      </c>
      <c r="AB54" s="22">
        <f t="shared" si="12"/>
        <v>63.701299237188152</v>
      </c>
      <c r="AC54" s="178"/>
    </row>
    <row r="55" spans="1:29" s="14" customFormat="1" ht="35.25" customHeight="1" x14ac:dyDescent="0.5">
      <c r="A55" s="27">
        <v>49</v>
      </c>
      <c r="B55" s="28" t="s">
        <v>108</v>
      </c>
      <c r="C55" s="29" t="s">
        <v>132</v>
      </c>
      <c r="D55" s="20">
        <f>+'3.งบบุคลากร (GF)'!D56</f>
        <v>1172437</v>
      </c>
      <c r="E55" s="20">
        <f>+'3.งบบุคลากร (GF)'!E56</f>
        <v>0</v>
      </c>
      <c r="F55" s="20">
        <f>+'3.งบบุคลากร (GF)'!F56</f>
        <v>698596.13</v>
      </c>
      <c r="G55" s="33">
        <f t="shared" si="0"/>
        <v>473840.87</v>
      </c>
      <c r="H55" s="22">
        <f t="shared" si="1"/>
        <v>59.584961068270623</v>
      </c>
      <c r="I55" s="20">
        <f>+'4. งบดำเนินงาน (GF)'!D56</f>
        <v>794086</v>
      </c>
      <c r="J55" s="20">
        <f>+'4. งบดำเนินงาน (GF)'!E56</f>
        <v>0</v>
      </c>
      <c r="K55" s="20">
        <f>+'4. งบดำเนินงาน (GF)'!F56</f>
        <v>437850.65</v>
      </c>
      <c r="L55" s="21">
        <f t="shared" si="2"/>
        <v>356235.35</v>
      </c>
      <c r="M55" s="22">
        <f t="shared" si="3"/>
        <v>55.138945907622094</v>
      </c>
      <c r="N55" s="20">
        <f>+'5.งบลงทุน'!F56</f>
        <v>0</v>
      </c>
      <c r="O55" s="20">
        <f>+'5.งบลงทุน'!G56</f>
        <v>0</v>
      </c>
      <c r="P55" s="20">
        <f>+'5.งบลงทุน'!H56</f>
        <v>0</v>
      </c>
      <c r="Q55" s="21">
        <f t="shared" si="4"/>
        <v>0</v>
      </c>
      <c r="R55" s="22" t="e">
        <f t="shared" si="5"/>
        <v>#DIV/0!</v>
      </c>
      <c r="S55" s="20">
        <f>+'6.งบรายจ่ายอื่น (GF)'!D55</f>
        <v>5000</v>
      </c>
      <c r="T55" s="20">
        <f>+'6.งบรายจ่ายอื่น (GF)'!E55</f>
        <v>0</v>
      </c>
      <c r="U55" s="20">
        <f>+'6.งบรายจ่ายอื่น (GF)'!F55</f>
        <v>0</v>
      </c>
      <c r="V55" s="21">
        <f t="shared" si="6"/>
        <v>5000</v>
      </c>
      <c r="W55" s="22">
        <f t="shared" si="7"/>
        <v>0</v>
      </c>
      <c r="X55" s="20">
        <f t="shared" si="8"/>
        <v>1971523</v>
      </c>
      <c r="Y55" s="20">
        <f t="shared" si="9"/>
        <v>0</v>
      </c>
      <c r="Z55" s="20">
        <f t="shared" si="10"/>
        <v>1136446.78</v>
      </c>
      <c r="AA55" s="33">
        <f t="shared" si="11"/>
        <v>835076.22</v>
      </c>
      <c r="AB55" s="22">
        <f t="shared" si="12"/>
        <v>57.643090138943343</v>
      </c>
      <c r="AC55" s="178"/>
    </row>
    <row r="56" spans="1:29" s="14" customFormat="1" ht="35.25" customHeight="1" x14ac:dyDescent="0.5">
      <c r="A56" s="27">
        <v>50</v>
      </c>
      <c r="B56" s="28" t="s">
        <v>108</v>
      </c>
      <c r="C56" s="29" t="s">
        <v>133</v>
      </c>
      <c r="D56" s="20">
        <f>+'3.งบบุคลากร (GF)'!D57</f>
        <v>1078135</v>
      </c>
      <c r="E56" s="20">
        <f>+'3.งบบุคลากร (GF)'!E57</f>
        <v>0</v>
      </c>
      <c r="F56" s="20">
        <f>+'3.งบบุคลากร (GF)'!F57</f>
        <v>764550</v>
      </c>
      <c r="G56" s="33">
        <f t="shared" si="0"/>
        <v>313585</v>
      </c>
      <c r="H56" s="22">
        <f t="shared" si="1"/>
        <v>70.914124854494105</v>
      </c>
      <c r="I56" s="20">
        <f>+'4. งบดำเนินงาน (GF)'!D57</f>
        <v>713415</v>
      </c>
      <c r="J56" s="20">
        <f>+'4. งบดำเนินงาน (GF)'!E57</f>
        <v>0</v>
      </c>
      <c r="K56" s="20">
        <f>+'4. งบดำเนินงาน (GF)'!F57</f>
        <v>356628.3</v>
      </c>
      <c r="L56" s="21">
        <f t="shared" si="2"/>
        <v>356786.7</v>
      </c>
      <c r="M56" s="22">
        <f t="shared" si="3"/>
        <v>49.988898467231557</v>
      </c>
      <c r="N56" s="20">
        <f>+'5.งบลงทุน'!F57</f>
        <v>0</v>
      </c>
      <c r="O56" s="20">
        <f>+'5.งบลงทุน'!G57</f>
        <v>0</v>
      </c>
      <c r="P56" s="20">
        <f>+'5.งบลงทุน'!H57</f>
        <v>0</v>
      </c>
      <c r="Q56" s="21">
        <f t="shared" si="4"/>
        <v>0</v>
      </c>
      <c r="R56" s="22" t="e">
        <f t="shared" si="5"/>
        <v>#DIV/0!</v>
      </c>
      <c r="S56" s="20">
        <f>+'6.งบรายจ่ายอื่น (GF)'!D56</f>
        <v>5000</v>
      </c>
      <c r="T56" s="20">
        <f>+'6.งบรายจ่ายอื่น (GF)'!E56</f>
        <v>0</v>
      </c>
      <c r="U56" s="20">
        <f>+'6.งบรายจ่ายอื่น (GF)'!F56</f>
        <v>0</v>
      </c>
      <c r="V56" s="21">
        <f t="shared" si="6"/>
        <v>5000</v>
      </c>
      <c r="W56" s="22">
        <f t="shared" si="7"/>
        <v>0</v>
      </c>
      <c r="X56" s="20">
        <f t="shared" si="8"/>
        <v>1796550</v>
      </c>
      <c r="Y56" s="20">
        <f t="shared" si="9"/>
        <v>0</v>
      </c>
      <c r="Z56" s="20">
        <f t="shared" si="10"/>
        <v>1121178.3</v>
      </c>
      <c r="AA56" s="33">
        <f t="shared" si="11"/>
        <v>675371.7</v>
      </c>
      <c r="AB56" s="22">
        <f t="shared" si="12"/>
        <v>62.407297319863069</v>
      </c>
      <c r="AC56" s="178"/>
    </row>
    <row r="57" spans="1:29" s="14" customFormat="1" ht="35.25" customHeight="1" x14ac:dyDescent="0.5">
      <c r="A57" s="27">
        <v>51</v>
      </c>
      <c r="B57" s="28" t="s">
        <v>108</v>
      </c>
      <c r="C57" s="29" t="s">
        <v>134</v>
      </c>
      <c r="D57" s="20">
        <f>+'3.งบบุคลากร (GF)'!D58</f>
        <v>2838462</v>
      </c>
      <c r="E57" s="20">
        <f>+'3.งบบุคลากร (GF)'!E58</f>
        <v>0</v>
      </c>
      <c r="F57" s="20">
        <f>+'3.งบบุคลากร (GF)'!F58</f>
        <v>1914650</v>
      </c>
      <c r="G57" s="33">
        <f t="shared" si="0"/>
        <v>923812</v>
      </c>
      <c r="H57" s="22">
        <f t="shared" si="1"/>
        <v>67.453783069845571</v>
      </c>
      <c r="I57" s="20">
        <f>+'4. งบดำเนินงาน (GF)'!D58</f>
        <v>2190750.2400000002</v>
      </c>
      <c r="J57" s="20">
        <f>+'4. งบดำเนินงาน (GF)'!E58</f>
        <v>318250</v>
      </c>
      <c r="K57" s="20">
        <f>+'4. งบดำเนินงาน (GF)'!F58</f>
        <v>1021635.8</v>
      </c>
      <c r="L57" s="21">
        <f t="shared" si="2"/>
        <v>850864.44000000018</v>
      </c>
      <c r="M57" s="22">
        <f t="shared" si="3"/>
        <v>46.634060850313993</v>
      </c>
      <c r="N57" s="20">
        <f>+'5.งบลงทุน'!F58</f>
        <v>2728930</v>
      </c>
      <c r="O57" s="20">
        <f>+'5.งบลงทุน'!G58</f>
        <v>2644000</v>
      </c>
      <c r="P57" s="20">
        <f>+'5.งบลงทุน'!H58</f>
        <v>84930</v>
      </c>
      <c r="Q57" s="21">
        <f t="shared" si="4"/>
        <v>0</v>
      </c>
      <c r="R57" s="22">
        <f t="shared" si="5"/>
        <v>3.1122088144437563</v>
      </c>
      <c r="S57" s="20">
        <f>+'6.งบรายจ่ายอื่น (GF)'!D57</f>
        <v>74000</v>
      </c>
      <c r="T57" s="20">
        <f>+'6.งบรายจ่ายอื่น (GF)'!E57</f>
        <v>0</v>
      </c>
      <c r="U57" s="20">
        <f>+'6.งบรายจ่ายอื่น (GF)'!F57</f>
        <v>0</v>
      </c>
      <c r="V57" s="21">
        <f t="shared" si="6"/>
        <v>74000</v>
      </c>
      <c r="W57" s="22">
        <f t="shared" si="7"/>
        <v>0</v>
      </c>
      <c r="X57" s="20">
        <f t="shared" si="8"/>
        <v>7832142.2400000002</v>
      </c>
      <c r="Y57" s="20">
        <f t="shared" si="9"/>
        <v>2962250</v>
      </c>
      <c r="Z57" s="20">
        <f t="shared" si="10"/>
        <v>3021215.8</v>
      </c>
      <c r="AA57" s="33">
        <f t="shared" si="11"/>
        <v>1848676.4400000004</v>
      </c>
      <c r="AB57" s="22">
        <f t="shared" si="12"/>
        <v>38.574577777331072</v>
      </c>
      <c r="AC57" s="178"/>
    </row>
    <row r="58" spans="1:29" s="14" customFormat="1" ht="35.25" customHeight="1" x14ac:dyDescent="0.5">
      <c r="A58" s="27">
        <v>52</v>
      </c>
      <c r="B58" s="28" t="s">
        <v>108</v>
      </c>
      <c r="C58" s="29" t="s">
        <v>135</v>
      </c>
      <c r="D58" s="20">
        <f>+'3.งบบุคลากร (GF)'!D59</f>
        <v>1771240</v>
      </c>
      <c r="E58" s="20">
        <f>+'3.งบบุคลากร (GF)'!E59</f>
        <v>0</v>
      </c>
      <c r="F58" s="20">
        <f>+'3.งบบุคลากร (GF)'!F59</f>
        <v>1098889.3500000001</v>
      </c>
      <c r="G58" s="33">
        <f t="shared" si="0"/>
        <v>672350.64999999991</v>
      </c>
      <c r="H58" s="22">
        <f t="shared" si="1"/>
        <v>62.040680540186543</v>
      </c>
      <c r="I58" s="20">
        <f>+'4. งบดำเนินงาน (GF)'!D59</f>
        <v>1519870</v>
      </c>
      <c r="J58" s="20">
        <f>+'4. งบดำเนินงาน (GF)'!E59</f>
        <v>232427.09</v>
      </c>
      <c r="K58" s="20">
        <f>+'4. งบดำเนินงาน (GF)'!F59</f>
        <v>801284.87</v>
      </c>
      <c r="L58" s="21">
        <f t="shared" si="2"/>
        <v>486158.03999999992</v>
      </c>
      <c r="M58" s="22">
        <f t="shared" si="3"/>
        <v>52.720618868719036</v>
      </c>
      <c r="N58" s="20">
        <f>+'5.งบลงทุน'!F59</f>
        <v>1426557</v>
      </c>
      <c r="O58" s="20">
        <f>+'5.งบลงทุน'!G59</f>
        <v>1038750</v>
      </c>
      <c r="P58" s="20">
        <f>+'5.งบลงทุน'!H59</f>
        <v>387807</v>
      </c>
      <c r="Q58" s="21">
        <f t="shared" si="4"/>
        <v>0</v>
      </c>
      <c r="R58" s="22">
        <f t="shared" si="5"/>
        <v>27.184823319362632</v>
      </c>
      <c r="S58" s="20">
        <f>+'6.งบรายจ่ายอื่น (GF)'!D58</f>
        <v>65000</v>
      </c>
      <c r="T58" s="20">
        <f>+'6.งบรายจ่ายอื่น (GF)'!E58</f>
        <v>0</v>
      </c>
      <c r="U58" s="20">
        <f>+'6.งบรายจ่ายอื่น (GF)'!F58</f>
        <v>5000</v>
      </c>
      <c r="V58" s="21">
        <f t="shared" si="6"/>
        <v>60000</v>
      </c>
      <c r="W58" s="22">
        <f t="shared" si="7"/>
        <v>7.6923076923076925</v>
      </c>
      <c r="X58" s="20">
        <f t="shared" si="8"/>
        <v>4782667</v>
      </c>
      <c r="Y58" s="20">
        <f t="shared" si="9"/>
        <v>1271177.0900000001</v>
      </c>
      <c r="Z58" s="20">
        <f t="shared" si="10"/>
        <v>2292981.2200000002</v>
      </c>
      <c r="AA58" s="33">
        <f t="shared" si="11"/>
        <v>1218508.69</v>
      </c>
      <c r="AB58" s="22">
        <f t="shared" si="12"/>
        <v>47.943568306135475</v>
      </c>
      <c r="AC58" s="178"/>
    </row>
    <row r="59" spans="1:29" s="14" customFormat="1" ht="35.25" customHeight="1" x14ac:dyDescent="0.5">
      <c r="A59" s="27">
        <v>53</v>
      </c>
      <c r="B59" s="28" t="s">
        <v>108</v>
      </c>
      <c r="C59" s="29" t="s">
        <v>136</v>
      </c>
      <c r="D59" s="20">
        <f>+'3.งบบุคลากร (GF)'!D60</f>
        <v>3114750</v>
      </c>
      <c r="E59" s="20">
        <f>+'3.งบบุคลากร (GF)'!E60</f>
        <v>0</v>
      </c>
      <c r="F59" s="20">
        <f>+'3.งบบุคลากร (GF)'!F60</f>
        <v>1882020</v>
      </c>
      <c r="G59" s="33">
        <f t="shared" si="0"/>
        <v>1232730</v>
      </c>
      <c r="H59" s="22">
        <f t="shared" si="1"/>
        <v>60.422826872140618</v>
      </c>
      <c r="I59" s="20">
        <f>+'4. งบดำเนินงาน (GF)'!D60</f>
        <v>2428495</v>
      </c>
      <c r="J59" s="20">
        <f>+'4. งบดำเนินงาน (GF)'!E60</f>
        <v>550303.75</v>
      </c>
      <c r="K59" s="20">
        <f>+'4. งบดำเนินงาน (GF)'!F60</f>
        <v>1300456.97</v>
      </c>
      <c r="L59" s="21">
        <f t="shared" si="2"/>
        <v>577734.28</v>
      </c>
      <c r="M59" s="22">
        <f t="shared" si="3"/>
        <v>53.549913423745984</v>
      </c>
      <c r="N59" s="20">
        <f>+'5.งบลงทุน'!F60</f>
        <v>29789</v>
      </c>
      <c r="O59" s="20">
        <f>+'5.งบลงทุน'!G60</f>
        <v>0</v>
      </c>
      <c r="P59" s="20">
        <f>+'5.งบลงทุน'!H60</f>
        <v>29789</v>
      </c>
      <c r="Q59" s="21">
        <f t="shared" si="4"/>
        <v>0</v>
      </c>
      <c r="R59" s="22">
        <f t="shared" si="5"/>
        <v>100</v>
      </c>
      <c r="S59" s="20">
        <f>+'6.งบรายจ่ายอื่น (GF)'!D59</f>
        <v>100000</v>
      </c>
      <c r="T59" s="20">
        <f>+'6.งบรายจ่ายอื่น (GF)'!E59</f>
        <v>0</v>
      </c>
      <c r="U59" s="20">
        <f>+'6.งบรายจ่ายอื่น (GF)'!F59</f>
        <v>0</v>
      </c>
      <c r="V59" s="21">
        <f t="shared" si="6"/>
        <v>100000</v>
      </c>
      <c r="W59" s="22">
        <f t="shared" si="7"/>
        <v>0</v>
      </c>
      <c r="X59" s="20">
        <f t="shared" si="8"/>
        <v>5673034</v>
      </c>
      <c r="Y59" s="20">
        <f t="shared" si="9"/>
        <v>550303.75</v>
      </c>
      <c r="Z59" s="20">
        <f t="shared" si="10"/>
        <v>3212265.9699999997</v>
      </c>
      <c r="AA59" s="33">
        <f t="shared" si="11"/>
        <v>1910464.2800000003</v>
      </c>
      <c r="AB59" s="22">
        <f t="shared" si="12"/>
        <v>56.62342178805909</v>
      </c>
      <c r="AC59" s="178"/>
    </row>
    <row r="60" spans="1:29" s="14" customFormat="1" ht="35.25" customHeight="1" x14ac:dyDescent="0.5">
      <c r="A60" s="27">
        <v>54</v>
      </c>
      <c r="B60" s="28" t="s">
        <v>108</v>
      </c>
      <c r="C60" s="29" t="s">
        <v>137</v>
      </c>
      <c r="D60" s="20">
        <f>+'3.งบบุคลากร (GF)'!D61</f>
        <v>2682811</v>
      </c>
      <c r="E60" s="20">
        <f>+'3.งบบุคลากร (GF)'!E61</f>
        <v>0</v>
      </c>
      <c r="F60" s="20">
        <f>+'3.งบบุคลากร (GF)'!F61</f>
        <v>1745058.05</v>
      </c>
      <c r="G60" s="33">
        <f t="shared" si="0"/>
        <v>937752.95</v>
      </c>
      <c r="H60" s="22">
        <f t="shared" si="1"/>
        <v>65.04588098080707</v>
      </c>
      <c r="I60" s="20">
        <f>+'4. งบดำเนินงาน (GF)'!D61</f>
        <v>2748357</v>
      </c>
      <c r="J60" s="20">
        <f>+'4. งบดำเนินงาน (GF)'!E61</f>
        <v>493811</v>
      </c>
      <c r="K60" s="20">
        <f>+'4. งบดำเนินงาน (GF)'!F61</f>
        <v>1377323.27</v>
      </c>
      <c r="L60" s="21">
        <f t="shared" si="2"/>
        <v>877222.73</v>
      </c>
      <c r="M60" s="22">
        <f t="shared" si="3"/>
        <v>50.1144236356485</v>
      </c>
      <c r="N60" s="20">
        <f>+'5.งบลงทุน'!F61</f>
        <v>517790</v>
      </c>
      <c r="O60" s="20">
        <f>+'5.งบลงทุน'!G61</f>
        <v>0</v>
      </c>
      <c r="P60" s="20">
        <f>+'5.งบลงทุน'!H61</f>
        <v>517790</v>
      </c>
      <c r="Q60" s="21">
        <f t="shared" si="4"/>
        <v>0</v>
      </c>
      <c r="R60" s="22">
        <f t="shared" si="5"/>
        <v>100</v>
      </c>
      <c r="S60" s="20">
        <f>+'6.งบรายจ่ายอื่น (GF)'!D60</f>
        <v>206400</v>
      </c>
      <c r="T60" s="20">
        <f>+'6.งบรายจ่ายอื่น (GF)'!E60</f>
        <v>0</v>
      </c>
      <c r="U60" s="20">
        <f>+'6.งบรายจ่ายอื่น (GF)'!F60</f>
        <v>20400</v>
      </c>
      <c r="V60" s="21">
        <f t="shared" si="6"/>
        <v>186000</v>
      </c>
      <c r="W60" s="22">
        <f t="shared" si="7"/>
        <v>9.8837209302325579</v>
      </c>
      <c r="X60" s="20">
        <f t="shared" si="8"/>
        <v>6155358</v>
      </c>
      <c r="Y60" s="20">
        <f t="shared" si="9"/>
        <v>493811</v>
      </c>
      <c r="Z60" s="20">
        <f t="shared" si="10"/>
        <v>3660571.3200000003</v>
      </c>
      <c r="AA60" s="33">
        <f t="shared" si="11"/>
        <v>2000975.6799999997</v>
      </c>
      <c r="AB60" s="22">
        <f t="shared" si="12"/>
        <v>59.469673737904444</v>
      </c>
      <c r="AC60" s="178"/>
    </row>
    <row r="61" spans="1:29" s="14" customFormat="1" ht="35.25" customHeight="1" x14ac:dyDescent="0.5">
      <c r="A61" s="27">
        <v>55</v>
      </c>
      <c r="B61" s="28" t="s">
        <v>108</v>
      </c>
      <c r="C61" s="29" t="s">
        <v>39</v>
      </c>
      <c r="D61" s="20">
        <f>+'3.งบบุคลากร (GF)'!D62</f>
        <v>2689356</v>
      </c>
      <c r="E61" s="20">
        <f>+'3.งบบุคลากร (GF)'!E62</f>
        <v>0</v>
      </c>
      <c r="F61" s="20">
        <f>+'3.งบบุคลากร (GF)'!F62</f>
        <v>1785572.9</v>
      </c>
      <c r="G61" s="33">
        <f t="shared" si="0"/>
        <v>903783.10000000009</v>
      </c>
      <c r="H61" s="22">
        <f t="shared" si="1"/>
        <v>66.394069807046748</v>
      </c>
      <c r="I61" s="20">
        <f>+'4. งบดำเนินงาน (GF)'!D62</f>
        <v>1514303</v>
      </c>
      <c r="J61" s="20">
        <f>+'4. งบดำเนินงาน (GF)'!E62</f>
        <v>195653.5</v>
      </c>
      <c r="K61" s="20">
        <f>+'4. งบดำเนินงาน (GF)'!F62</f>
        <v>948916.3</v>
      </c>
      <c r="L61" s="21">
        <f t="shared" si="2"/>
        <v>369733.19999999995</v>
      </c>
      <c r="M61" s="22">
        <f t="shared" si="3"/>
        <v>62.663568651716332</v>
      </c>
      <c r="N61" s="20">
        <f>+'5.งบลงทุน'!F62</f>
        <v>185180</v>
      </c>
      <c r="O61" s="20">
        <f>+'5.งบลงทุน'!G62</f>
        <v>0</v>
      </c>
      <c r="P61" s="20">
        <f>+'5.งบลงทุน'!H62</f>
        <v>185180</v>
      </c>
      <c r="Q61" s="21">
        <f t="shared" si="4"/>
        <v>0</v>
      </c>
      <c r="R61" s="22">
        <f t="shared" si="5"/>
        <v>100</v>
      </c>
      <c r="S61" s="20">
        <f>+'6.งบรายจ่ายอื่น (GF)'!D61</f>
        <v>75000</v>
      </c>
      <c r="T61" s="20">
        <f>+'6.งบรายจ่ายอื่น (GF)'!E61</f>
        <v>0</v>
      </c>
      <c r="U61" s="20">
        <f>+'6.งบรายจ่ายอื่น (GF)'!F61</f>
        <v>0</v>
      </c>
      <c r="V61" s="21">
        <f t="shared" si="6"/>
        <v>75000</v>
      </c>
      <c r="W61" s="22">
        <f t="shared" si="7"/>
        <v>0</v>
      </c>
      <c r="X61" s="20">
        <f t="shared" si="8"/>
        <v>4463839</v>
      </c>
      <c r="Y61" s="20">
        <f t="shared" si="9"/>
        <v>195653.5</v>
      </c>
      <c r="Z61" s="20">
        <f t="shared" si="10"/>
        <v>2919669.2</v>
      </c>
      <c r="AA61" s="33">
        <f t="shared" si="11"/>
        <v>1348516.2999999998</v>
      </c>
      <c r="AB61" s="22">
        <f t="shared" si="12"/>
        <v>65.407134979554598</v>
      </c>
      <c r="AC61" s="178"/>
    </row>
    <row r="62" spans="1:29" s="14" customFormat="1" ht="35.25" customHeight="1" x14ac:dyDescent="0.5">
      <c r="A62" s="27">
        <v>56</v>
      </c>
      <c r="B62" s="28" t="s">
        <v>108</v>
      </c>
      <c r="C62" s="29" t="s">
        <v>138</v>
      </c>
      <c r="D62" s="20">
        <f>+'3.งบบุคลากร (GF)'!D63</f>
        <v>1159369</v>
      </c>
      <c r="E62" s="20">
        <f>+'3.งบบุคลากร (GF)'!E63</f>
        <v>0</v>
      </c>
      <c r="F62" s="20">
        <f>+'3.งบบุคลากร (GF)'!F63</f>
        <v>647640</v>
      </c>
      <c r="G62" s="33">
        <f t="shared" si="0"/>
        <v>511729</v>
      </c>
      <c r="H62" s="22">
        <f t="shared" si="1"/>
        <v>55.861421169618993</v>
      </c>
      <c r="I62" s="20">
        <f>+'4. งบดำเนินงาน (GF)'!D63</f>
        <v>1616440</v>
      </c>
      <c r="J62" s="20">
        <f>+'4. งบดำเนินงาน (GF)'!E63</f>
        <v>450964.21</v>
      </c>
      <c r="K62" s="20">
        <f>+'4. งบดำเนินงาน (GF)'!F63</f>
        <v>874200.18</v>
      </c>
      <c r="L62" s="21">
        <f t="shared" si="2"/>
        <v>291275.61</v>
      </c>
      <c r="M62" s="22">
        <f t="shared" si="3"/>
        <v>54.081820543911313</v>
      </c>
      <c r="N62" s="20">
        <f>+'5.งบลงทุน'!F63</f>
        <v>171780</v>
      </c>
      <c r="O62" s="20">
        <f>+'5.งบลงทุน'!G63</f>
        <v>0</v>
      </c>
      <c r="P62" s="20">
        <f>+'5.งบลงทุน'!H63</f>
        <v>171780</v>
      </c>
      <c r="Q62" s="21">
        <f t="shared" si="4"/>
        <v>0</v>
      </c>
      <c r="R62" s="22">
        <f t="shared" si="5"/>
        <v>100</v>
      </c>
      <c r="S62" s="20">
        <f>+'6.งบรายจ่ายอื่น (GF)'!D62</f>
        <v>95000</v>
      </c>
      <c r="T62" s="20">
        <f>+'6.งบรายจ่ายอื่น (GF)'!E62</f>
        <v>0</v>
      </c>
      <c r="U62" s="20">
        <f>+'6.งบรายจ่ายอื่น (GF)'!F62</f>
        <v>27090</v>
      </c>
      <c r="V62" s="21">
        <f t="shared" si="6"/>
        <v>67910</v>
      </c>
      <c r="W62" s="22">
        <f t="shared" si="7"/>
        <v>28.515789473684212</v>
      </c>
      <c r="X62" s="20">
        <f t="shared" si="8"/>
        <v>3042589</v>
      </c>
      <c r="Y62" s="20">
        <f t="shared" si="9"/>
        <v>450964.21</v>
      </c>
      <c r="Z62" s="20">
        <f t="shared" si="10"/>
        <v>1720710.1800000002</v>
      </c>
      <c r="AA62" s="33">
        <f t="shared" si="11"/>
        <v>870914.60999999987</v>
      </c>
      <c r="AB62" s="22">
        <f t="shared" si="12"/>
        <v>56.554144513110387</v>
      </c>
      <c r="AC62" s="178"/>
    </row>
    <row r="63" spans="1:29" s="14" customFormat="1" ht="35.25" customHeight="1" x14ac:dyDescent="0.5">
      <c r="A63" s="27">
        <v>57</v>
      </c>
      <c r="B63" s="28" t="s">
        <v>108</v>
      </c>
      <c r="C63" s="29" t="s">
        <v>139</v>
      </c>
      <c r="D63" s="20">
        <f>+'3.งบบุคลากร (GF)'!D64</f>
        <v>4108999</v>
      </c>
      <c r="E63" s="20">
        <f>+'3.งบบุคลากร (GF)'!E64</f>
        <v>0</v>
      </c>
      <c r="F63" s="20">
        <f>+'3.งบบุคลากร (GF)'!F64</f>
        <v>2480300</v>
      </c>
      <c r="G63" s="33">
        <f t="shared" si="0"/>
        <v>1628699</v>
      </c>
      <c r="H63" s="22">
        <f t="shared" si="1"/>
        <v>60.362633332351749</v>
      </c>
      <c r="I63" s="20">
        <f>+'4. งบดำเนินงาน (GF)'!D64</f>
        <v>2138900.0299999998</v>
      </c>
      <c r="J63" s="20">
        <f>+'4. งบดำเนินงาน (GF)'!E64</f>
        <v>97600</v>
      </c>
      <c r="K63" s="20">
        <f>+'4. งบดำเนินงาน (GF)'!F64</f>
        <v>1259128.2</v>
      </c>
      <c r="L63" s="21">
        <f t="shared" si="2"/>
        <v>782171.82999999984</v>
      </c>
      <c r="M63" s="22">
        <f t="shared" si="3"/>
        <v>58.868024794969031</v>
      </c>
      <c r="N63" s="20">
        <f>+'5.งบลงทุน'!F64</f>
        <v>184810</v>
      </c>
      <c r="O63" s="20">
        <f>+'5.งบลงทุน'!G64</f>
        <v>0</v>
      </c>
      <c r="P63" s="20">
        <f>+'5.งบลงทุน'!H64</f>
        <v>184810</v>
      </c>
      <c r="Q63" s="21">
        <f t="shared" si="4"/>
        <v>0</v>
      </c>
      <c r="R63" s="22">
        <f t="shared" si="5"/>
        <v>100</v>
      </c>
      <c r="S63" s="20">
        <f>+'6.งบรายจ่ายอื่น (GF)'!D63</f>
        <v>115400</v>
      </c>
      <c r="T63" s="20">
        <f>+'6.งบรายจ่ายอื่น (GF)'!E63</f>
        <v>0</v>
      </c>
      <c r="U63" s="20">
        <f>+'6.งบรายจ่ายอื่น (GF)'!F63</f>
        <v>0</v>
      </c>
      <c r="V63" s="21">
        <f t="shared" si="6"/>
        <v>115400</v>
      </c>
      <c r="W63" s="22">
        <f t="shared" si="7"/>
        <v>0</v>
      </c>
      <c r="X63" s="20">
        <f t="shared" si="8"/>
        <v>6548109.0299999993</v>
      </c>
      <c r="Y63" s="20">
        <f t="shared" si="9"/>
        <v>97600</v>
      </c>
      <c r="Z63" s="20">
        <f t="shared" si="10"/>
        <v>3924238.2</v>
      </c>
      <c r="AA63" s="33">
        <f t="shared" si="11"/>
        <v>2526270.8299999991</v>
      </c>
      <c r="AB63" s="22">
        <f t="shared" si="12"/>
        <v>59.929335049572323</v>
      </c>
      <c r="AC63" s="178"/>
    </row>
    <row r="64" spans="1:29" s="14" customFormat="1" ht="35.25" customHeight="1" x14ac:dyDescent="0.5">
      <c r="A64" s="27">
        <v>58</v>
      </c>
      <c r="B64" s="28" t="s">
        <v>108</v>
      </c>
      <c r="C64" s="29" t="s">
        <v>40</v>
      </c>
      <c r="D64" s="20">
        <f>+'3.งบบุคลากร (GF)'!D65</f>
        <v>1895685</v>
      </c>
      <c r="E64" s="20">
        <f>+'3.งบบุคลากร (GF)'!E65</f>
        <v>0</v>
      </c>
      <c r="F64" s="20">
        <f>+'3.งบบุคลากร (GF)'!F65</f>
        <v>1227560</v>
      </c>
      <c r="G64" s="33">
        <f t="shared" si="0"/>
        <v>668125</v>
      </c>
      <c r="H64" s="22">
        <f t="shared" si="1"/>
        <v>64.755484165354474</v>
      </c>
      <c r="I64" s="20">
        <f>+'4. งบดำเนินงาน (GF)'!D65</f>
        <v>923683</v>
      </c>
      <c r="J64" s="20">
        <f>+'4. งบดำเนินงาน (GF)'!E65</f>
        <v>0</v>
      </c>
      <c r="K64" s="20">
        <f>+'4. งบดำเนินงาน (GF)'!F65</f>
        <v>539879.88</v>
      </c>
      <c r="L64" s="21">
        <f t="shared" si="2"/>
        <v>383803.12</v>
      </c>
      <c r="M64" s="22">
        <f t="shared" si="3"/>
        <v>58.448610616412772</v>
      </c>
      <c r="N64" s="20">
        <f>+'5.งบลงทุน'!F65</f>
        <v>14490</v>
      </c>
      <c r="O64" s="20">
        <f>+'5.งบลงทุน'!G65</f>
        <v>0</v>
      </c>
      <c r="P64" s="20">
        <f>+'5.งบลงทุน'!H65</f>
        <v>14490</v>
      </c>
      <c r="Q64" s="21">
        <f t="shared" si="4"/>
        <v>0</v>
      </c>
      <c r="R64" s="22">
        <f t="shared" si="5"/>
        <v>100</v>
      </c>
      <c r="S64" s="20">
        <f>+'6.งบรายจ่ายอื่น (GF)'!D64</f>
        <v>106000</v>
      </c>
      <c r="T64" s="20">
        <f>+'6.งบรายจ่ายอื่น (GF)'!E64</f>
        <v>0</v>
      </c>
      <c r="U64" s="20">
        <f>+'6.งบรายจ่ายอื่น (GF)'!F64</f>
        <v>0</v>
      </c>
      <c r="V64" s="21">
        <f t="shared" si="6"/>
        <v>106000</v>
      </c>
      <c r="W64" s="22">
        <f t="shared" si="7"/>
        <v>0</v>
      </c>
      <c r="X64" s="20">
        <f t="shared" si="8"/>
        <v>2939858</v>
      </c>
      <c r="Y64" s="20">
        <f t="shared" si="9"/>
        <v>0</v>
      </c>
      <c r="Z64" s="20">
        <f t="shared" si="10"/>
        <v>1781929.88</v>
      </c>
      <c r="AA64" s="33">
        <f t="shared" si="11"/>
        <v>1157928.1200000001</v>
      </c>
      <c r="AB64" s="22">
        <f t="shared" si="12"/>
        <v>60.612787420344794</v>
      </c>
      <c r="AC64" s="178"/>
    </row>
    <row r="65" spans="1:29" s="14" customFormat="1" ht="35.25" customHeight="1" x14ac:dyDescent="0.5">
      <c r="A65" s="27">
        <v>59</v>
      </c>
      <c r="B65" s="28" t="s">
        <v>108</v>
      </c>
      <c r="C65" s="29" t="s">
        <v>140</v>
      </c>
      <c r="D65" s="20">
        <f>+'3.งบบุคลากร (GF)'!D66</f>
        <v>4411043</v>
      </c>
      <c r="E65" s="20">
        <f>+'3.งบบุคลากร (GF)'!E66</f>
        <v>0</v>
      </c>
      <c r="F65" s="20">
        <f>+'3.งบบุคลากร (GF)'!F66</f>
        <v>2796611.2</v>
      </c>
      <c r="G65" s="33">
        <f t="shared" si="0"/>
        <v>1614431.7999999998</v>
      </c>
      <c r="H65" s="22">
        <f t="shared" si="1"/>
        <v>63.400225298189113</v>
      </c>
      <c r="I65" s="20">
        <f>+'4. งบดำเนินงาน (GF)'!D66</f>
        <v>2933175</v>
      </c>
      <c r="J65" s="20">
        <f>+'4. งบดำเนินงาน (GF)'!E66</f>
        <v>821587.6</v>
      </c>
      <c r="K65" s="20">
        <f>+'4. งบดำเนินงาน (GF)'!F66</f>
        <v>1450205.2</v>
      </c>
      <c r="L65" s="21">
        <f t="shared" si="2"/>
        <v>661382.19999999995</v>
      </c>
      <c r="M65" s="22">
        <f t="shared" si="3"/>
        <v>49.441482352740628</v>
      </c>
      <c r="N65" s="20">
        <f>+'5.งบลงทุน'!F66</f>
        <v>217490</v>
      </c>
      <c r="O65" s="20">
        <f>+'5.งบลงทุน'!G66</f>
        <v>0</v>
      </c>
      <c r="P65" s="20">
        <f>+'5.งบลงทุน'!H66</f>
        <v>217490</v>
      </c>
      <c r="Q65" s="21">
        <f t="shared" si="4"/>
        <v>0</v>
      </c>
      <c r="R65" s="22">
        <f t="shared" si="5"/>
        <v>100</v>
      </c>
      <c r="S65" s="20">
        <f>+'6.งบรายจ่ายอื่น (GF)'!D65</f>
        <v>164900</v>
      </c>
      <c r="T65" s="20">
        <f>+'6.งบรายจ่ายอื่น (GF)'!E65</f>
        <v>0</v>
      </c>
      <c r="U65" s="20">
        <f>+'6.งบรายจ่ายอื่น (GF)'!F65</f>
        <v>14986.56</v>
      </c>
      <c r="V65" s="21">
        <f t="shared" si="6"/>
        <v>149913.44</v>
      </c>
      <c r="W65" s="22">
        <f t="shared" si="7"/>
        <v>9.0882716798059437</v>
      </c>
      <c r="X65" s="20">
        <f t="shared" si="8"/>
        <v>7726608</v>
      </c>
      <c r="Y65" s="20">
        <f t="shared" si="9"/>
        <v>821587.6</v>
      </c>
      <c r="Z65" s="20">
        <f t="shared" si="10"/>
        <v>4479292.96</v>
      </c>
      <c r="AA65" s="33">
        <f t="shared" si="11"/>
        <v>2425727.4400000004</v>
      </c>
      <c r="AB65" s="22">
        <f t="shared" si="12"/>
        <v>57.972307641334979</v>
      </c>
      <c r="AC65" s="178"/>
    </row>
    <row r="66" spans="1:29" s="14" customFormat="1" ht="35.25" customHeight="1" x14ac:dyDescent="0.5">
      <c r="A66" s="27">
        <v>60</v>
      </c>
      <c r="B66" s="28" t="s">
        <v>108</v>
      </c>
      <c r="C66" s="29" t="s">
        <v>141</v>
      </c>
      <c r="D66" s="20">
        <f>+'3.งบบุคลากร (GF)'!D67</f>
        <v>1534782</v>
      </c>
      <c r="E66" s="20">
        <f>+'3.งบบุคลากร (GF)'!E67</f>
        <v>0</v>
      </c>
      <c r="F66" s="20">
        <f>+'3.งบบุคลากร (GF)'!F67</f>
        <v>953480</v>
      </c>
      <c r="G66" s="33">
        <f t="shared" si="0"/>
        <v>581302</v>
      </c>
      <c r="H66" s="22">
        <f t="shared" si="1"/>
        <v>62.124783845523339</v>
      </c>
      <c r="I66" s="20">
        <f>+'4. งบดำเนินงาน (GF)'!D67</f>
        <v>843734</v>
      </c>
      <c r="J66" s="20">
        <f>+'4. งบดำเนินงาน (GF)'!E67</f>
        <v>0</v>
      </c>
      <c r="K66" s="20">
        <f>+'4. งบดำเนินงาน (GF)'!F67</f>
        <v>577906.06999999995</v>
      </c>
      <c r="L66" s="21">
        <f t="shared" si="2"/>
        <v>265827.93000000005</v>
      </c>
      <c r="M66" s="22">
        <f t="shared" si="3"/>
        <v>68.493870105981259</v>
      </c>
      <c r="N66" s="20">
        <f>+'5.งบลงทุน'!F67</f>
        <v>0</v>
      </c>
      <c r="O66" s="20">
        <f>+'5.งบลงทุน'!G67</f>
        <v>0</v>
      </c>
      <c r="P66" s="20">
        <f>+'5.งบลงทุน'!H67</f>
        <v>0</v>
      </c>
      <c r="Q66" s="21">
        <f t="shared" si="4"/>
        <v>0</v>
      </c>
      <c r="R66" s="22" t="e">
        <f t="shared" si="5"/>
        <v>#DIV/0!</v>
      </c>
      <c r="S66" s="20">
        <f>+'6.งบรายจ่ายอื่น (GF)'!D66</f>
        <v>8000</v>
      </c>
      <c r="T66" s="20">
        <f>+'6.งบรายจ่ายอื่น (GF)'!E66</f>
        <v>0</v>
      </c>
      <c r="U66" s="20">
        <f>+'6.งบรายจ่ายอื่น (GF)'!F66</f>
        <v>0</v>
      </c>
      <c r="V66" s="21">
        <f t="shared" si="6"/>
        <v>8000</v>
      </c>
      <c r="W66" s="22">
        <f t="shared" si="7"/>
        <v>0</v>
      </c>
      <c r="X66" s="20">
        <f t="shared" si="8"/>
        <v>2386516</v>
      </c>
      <c r="Y66" s="20">
        <f t="shared" si="9"/>
        <v>0</v>
      </c>
      <c r="Z66" s="20">
        <f t="shared" si="10"/>
        <v>1531386.0699999998</v>
      </c>
      <c r="AA66" s="33">
        <f t="shared" si="11"/>
        <v>855129.93000000017</v>
      </c>
      <c r="AB66" s="22">
        <f t="shared" si="12"/>
        <v>64.168271656255385</v>
      </c>
      <c r="AC66" s="178" t="s">
        <v>305</v>
      </c>
    </row>
    <row r="67" spans="1:29" s="14" customFormat="1" ht="35.25" customHeight="1" x14ac:dyDescent="0.5">
      <c r="A67" s="27">
        <v>61</v>
      </c>
      <c r="B67" s="28" t="s">
        <v>108</v>
      </c>
      <c r="C67" s="29" t="s">
        <v>142</v>
      </c>
      <c r="D67" s="20">
        <f>+'3.งบบุคลากร (GF)'!D68</f>
        <v>1874670</v>
      </c>
      <c r="E67" s="20">
        <f>+'3.งบบุคลากร (GF)'!E68</f>
        <v>0</v>
      </c>
      <c r="F67" s="20">
        <f>+'3.งบบุคลากร (GF)'!F68</f>
        <v>1166140</v>
      </c>
      <c r="G67" s="33">
        <f t="shared" si="0"/>
        <v>708530</v>
      </c>
      <c r="H67" s="22">
        <f t="shared" si="1"/>
        <v>62.205081427664602</v>
      </c>
      <c r="I67" s="20">
        <f>+'4. งบดำเนินงาน (GF)'!D68</f>
        <v>555144</v>
      </c>
      <c r="J67" s="20">
        <f>+'4. งบดำเนินงาน (GF)'!E68</f>
        <v>0</v>
      </c>
      <c r="K67" s="20">
        <f>+'4. งบดำเนินงาน (GF)'!F68</f>
        <v>309122.53000000003</v>
      </c>
      <c r="L67" s="21">
        <f t="shared" si="2"/>
        <v>246021.46999999997</v>
      </c>
      <c r="M67" s="22">
        <f t="shared" si="3"/>
        <v>55.683305592783142</v>
      </c>
      <c r="N67" s="20">
        <f>+'5.งบลงทุน'!F68</f>
        <v>0</v>
      </c>
      <c r="O67" s="20">
        <f>+'5.งบลงทุน'!G68</f>
        <v>0</v>
      </c>
      <c r="P67" s="20">
        <f>+'5.งบลงทุน'!H68</f>
        <v>0</v>
      </c>
      <c r="Q67" s="21">
        <f t="shared" si="4"/>
        <v>0</v>
      </c>
      <c r="R67" s="22" t="e">
        <f t="shared" si="5"/>
        <v>#DIV/0!</v>
      </c>
      <c r="S67" s="20">
        <f>+'6.งบรายจ่ายอื่น (GF)'!D67</f>
        <v>5000</v>
      </c>
      <c r="T67" s="20">
        <f>+'6.งบรายจ่ายอื่น (GF)'!E67</f>
        <v>0</v>
      </c>
      <c r="U67" s="20">
        <f>+'6.งบรายจ่ายอื่น (GF)'!F67</f>
        <v>0</v>
      </c>
      <c r="V67" s="21">
        <f t="shared" si="6"/>
        <v>5000</v>
      </c>
      <c r="W67" s="22">
        <f t="shared" si="7"/>
        <v>0</v>
      </c>
      <c r="X67" s="20">
        <f t="shared" si="8"/>
        <v>2434814</v>
      </c>
      <c r="Y67" s="20">
        <f t="shared" si="9"/>
        <v>0</v>
      </c>
      <c r="Z67" s="20">
        <f t="shared" si="10"/>
        <v>1475262.53</v>
      </c>
      <c r="AA67" s="33">
        <f t="shared" si="11"/>
        <v>959551.47</v>
      </c>
      <c r="AB67" s="22">
        <f t="shared" si="12"/>
        <v>60.590358442164373</v>
      </c>
      <c r="AC67" s="178"/>
    </row>
    <row r="68" spans="1:29" s="14" customFormat="1" ht="35.25" customHeight="1" x14ac:dyDescent="0.5">
      <c r="A68" s="27">
        <v>62</v>
      </c>
      <c r="B68" s="28" t="s">
        <v>108</v>
      </c>
      <c r="C68" s="29" t="s">
        <v>143</v>
      </c>
      <c r="D68" s="20">
        <f>+'3.งบบุคลากร (GF)'!D69</f>
        <v>1468002</v>
      </c>
      <c r="E68" s="20">
        <f>+'3.งบบุคลากร (GF)'!E69</f>
        <v>0</v>
      </c>
      <c r="F68" s="20">
        <f>+'3.งบบุคลากร (GF)'!F69</f>
        <v>915940</v>
      </c>
      <c r="G68" s="33">
        <f t="shared" si="0"/>
        <v>552062</v>
      </c>
      <c r="H68" s="22">
        <f t="shared" si="1"/>
        <v>62.393647965057269</v>
      </c>
      <c r="I68" s="20">
        <f>+'4. งบดำเนินงาน (GF)'!D69</f>
        <v>800828</v>
      </c>
      <c r="J68" s="20">
        <f>+'4. งบดำเนินงาน (GF)'!E69</f>
        <v>0</v>
      </c>
      <c r="K68" s="20">
        <f>+'4. งบดำเนินงาน (GF)'!F69</f>
        <v>402358.13</v>
      </c>
      <c r="L68" s="21">
        <f t="shared" si="2"/>
        <v>398469.87</v>
      </c>
      <c r="M68" s="22">
        <f t="shared" si="3"/>
        <v>50.242764988237177</v>
      </c>
      <c r="N68" s="20">
        <f>+'5.งบลงทุน'!F69</f>
        <v>71140</v>
      </c>
      <c r="O68" s="20">
        <f>+'5.งบลงทุน'!G69</f>
        <v>0</v>
      </c>
      <c r="P68" s="20">
        <f>+'5.งบลงทุน'!H69</f>
        <v>71140</v>
      </c>
      <c r="Q68" s="21">
        <f t="shared" si="4"/>
        <v>0</v>
      </c>
      <c r="R68" s="22">
        <f t="shared" si="5"/>
        <v>100</v>
      </c>
      <c r="S68" s="20">
        <f>+'6.งบรายจ่ายอื่น (GF)'!D68</f>
        <v>8000</v>
      </c>
      <c r="T68" s="20">
        <f>+'6.งบรายจ่ายอื่น (GF)'!E68</f>
        <v>0</v>
      </c>
      <c r="U68" s="20">
        <f>+'6.งบรายจ่ายอื่น (GF)'!F68</f>
        <v>0</v>
      </c>
      <c r="V68" s="21">
        <f t="shared" si="6"/>
        <v>8000</v>
      </c>
      <c r="W68" s="22">
        <f t="shared" si="7"/>
        <v>0</v>
      </c>
      <c r="X68" s="20">
        <f t="shared" si="8"/>
        <v>2347970</v>
      </c>
      <c r="Y68" s="20">
        <f t="shared" si="9"/>
        <v>0</v>
      </c>
      <c r="Z68" s="20">
        <f t="shared" si="10"/>
        <v>1389438.13</v>
      </c>
      <c r="AA68" s="33">
        <f t="shared" si="11"/>
        <v>958531.87000000011</v>
      </c>
      <c r="AB68" s="22">
        <f t="shared" si="12"/>
        <v>59.176144925190698</v>
      </c>
      <c r="AC68" s="178"/>
    </row>
    <row r="69" spans="1:29" s="14" customFormat="1" ht="35.25" customHeight="1" x14ac:dyDescent="0.5">
      <c r="A69" s="27">
        <v>63</v>
      </c>
      <c r="B69" s="28" t="s">
        <v>108</v>
      </c>
      <c r="C69" s="29" t="s">
        <v>144</v>
      </c>
      <c r="D69" s="20">
        <f>+'3.งบบุคลากร (GF)'!D70</f>
        <v>1537242</v>
      </c>
      <c r="E69" s="20">
        <f>+'3.งบบุคลากร (GF)'!E70</f>
        <v>0</v>
      </c>
      <c r="F69" s="20">
        <f>+'3.งบบุคลากร (GF)'!F70</f>
        <v>1142140</v>
      </c>
      <c r="G69" s="33">
        <f t="shared" si="0"/>
        <v>395102</v>
      </c>
      <c r="H69" s="22">
        <f t="shared" si="1"/>
        <v>74.297996021446195</v>
      </c>
      <c r="I69" s="20">
        <f>+'4. งบดำเนินงาน (GF)'!D70</f>
        <v>705924</v>
      </c>
      <c r="J69" s="20">
        <f>+'4. งบดำเนินงาน (GF)'!E70</f>
        <v>6420</v>
      </c>
      <c r="K69" s="20">
        <f>+'4. งบดำเนินงาน (GF)'!F70</f>
        <v>403109.98</v>
      </c>
      <c r="L69" s="21">
        <f t="shared" si="2"/>
        <v>296394.02</v>
      </c>
      <c r="M69" s="22">
        <f t="shared" si="3"/>
        <v>57.10387803786243</v>
      </c>
      <c r="N69" s="20">
        <f>+'5.งบลงทุน'!F70</f>
        <v>8000</v>
      </c>
      <c r="O69" s="20">
        <f>+'5.งบลงทุน'!G70</f>
        <v>0</v>
      </c>
      <c r="P69" s="20">
        <f>+'5.งบลงทุน'!H70</f>
        <v>8000</v>
      </c>
      <c r="Q69" s="21">
        <f t="shared" si="4"/>
        <v>0</v>
      </c>
      <c r="R69" s="22">
        <f t="shared" si="5"/>
        <v>100</v>
      </c>
      <c r="S69" s="20">
        <f>+'6.งบรายจ่ายอื่น (GF)'!D69</f>
        <v>5000</v>
      </c>
      <c r="T69" s="20">
        <f>+'6.งบรายจ่ายอื่น (GF)'!E69</f>
        <v>0</v>
      </c>
      <c r="U69" s="20">
        <f>+'6.งบรายจ่ายอื่น (GF)'!F69</f>
        <v>0</v>
      </c>
      <c r="V69" s="21">
        <f t="shared" si="6"/>
        <v>5000</v>
      </c>
      <c r="W69" s="22">
        <f t="shared" si="7"/>
        <v>0</v>
      </c>
      <c r="X69" s="20">
        <f t="shared" si="8"/>
        <v>2256166</v>
      </c>
      <c r="Y69" s="20">
        <f t="shared" si="9"/>
        <v>6420</v>
      </c>
      <c r="Z69" s="20">
        <f t="shared" si="10"/>
        <v>1553249.98</v>
      </c>
      <c r="AA69" s="33">
        <f t="shared" si="11"/>
        <v>696496.02</v>
      </c>
      <c r="AB69" s="22">
        <f t="shared" si="12"/>
        <v>68.844667457979597</v>
      </c>
      <c r="AC69" s="178"/>
    </row>
    <row r="70" spans="1:29" s="14" customFormat="1" ht="35.25" customHeight="1" x14ac:dyDescent="0.5">
      <c r="A70" s="27">
        <v>64</v>
      </c>
      <c r="B70" s="28" t="s">
        <v>108</v>
      </c>
      <c r="C70" s="29" t="s">
        <v>41</v>
      </c>
      <c r="D70" s="20">
        <f>+'3.งบบุคลากร (GF)'!D71</f>
        <v>1362162</v>
      </c>
      <c r="E70" s="20">
        <f>+'3.งบบุคลากร (GF)'!E71</f>
        <v>0</v>
      </c>
      <c r="F70" s="20">
        <f>+'3.งบบุคลากร (GF)'!F71</f>
        <v>847220</v>
      </c>
      <c r="G70" s="33">
        <f t="shared" si="0"/>
        <v>514942</v>
      </c>
      <c r="H70" s="22">
        <f t="shared" si="1"/>
        <v>62.196713753577036</v>
      </c>
      <c r="I70" s="20">
        <f>+'4. งบดำเนินงาน (GF)'!D71</f>
        <v>732803</v>
      </c>
      <c r="J70" s="20">
        <f>+'4. งบดำเนินงาน (GF)'!E71</f>
        <v>0</v>
      </c>
      <c r="K70" s="20">
        <f>+'4. งบดำเนินงาน (GF)'!F71</f>
        <v>510944.39</v>
      </c>
      <c r="L70" s="21">
        <f t="shared" si="2"/>
        <v>221858.61</v>
      </c>
      <c r="M70" s="22">
        <f t="shared" si="3"/>
        <v>69.724658605382345</v>
      </c>
      <c r="N70" s="20">
        <f>+'5.งบลงทุน'!F71</f>
        <v>25700</v>
      </c>
      <c r="O70" s="20">
        <f>+'5.งบลงทุน'!G71</f>
        <v>0</v>
      </c>
      <c r="P70" s="20">
        <f>+'5.งบลงทุน'!H71</f>
        <v>25700</v>
      </c>
      <c r="Q70" s="21">
        <f t="shared" si="4"/>
        <v>0</v>
      </c>
      <c r="R70" s="22">
        <f t="shared" si="5"/>
        <v>100</v>
      </c>
      <c r="S70" s="20">
        <f>+'6.งบรายจ่ายอื่น (GF)'!D70</f>
        <v>5000</v>
      </c>
      <c r="T70" s="20">
        <f>+'6.งบรายจ่ายอื่น (GF)'!E70</f>
        <v>0</v>
      </c>
      <c r="U70" s="20">
        <f>+'6.งบรายจ่ายอื่น (GF)'!F70</f>
        <v>5000</v>
      </c>
      <c r="V70" s="21">
        <f t="shared" si="6"/>
        <v>0</v>
      </c>
      <c r="W70" s="22">
        <f t="shared" si="7"/>
        <v>100</v>
      </c>
      <c r="X70" s="20">
        <f t="shared" si="8"/>
        <v>2125665</v>
      </c>
      <c r="Y70" s="20">
        <f t="shared" si="9"/>
        <v>0</v>
      </c>
      <c r="Z70" s="20">
        <f t="shared" si="10"/>
        <v>1388864.3900000001</v>
      </c>
      <c r="AA70" s="33">
        <f t="shared" si="11"/>
        <v>736800.60999999987</v>
      </c>
      <c r="AB70" s="22">
        <f t="shared" si="12"/>
        <v>65.337877323096535</v>
      </c>
      <c r="AC70" s="178"/>
    </row>
    <row r="71" spans="1:29" s="14" customFormat="1" ht="35.25" customHeight="1" x14ac:dyDescent="0.5">
      <c r="A71" s="27">
        <v>65</v>
      </c>
      <c r="B71" s="28" t="s">
        <v>108</v>
      </c>
      <c r="C71" s="29" t="s">
        <v>42</v>
      </c>
      <c r="D71" s="20">
        <f>+'3.งบบุคลากร (GF)'!D72</f>
        <v>1287942</v>
      </c>
      <c r="E71" s="20">
        <f>+'3.งบบุคลากร (GF)'!E72</f>
        <v>0</v>
      </c>
      <c r="F71" s="20">
        <f>+'3.งบบุคลากร (GF)'!F72</f>
        <v>789376.77</v>
      </c>
      <c r="G71" s="33">
        <f t="shared" si="0"/>
        <v>498565.23</v>
      </c>
      <c r="H71" s="22">
        <f t="shared" si="1"/>
        <v>61.289776247688174</v>
      </c>
      <c r="I71" s="20">
        <f>+'4. งบดำเนินงาน (GF)'!D72</f>
        <v>856532</v>
      </c>
      <c r="J71" s="20">
        <f>+'4. งบดำเนินงาน (GF)'!E72</f>
        <v>0</v>
      </c>
      <c r="K71" s="20">
        <f>+'4. งบดำเนินงาน (GF)'!F72</f>
        <v>625908.82999999996</v>
      </c>
      <c r="L71" s="21">
        <f t="shared" si="2"/>
        <v>230623.17000000004</v>
      </c>
      <c r="M71" s="22">
        <f t="shared" si="3"/>
        <v>73.074774789499969</v>
      </c>
      <c r="N71" s="20">
        <f>+'5.งบลงทุน'!F72</f>
        <v>13140</v>
      </c>
      <c r="O71" s="20">
        <f>+'5.งบลงทุน'!G72</f>
        <v>0</v>
      </c>
      <c r="P71" s="20">
        <f>+'5.งบลงทุน'!H72</f>
        <v>13140</v>
      </c>
      <c r="Q71" s="21">
        <f t="shared" si="4"/>
        <v>0</v>
      </c>
      <c r="R71" s="22">
        <f t="shared" si="5"/>
        <v>100</v>
      </c>
      <c r="S71" s="20">
        <f>+'6.งบรายจ่ายอื่น (GF)'!D71</f>
        <v>5000</v>
      </c>
      <c r="T71" s="20">
        <f>+'6.งบรายจ่ายอื่น (GF)'!E71</f>
        <v>0</v>
      </c>
      <c r="U71" s="20">
        <f>+'6.งบรายจ่ายอื่น (GF)'!F71</f>
        <v>0</v>
      </c>
      <c r="V71" s="21">
        <f t="shared" si="6"/>
        <v>5000</v>
      </c>
      <c r="W71" s="22">
        <f t="shared" si="7"/>
        <v>0</v>
      </c>
      <c r="X71" s="20">
        <f t="shared" si="8"/>
        <v>2162614</v>
      </c>
      <c r="Y71" s="20">
        <f t="shared" si="9"/>
        <v>0</v>
      </c>
      <c r="Z71" s="20">
        <f t="shared" si="10"/>
        <v>1428425.6</v>
      </c>
      <c r="AA71" s="33">
        <f t="shared" si="11"/>
        <v>734188.39999999991</v>
      </c>
      <c r="AB71" s="22">
        <f t="shared" si="12"/>
        <v>66.050881017139446</v>
      </c>
      <c r="AC71" s="178" t="s">
        <v>305</v>
      </c>
    </row>
    <row r="72" spans="1:29" s="14" customFormat="1" ht="35.25" customHeight="1" x14ac:dyDescent="0.5">
      <c r="A72" s="27">
        <v>66</v>
      </c>
      <c r="B72" s="28" t="s">
        <v>108</v>
      </c>
      <c r="C72" s="29" t="s">
        <v>43</v>
      </c>
      <c r="D72" s="20">
        <f>+'3.งบบุคลากร (GF)'!D73</f>
        <v>1914640</v>
      </c>
      <c r="E72" s="20">
        <f>+'3.งบบุคลากร (GF)'!E73</f>
        <v>0</v>
      </c>
      <c r="F72" s="20">
        <f>+'3.งบบุคลากร (GF)'!F73</f>
        <v>1196080</v>
      </c>
      <c r="G72" s="33">
        <f t="shared" ref="G72:G102" si="13">+D72-E72-F72</f>
        <v>718560</v>
      </c>
      <c r="H72" s="22">
        <f t="shared" ref="H72:H102" si="14">F72*100/D72</f>
        <v>62.470229390381483</v>
      </c>
      <c r="I72" s="20">
        <f>+'4. งบดำเนินงาน (GF)'!D73</f>
        <v>508966</v>
      </c>
      <c r="J72" s="20">
        <f>+'4. งบดำเนินงาน (GF)'!E73</f>
        <v>2400</v>
      </c>
      <c r="K72" s="20">
        <f>+'4. งบดำเนินงาน (GF)'!F73</f>
        <v>292572.69</v>
      </c>
      <c r="L72" s="21">
        <f t="shared" ref="L72:L102" si="15">+I72-J72-K72</f>
        <v>213993.31</v>
      </c>
      <c r="M72" s="22">
        <f t="shared" ref="M72:M102" si="16">K72*100/I72</f>
        <v>57.483739581818824</v>
      </c>
      <c r="N72" s="20">
        <f>+'5.งบลงทุน'!F73</f>
        <v>71000</v>
      </c>
      <c r="O72" s="20">
        <f>+'5.งบลงทุน'!G73</f>
        <v>0</v>
      </c>
      <c r="P72" s="20">
        <f>+'5.งบลงทุน'!H73</f>
        <v>71000</v>
      </c>
      <c r="Q72" s="21">
        <f t="shared" ref="Q72:Q102" si="17">+N72-O72-P72</f>
        <v>0</v>
      </c>
      <c r="R72" s="22">
        <f t="shared" ref="R72:R102" si="18">P72*100/N72</f>
        <v>100</v>
      </c>
      <c r="S72" s="20">
        <f>+'6.งบรายจ่ายอื่น (GF)'!D72</f>
        <v>5000</v>
      </c>
      <c r="T72" s="20">
        <f>+'6.งบรายจ่ายอื่น (GF)'!E72</f>
        <v>0</v>
      </c>
      <c r="U72" s="20">
        <f>+'6.งบรายจ่ายอื่น (GF)'!F72</f>
        <v>5000</v>
      </c>
      <c r="V72" s="21">
        <f t="shared" ref="V72:V102" si="19">+S72-T72-U72</f>
        <v>0</v>
      </c>
      <c r="W72" s="22">
        <f t="shared" ref="W72:W102" si="20">U72*100/S72</f>
        <v>100</v>
      </c>
      <c r="X72" s="20">
        <f t="shared" ref="X72:X102" si="21">+D72+I72+N72+S72</f>
        <v>2499606</v>
      </c>
      <c r="Y72" s="20">
        <f t="shared" ref="Y72:Y102" si="22">+E72+J72+O72+T72</f>
        <v>2400</v>
      </c>
      <c r="Z72" s="20">
        <f t="shared" ref="Z72:Z102" si="23">+F72+K72+P72+U72</f>
        <v>1564652.69</v>
      </c>
      <c r="AA72" s="33">
        <f t="shared" ref="AA72:AA102" si="24">+X72-Y72-Z72</f>
        <v>932553.31</v>
      </c>
      <c r="AB72" s="22">
        <f t="shared" ref="AB72:AB102" si="25">Z72*100/X72</f>
        <v>62.595972725301507</v>
      </c>
      <c r="AC72" s="178" t="s">
        <v>305</v>
      </c>
    </row>
    <row r="73" spans="1:29" s="14" customFormat="1" ht="35.25" customHeight="1" x14ac:dyDescent="0.5">
      <c r="A73" s="27">
        <v>67</v>
      </c>
      <c r="B73" s="28" t="s">
        <v>108</v>
      </c>
      <c r="C73" s="29" t="s">
        <v>44</v>
      </c>
      <c r="D73" s="20">
        <f>+'3.งบบุคลากร (GF)'!D74</f>
        <v>3780135</v>
      </c>
      <c r="E73" s="20">
        <f>+'3.งบบุคลากร (GF)'!E74</f>
        <v>0</v>
      </c>
      <c r="F73" s="20">
        <f>+'3.งบบุคลากร (GF)'!F74</f>
        <v>2356220</v>
      </c>
      <c r="G73" s="33">
        <f t="shared" si="13"/>
        <v>1423915</v>
      </c>
      <c r="H73" s="22">
        <f t="shared" si="14"/>
        <v>62.331636303994436</v>
      </c>
      <c r="I73" s="20">
        <f>+'4. งบดำเนินงาน (GF)'!D74</f>
        <v>1984257</v>
      </c>
      <c r="J73" s="20">
        <f>+'4. งบดำเนินงาน (GF)'!E74</f>
        <v>357824.22</v>
      </c>
      <c r="K73" s="20">
        <f>+'4. งบดำเนินงาน (GF)'!F74</f>
        <v>1230730.72</v>
      </c>
      <c r="L73" s="21">
        <f t="shared" si="15"/>
        <v>395702.06000000006</v>
      </c>
      <c r="M73" s="22">
        <f t="shared" si="16"/>
        <v>62.024763929269241</v>
      </c>
      <c r="N73" s="20">
        <f>+'5.งบลงทุน'!F74</f>
        <v>596950</v>
      </c>
      <c r="O73" s="20">
        <f>+'5.งบลงทุน'!G74</f>
        <v>465000</v>
      </c>
      <c r="P73" s="20">
        <f>+'5.งบลงทุน'!H74</f>
        <v>131950</v>
      </c>
      <c r="Q73" s="21">
        <f t="shared" si="17"/>
        <v>0</v>
      </c>
      <c r="R73" s="22">
        <f t="shared" si="18"/>
        <v>22.104028813133429</v>
      </c>
      <c r="S73" s="20">
        <f>+'6.งบรายจ่ายอื่น (GF)'!D73</f>
        <v>79000</v>
      </c>
      <c r="T73" s="20">
        <f>+'6.งบรายจ่ายอื่น (GF)'!E73</f>
        <v>0</v>
      </c>
      <c r="U73" s="20">
        <f>+'6.งบรายจ่ายอื่น (GF)'!F73</f>
        <v>21721</v>
      </c>
      <c r="V73" s="21">
        <f t="shared" si="19"/>
        <v>57279</v>
      </c>
      <c r="W73" s="22">
        <f t="shared" si="20"/>
        <v>27.494936708860759</v>
      </c>
      <c r="X73" s="20">
        <f t="shared" si="21"/>
        <v>6440342</v>
      </c>
      <c r="Y73" s="20">
        <f t="shared" si="22"/>
        <v>822824.22</v>
      </c>
      <c r="Z73" s="20">
        <f t="shared" si="23"/>
        <v>3740621.7199999997</v>
      </c>
      <c r="AA73" s="33">
        <f t="shared" si="24"/>
        <v>1876896.0600000005</v>
      </c>
      <c r="AB73" s="22">
        <f t="shared" si="25"/>
        <v>58.081103767470736</v>
      </c>
      <c r="AC73" s="178"/>
    </row>
    <row r="74" spans="1:29" s="14" customFormat="1" ht="35.25" customHeight="1" x14ac:dyDescent="0.5">
      <c r="A74" s="27">
        <v>68</v>
      </c>
      <c r="B74" s="28" t="s">
        <v>108</v>
      </c>
      <c r="C74" s="29" t="s">
        <v>45</v>
      </c>
      <c r="D74" s="20">
        <f>+'3.งบบุคลากร (GF)'!D75</f>
        <v>1687846</v>
      </c>
      <c r="E74" s="20">
        <f>+'3.งบบุคลากร (GF)'!E75</f>
        <v>0</v>
      </c>
      <c r="F74" s="20">
        <f>+'3.งบบุคลากร (GF)'!F75</f>
        <v>985166.13</v>
      </c>
      <c r="G74" s="33">
        <f t="shared" si="13"/>
        <v>702679.87</v>
      </c>
      <c r="H74" s="22">
        <f t="shared" si="14"/>
        <v>58.368247458595157</v>
      </c>
      <c r="I74" s="20">
        <f>+'4. งบดำเนินงาน (GF)'!D75</f>
        <v>1161425</v>
      </c>
      <c r="J74" s="20">
        <f>+'4. งบดำเนินงาน (GF)'!E75</f>
        <v>100500</v>
      </c>
      <c r="K74" s="20">
        <f>+'4. งบดำเนินงาน (GF)'!F75</f>
        <v>695463.54</v>
      </c>
      <c r="L74" s="21">
        <f t="shared" si="15"/>
        <v>365461.45999999996</v>
      </c>
      <c r="M74" s="22">
        <f t="shared" si="16"/>
        <v>59.880193727532991</v>
      </c>
      <c r="N74" s="20">
        <f>+'5.งบลงทุน'!F75</f>
        <v>20000</v>
      </c>
      <c r="O74" s="20">
        <f>+'5.งบลงทุน'!G75</f>
        <v>0</v>
      </c>
      <c r="P74" s="20">
        <f>+'5.งบลงทุน'!H75</f>
        <v>20000</v>
      </c>
      <c r="Q74" s="21">
        <f t="shared" si="17"/>
        <v>0</v>
      </c>
      <c r="R74" s="22">
        <f t="shared" si="18"/>
        <v>100</v>
      </c>
      <c r="S74" s="20">
        <f>+'6.งบรายจ่ายอื่น (GF)'!D74</f>
        <v>8000</v>
      </c>
      <c r="T74" s="20">
        <f>+'6.งบรายจ่ายอื่น (GF)'!E74</f>
        <v>0</v>
      </c>
      <c r="U74" s="20">
        <f>+'6.งบรายจ่ายอื่น (GF)'!F74</f>
        <v>0</v>
      </c>
      <c r="V74" s="21">
        <f t="shared" si="19"/>
        <v>8000</v>
      </c>
      <c r="W74" s="22">
        <f t="shared" si="20"/>
        <v>0</v>
      </c>
      <c r="X74" s="20">
        <f t="shared" si="21"/>
        <v>2877271</v>
      </c>
      <c r="Y74" s="20">
        <f t="shared" si="22"/>
        <v>100500</v>
      </c>
      <c r="Z74" s="20">
        <f t="shared" si="23"/>
        <v>1700629.67</v>
      </c>
      <c r="AA74" s="33">
        <f t="shared" si="24"/>
        <v>1076141.33</v>
      </c>
      <c r="AB74" s="22">
        <f t="shared" si="25"/>
        <v>59.105648025507506</v>
      </c>
      <c r="AC74" s="178" t="s">
        <v>305</v>
      </c>
    </row>
    <row r="75" spans="1:29" s="14" customFormat="1" ht="35.25" customHeight="1" x14ac:dyDescent="0.5">
      <c r="A75" s="27">
        <v>69</v>
      </c>
      <c r="B75" s="28" t="s">
        <v>108</v>
      </c>
      <c r="C75" s="29" t="s">
        <v>63</v>
      </c>
      <c r="D75" s="20">
        <f>+'3.งบบุคลากร (GF)'!D76</f>
        <v>2064765</v>
      </c>
      <c r="E75" s="20">
        <f>+'3.งบบุคลากร (GF)'!E76</f>
        <v>0</v>
      </c>
      <c r="F75" s="20">
        <f>+'3.งบบุคลากร (GF)'!F76</f>
        <v>1186150.97</v>
      </c>
      <c r="G75" s="33">
        <f t="shared" si="13"/>
        <v>878614.03</v>
      </c>
      <c r="H75" s="22">
        <f t="shared" si="14"/>
        <v>57.447262521400738</v>
      </c>
      <c r="I75" s="20">
        <f>+'4. งบดำเนินงาน (GF)'!D76</f>
        <v>1096224</v>
      </c>
      <c r="J75" s="20">
        <f>+'4. งบดำเนินงาน (GF)'!E76</f>
        <v>45000</v>
      </c>
      <c r="K75" s="20">
        <f>+'4. งบดำเนินงาน (GF)'!F76</f>
        <v>629610.93000000005</v>
      </c>
      <c r="L75" s="21">
        <f t="shared" si="15"/>
        <v>421613.06999999995</v>
      </c>
      <c r="M75" s="22">
        <f t="shared" si="16"/>
        <v>57.434514296348198</v>
      </c>
      <c r="N75" s="20">
        <f>+'5.งบลงทุน'!F76</f>
        <v>47290.01</v>
      </c>
      <c r="O75" s="20">
        <f>+'5.งบลงทุน'!G76</f>
        <v>0</v>
      </c>
      <c r="P75" s="20">
        <f>+'5.งบลงทุน'!H76</f>
        <v>47290.01</v>
      </c>
      <c r="Q75" s="21">
        <f t="shared" si="17"/>
        <v>0</v>
      </c>
      <c r="R75" s="22">
        <f t="shared" si="18"/>
        <v>100</v>
      </c>
      <c r="S75" s="20">
        <f>+'6.งบรายจ่ายอื่น (GF)'!D75</f>
        <v>8000</v>
      </c>
      <c r="T75" s="20">
        <f>+'6.งบรายจ่ายอื่น (GF)'!E75</f>
        <v>0</v>
      </c>
      <c r="U75" s="20">
        <f>+'6.งบรายจ่ายอื่น (GF)'!F75</f>
        <v>0</v>
      </c>
      <c r="V75" s="21">
        <f t="shared" si="19"/>
        <v>8000</v>
      </c>
      <c r="W75" s="22">
        <f t="shared" si="20"/>
        <v>0</v>
      </c>
      <c r="X75" s="20">
        <f t="shared" si="21"/>
        <v>3216279.01</v>
      </c>
      <c r="Y75" s="20">
        <f t="shared" si="22"/>
        <v>45000</v>
      </c>
      <c r="Z75" s="20">
        <f t="shared" si="23"/>
        <v>1863051.91</v>
      </c>
      <c r="AA75" s="33">
        <f t="shared" si="24"/>
        <v>1308227.0999999999</v>
      </c>
      <c r="AB75" s="22">
        <f t="shared" si="25"/>
        <v>57.925693144389243</v>
      </c>
      <c r="AC75" s="178" t="s">
        <v>305</v>
      </c>
    </row>
    <row r="76" spans="1:29" s="14" customFormat="1" ht="35.25" customHeight="1" x14ac:dyDescent="0.5">
      <c r="A76" s="27">
        <v>70</v>
      </c>
      <c r="B76" s="28" t="s">
        <v>108</v>
      </c>
      <c r="C76" s="29" t="s">
        <v>145</v>
      </c>
      <c r="D76" s="20">
        <f>+'3.งบบุคลากร (GF)'!D77</f>
        <v>1605102</v>
      </c>
      <c r="E76" s="20">
        <f>+'3.งบบุคลากร (GF)'!E77</f>
        <v>0</v>
      </c>
      <c r="F76" s="20">
        <f>+'3.งบบุคลากร (GF)'!F77</f>
        <v>1012240</v>
      </c>
      <c r="G76" s="33">
        <f t="shared" si="13"/>
        <v>592862</v>
      </c>
      <c r="H76" s="22">
        <f t="shared" si="14"/>
        <v>63.063904973017294</v>
      </c>
      <c r="I76" s="20">
        <f>+'4. งบดำเนินงาน (GF)'!D77</f>
        <v>1403081</v>
      </c>
      <c r="J76" s="20">
        <f>+'4. งบดำเนินงาน (GF)'!E77</f>
        <v>74642.75</v>
      </c>
      <c r="K76" s="20">
        <f>+'4. งบดำเนินงาน (GF)'!F77</f>
        <v>806370.77</v>
      </c>
      <c r="L76" s="21">
        <f t="shared" si="15"/>
        <v>522067.48</v>
      </c>
      <c r="M76" s="22">
        <f t="shared" si="16"/>
        <v>57.471433937171128</v>
      </c>
      <c r="N76" s="20">
        <f>+'5.งบลงทุน'!F77</f>
        <v>89400</v>
      </c>
      <c r="O76" s="20">
        <f>+'5.งบลงทุน'!G77</f>
        <v>0</v>
      </c>
      <c r="P76" s="20">
        <f>+'5.งบลงทุน'!H77</f>
        <v>89400</v>
      </c>
      <c r="Q76" s="21">
        <f t="shared" si="17"/>
        <v>0</v>
      </c>
      <c r="R76" s="22">
        <f t="shared" si="18"/>
        <v>100</v>
      </c>
      <c r="S76" s="20">
        <f>+'6.งบรายจ่ายอื่น (GF)'!D76</f>
        <v>23000</v>
      </c>
      <c r="T76" s="20">
        <f>+'6.งบรายจ่ายอื่น (GF)'!E76</f>
        <v>0</v>
      </c>
      <c r="U76" s="20">
        <f>+'6.งบรายจ่ายอื่น (GF)'!F76</f>
        <v>0</v>
      </c>
      <c r="V76" s="21">
        <f t="shared" si="19"/>
        <v>23000</v>
      </c>
      <c r="W76" s="22">
        <f t="shared" si="20"/>
        <v>0</v>
      </c>
      <c r="X76" s="20">
        <f t="shared" si="21"/>
        <v>3120583</v>
      </c>
      <c r="Y76" s="20">
        <f t="shared" si="22"/>
        <v>74642.75</v>
      </c>
      <c r="Z76" s="20">
        <f t="shared" si="23"/>
        <v>1908010.77</v>
      </c>
      <c r="AA76" s="33">
        <f t="shared" si="24"/>
        <v>1137929.48</v>
      </c>
      <c r="AB76" s="22">
        <f t="shared" si="25"/>
        <v>61.14276627155887</v>
      </c>
      <c r="AC76" s="178" t="s">
        <v>305</v>
      </c>
    </row>
    <row r="77" spans="1:29" s="14" customFormat="1" ht="35.25" customHeight="1" x14ac:dyDescent="0.5">
      <c r="A77" s="27">
        <v>71</v>
      </c>
      <c r="B77" s="28" t="s">
        <v>108</v>
      </c>
      <c r="C77" s="29" t="s">
        <v>46</v>
      </c>
      <c r="D77" s="20">
        <f>+'3.งบบุคลากร (GF)'!D78</f>
        <v>2019694</v>
      </c>
      <c r="E77" s="20">
        <f>+'3.งบบุคลากร (GF)'!E78</f>
        <v>0</v>
      </c>
      <c r="F77" s="20">
        <f>+'3.งบบุคลากร (GF)'!F78</f>
        <v>1276880</v>
      </c>
      <c r="G77" s="33">
        <f t="shared" si="13"/>
        <v>742814</v>
      </c>
      <c r="H77" s="22">
        <f t="shared" si="14"/>
        <v>63.221458300118734</v>
      </c>
      <c r="I77" s="20">
        <f>+'4. งบดำเนินงาน (GF)'!D78</f>
        <v>1742507</v>
      </c>
      <c r="J77" s="20">
        <f>+'4. งบดำเนินงาน (GF)'!E78</f>
        <v>0</v>
      </c>
      <c r="K77" s="20">
        <f>+'4. งบดำเนินงาน (GF)'!F78</f>
        <v>1014140.36</v>
      </c>
      <c r="L77" s="21">
        <f t="shared" si="15"/>
        <v>728366.64</v>
      </c>
      <c r="M77" s="22">
        <f t="shared" si="16"/>
        <v>58.200073801712129</v>
      </c>
      <c r="N77" s="20">
        <f>+'5.งบลงทุน'!F78</f>
        <v>32160</v>
      </c>
      <c r="O77" s="20">
        <f>+'5.งบลงทุน'!G78</f>
        <v>0</v>
      </c>
      <c r="P77" s="20">
        <f>+'5.งบลงทุน'!H78</f>
        <v>32160</v>
      </c>
      <c r="Q77" s="21">
        <f t="shared" si="17"/>
        <v>0</v>
      </c>
      <c r="R77" s="22">
        <f t="shared" si="18"/>
        <v>100</v>
      </c>
      <c r="S77" s="20">
        <f>+'6.งบรายจ่ายอื่น (GF)'!D77</f>
        <v>72000</v>
      </c>
      <c r="T77" s="20">
        <f>+'6.งบรายจ่ายอื่น (GF)'!E77</f>
        <v>0</v>
      </c>
      <c r="U77" s="20">
        <f>+'6.งบรายจ่ายอื่น (GF)'!F77</f>
        <v>9050</v>
      </c>
      <c r="V77" s="21">
        <f t="shared" si="19"/>
        <v>62950</v>
      </c>
      <c r="W77" s="22">
        <f t="shared" si="20"/>
        <v>12.569444444444445</v>
      </c>
      <c r="X77" s="20">
        <f t="shared" si="21"/>
        <v>3866361</v>
      </c>
      <c r="Y77" s="20">
        <f t="shared" si="22"/>
        <v>0</v>
      </c>
      <c r="Z77" s="20">
        <f t="shared" si="23"/>
        <v>2332230.36</v>
      </c>
      <c r="AA77" s="33">
        <f t="shared" si="24"/>
        <v>1534130.6400000001</v>
      </c>
      <c r="AB77" s="22">
        <f t="shared" si="25"/>
        <v>60.32107089844947</v>
      </c>
      <c r="AC77" s="178" t="s">
        <v>306</v>
      </c>
    </row>
    <row r="78" spans="1:29" s="14" customFormat="1" ht="35.25" customHeight="1" x14ac:dyDescent="0.5">
      <c r="A78" s="27">
        <v>72</v>
      </c>
      <c r="B78" s="28" t="s">
        <v>108</v>
      </c>
      <c r="C78" s="29" t="s">
        <v>146</v>
      </c>
      <c r="D78" s="20">
        <f>+'3.งบบุคลากร (GF)'!D79</f>
        <v>1790739</v>
      </c>
      <c r="E78" s="20">
        <f>+'3.งบบุคลากร (GF)'!E79</f>
        <v>0</v>
      </c>
      <c r="F78" s="20">
        <f>+'3.งบบุคลากร (GF)'!F79</f>
        <v>1174800</v>
      </c>
      <c r="G78" s="33">
        <f t="shared" si="13"/>
        <v>615939</v>
      </c>
      <c r="H78" s="22">
        <f t="shared" si="14"/>
        <v>65.604200277092303</v>
      </c>
      <c r="I78" s="20">
        <f>+'4. งบดำเนินงาน (GF)'!D79</f>
        <v>1227480</v>
      </c>
      <c r="J78" s="20">
        <f>+'4. งบดำเนินงาน (GF)'!E79</f>
        <v>302100</v>
      </c>
      <c r="K78" s="20">
        <f>+'4. งบดำเนินงาน (GF)'!F79</f>
        <v>667539.77</v>
      </c>
      <c r="L78" s="21">
        <f t="shared" si="15"/>
        <v>257840.22999999998</v>
      </c>
      <c r="M78" s="22">
        <f t="shared" si="16"/>
        <v>54.382944732297062</v>
      </c>
      <c r="N78" s="20">
        <f>+'5.งบลงทุน'!F79</f>
        <v>8600</v>
      </c>
      <c r="O78" s="20">
        <f>+'5.งบลงทุน'!G79</f>
        <v>0</v>
      </c>
      <c r="P78" s="20">
        <f>+'5.งบลงทุน'!H79</f>
        <v>8600</v>
      </c>
      <c r="Q78" s="21">
        <f t="shared" si="17"/>
        <v>0</v>
      </c>
      <c r="R78" s="22">
        <f t="shared" si="18"/>
        <v>100</v>
      </c>
      <c r="S78" s="20">
        <f>+'6.งบรายจ่ายอื่น (GF)'!D78</f>
        <v>8000</v>
      </c>
      <c r="T78" s="20">
        <f>+'6.งบรายจ่ายอื่น (GF)'!E78</f>
        <v>0</v>
      </c>
      <c r="U78" s="20">
        <f>+'6.งบรายจ่ายอื่น (GF)'!F78</f>
        <v>2399</v>
      </c>
      <c r="V78" s="21">
        <f t="shared" si="19"/>
        <v>5601</v>
      </c>
      <c r="W78" s="22">
        <f t="shared" si="20"/>
        <v>29.987500000000001</v>
      </c>
      <c r="X78" s="20">
        <f t="shared" si="21"/>
        <v>3034819</v>
      </c>
      <c r="Y78" s="20">
        <f t="shared" si="22"/>
        <v>302100</v>
      </c>
      <c r="Z78" s="20">
        <f t="shared" si="23"/>
        <v>1853338.77</v>
      </c>
      <c r="AA78" s="33">
        <f t="shared" si="24"/>
        <v>879380.23</v>
      </c>
      <c r="AB78" s="22">
        <f t="shared" si="25"/>
        <v>61.069169858235369</v>
      </c>
      <c r="AC78" s="178" t="s">
        <v>306</v>
      </c>
    </row>
    <row r="79" spans="1:29" s="14" customFormat="1" ht="35.25" customHeight="1" x14ac:dyDescent="0.5">
      <c r="A79" s="27">
        <v>73</v>
      </c>
      <c r="B79" s="28" t="s">
        <v>108</v>
      </c>
      <c r="C79" s="29" t="s">
        <v>147</v>
      </c>
      <c r="D79" s="20">
        <f>+'3.งบบุคลากร (GF)'!D80</f>
        <v>1554882</v>
      </c>
      <c r="E79" s="20">
        <f>+'3.งบบุคลากร (GF)'!E80</f>
        <v>0</v>
      </c>
      <c r="F79" s="20">
        <f>+'3.งบบุคลากร (GF)'!F80</f>
        <v>883150</v>
      </c>
      <c r="G79" s="33">
        <f t="shared" si="13"/>
        <v>671732</v>
      </c>
      <c r="H79" s="22">
        <f t="shared" si="14"/>
        <v>56.79852233159815</v>
      </c>
      <c r="I79" s="20">
        <f>+'4. งบดำเนินงาน (GF)'!D80</f>
        <v>481460</v>
      </c>
      <c r="J79" s="20">
        <f>+'4. งบดำเนินงาน (GF)'!E80</f>
        <v>0</v>
      </c>
      <c r="K79" s="20">
        <f>+'4. งบดำเนินงาน (GF)'!F80</f>
        <v>271154.65999999997</v>
      </c>
      <c r="L79" s="21">
        <f t="shared" si="15"/>
        <v>210305.34000000003</v>
      </c>
      <c r="M79" s="22">
        <f t="shared" si="16"/>
        <v>56.319249781913342</v>
      </c>
      <c r="N79" s="20">
        <f>+'5.งบลงทุน'!F80</f>
        <v>0</v>
      </c>
      <c r="O79" s="20">
        <f>+'5.งบลงทุน'!G80</f>
        <v>0</v>
      </c>
      <c r="P79" s="20">
        <f>+'5.งบลงทุน'!H80</f>
        <v>0</v>
      </c>
      <c r="Q79" s="21">
        <f t="shared" si="17"/>
        <v>0</v>
      </c>
      <c r="R79" s="22" t="e">
        <f t="shared" si="18"/>
        <v>#DIV/0!</v>
      </c>
      <c r="S79" s="20">
        <f>+'6.งบรายจ่ายอื่น (GF)'!D79</f>
        <v>5000</v>
      </c>
      <c r="T79" s="20">
        <f>+'6.งบรายจ่ายอื่น (GF)'!E79</f>
        <v>0</v>
      </c>
      <c r="U79" s="20">
        <f>+'6.งบรายจ่ายอื่น (GF)'!F79</f>
        <v>0</v>
      </c>
      <c r="V79" s="21">
        <f t="shared" si="19"/>
        <v>5000</v>
      </c>
      <c r="W79" s="22">
        <f t="shared" si="20"/>
        <v>0</v>
      </c>
      <c r="X79" s="20">
        <f t="shared" si="21"/>
        <v>2041342</v>
      </c>
      <c r="Y79" s="20">
        <f t="shared" si="22"/>
        <v>0</v>
      </c>
      <c r="Z79" s="20">
        <f t="shared" si="23"/>
        <v>1154304.6599999999</v>
      </c>
      <c r="AA79" s="33">
        <f t="shared" si="24"/>
        <v>887037.34000000008</v>
      </c>
      <c r="AB79" s="22">
        <f t="shared" si="25"/>
        <v>56.54636312778554</v>
      </c>
      <c r="AC79" s="178"/>
    </row>
    <row r="80" spans="1:29" s="14" customFormat="1" ht="35.25" customHeight="1" x14ac:dyDescent="0.5">
      <c r="A80" s="27">
        <v>74</v>
      </c>
      <c r="B80" s="28" t="s">
        <v>108</v>
      </c>
      <c r="C80" s="29" t="s">
        <v>47</v>
      </c>
      <c r="D80" s="20">
        <f>+'3.งบบุคลากร (GF)'!D81</f>
        <v>1708063</v>
      </c>
      <c r="E80" s="20">
        <f>+'3.งบบุคลากร (GF)'!E81</f>
        <v>0</v>
      </c>
      <c r="F80" s="20">
        <f>+'3.งบบุคลากร (GF)'!F81</f>
        <v>1084655</v>
      </c>
      <c r="G80" s="33">
        <f t="shared" si="13"/>
        <v>623408</v>
      </c>
      <c r="H80" s="22">
        <f t="shared" si="14"/>
        <v>63.502048812016888</v>
      </c>
      <c r="I80" s="20">
        <f>+'4. งบดำเนินงาน (GF)'!D81</f>
        <v>469027</v>
      </c>
      <c r="J80" s="20">
        <f>+'4. งบดำเนินงาน (GF)'!E81</f>
        <v>6600</v>
      </c>
      <c r="K80" s="20">
        <f>+'4. งบดำเนินงาน (GF)'!F81</f>
        <v>338092.57</v>
      </c>
      <c r="L80" s="21">
        <f t="shared" si="15"/>
        <v>124334.43</v>
      </c>
      <c r="M80" s="22">
        <f t="shared" si="16"/>
        <v>72.083818202363616</v>
      </c>
      <c r="N80" s="20">
        <f>+'5.งบลงทุน'!F81</f>
        <v>11300</v>
      </c>
      <c r="O80" s="20">
        <f>+'5.งบลงทุน'!G81</f>
        <v>0</v>
      </c>
      <c r="P80" s="20">
        <f>+'5.งบลงทุน'!H81</f>
        <v>11300</v>
      </c>
      <c r="Q80" s="21">
        <f t="shared" si="17"/>
        <v>0</v>
      </c>
      <c r="R80" s="22">
        <f t="shared" si="18"/>
        <v>100</v>
      </c>
      <c r="S80" s="20">
        <f>+'6.งบรายจ่ายอื่น (GF)'!D80</f>
        <v>5000</v>
      </c>
      <c r="T80" s="20">
        <f>+'6.งบรายจ่ายอื่น (GF)'!E80</f>
        <v>0</v>
      </c>
      <c r="U80" s="20">
        <f>+'6.งบรายจ่ายอื่น (GF)'!F80</f>
        <v>0</v>
      </c>
      <c r="V80" s="21">
        <f t="shared" si="19"/>
        <v>5000</v>
      </c>
      <c r="W80" s="22">
        <f t="shared" si="20"/>
        <v>0</v>
      </c>
      <c r="X80" s="20">
        <f t="shared" si="21"/>
        <v>2193390</v>
      </c>
      <c r="Y80" s="20">
        <f t="shared" si="22"/>
        <v>6600</v>
      </c>
      <c r="Z80" s="20">
        <f t="shared" si="23"/>
        <v>1434047.57</v>
      </c>
      <c r="AA80" s="33">
        <f t="shared" si="24"/>
        <v>752742.42999999993</v>
      </c>
      <c r="AB80" s="22">
        <f t="shared" si="25"/>
        <v>65.380418894952555</v>
      </c>
      <c r="AC80" s="178"/>
    </row>
    <row r="81" spans="1:29" s="14" customFormat="1" ht="35.25" customHeight="1" x14ac:dyDescent="0.5">
      <c r="A81" s="27">
        <v>75</v>
      </c>
      <c r="B81" s="28" t="s">
        <v>108</v>
      </c>
      <c r="C81" s="29" t="s">
        <v>148</v>
      </c>
      <c r="D81" s="20">
        <f>+'3.งบบุคลากร (GF)'!D82</f>
        <v>1399297</v>
      </c>
      <c r="E81" s="20">
        <f>+'3.งบบุคลากร (GF)'!E82</f>
        <v>0</v>
      </c>
      <c r="F81" s="20">
        <f>+'3.งบบุคลากร (GF)'!F82</f>
        <v>915360</v>
      </c>
      <c r="G81" s="33">
        <f t="shared" si="13"/>
        <v>483937</v>
      </c>
      <c r="H81" s="22">
        <f t="shared" si="14"/>
        <v>65.415705171954201</v>
      </c>
      <c r="I81" s="20">
        <f>+'4. งบดำเนินงาน (GF)'!D82</f>
        <v>533760</v>
      </c>
      <c r="J81" s="20">
        <f>+'4. งบดำเนินงาน (GF)'!E82</f>
        <v>9000</v>
      </c>
      <c r="K81" s="20">
        <f>+'4. งบดำเนินงาน (GF)'!F82</f>
        <v>273793.24</v>
      </c>
      <c r="L81" s="21">
        <f t="shared" si="15"/>
        <v>250966.76</v>
      </c>
      <c r="M81" s="22">
        <f t="shared" si="16"/>
        <v>51.295196342925657</v>
      </c>
      <c r="N81" s="20">
        <f>+'5.งบลงทุน'!F82</f>
        <v>23000</v>
      </c>
      <c r="O81" s="20">
        <f>+'5.งบลงทุน'!G82</f>
        <v>0</v>
      </c>
      <c r="P81" s="20">
        <f>+'5.งบลงทุน'!H82</f>
        <v>23000</v>
      </c>
      <c r="Q81" s="21">
        <f t="shared" si="17"/>
        <v>0</v>
      </c>
      <c r="R81" s="22">
        <f t="shared" si="18"/>
        <v>100</v>
      </c>
      <c r="S81" s="20">
        <f>+'6.งบรายจ่ายอื่น (GF)'!D81</f>
        <v>5000</v>
      </c>
      <c r="T81" s="20">
        <f>+'6.งบรายจ่ายอื่น (GF)'!E81</f>
        <v>0</v>
      </c>
      <c r="U81" s="20">
        <f>+'6.งบรายจ่ายอื่น (GF)'!F81</f>
        <v>3000</v>
      </c>
      <c r="V81" s="21">
        <f t="shared" si="19"/>
        <v>2000</v>
      </c>
      <c r="W81" s="22">
        <f t="shared" si="20"/>
        <v>60</v>
      </c>
      <c r="X81" s="20">
        <f t="shared" si="21"/>
        <v>1961057</v>
      </c>
      <c r="Y81" s="20">
        <f t="shared" si="22"/>
        <v>9000</v>
      </c>
      <c r="Z81" s="20">
        <f t="shared" si="23"/>
        <v>1215153.24</v>
      </c>
      <c r="AA81" s="33">
        <f t="shared" si="24"/>
        <v>736903.76</v>
      </c>
      <c r="AB81" s="22">
        <f t="shared" si="25"/>
        <v>61.96419787900097</v>
      </c>
      <c r="AC81" s="178"/>
    </row>
    <row r="82" spans="1:29" s="14" customFormat="1" ht="35.25" customHeight="1" x14ac:dyDescent="0.5">
      <c r="A82" s="27">
        <v>76</v>
      </c>
      <c r="B82" s="28" t="s">
        <v>108</v>
      </c>
      <c r="C82" s="29" t="s">
        <v>48</v>
      </c>
      <c r="D82" s="20">
        <f>+'3.งบบุคลากร (GF)'!D83</f>
        <v>1106444</v>
      </c>
      <c r="E82" s="20">
        <f>+'3.งบบุคลากร (GF)'!E83</f>
        <v>0</v>
      </c>
      <c r="F82" s="20">
        <f>+'3.งบบุคลากร (GF)'!F83</f>
        <v>729840</v>
      </c>
      <c r="G82" s="33">
        <f t="shared" si="13"/>
        <v>376604</v>
      </c>
      <c r="H82" s="22">
        <f t="shared" si="14"/>
        <v>65.962669597376816</v>
      </c>
      <c r="I82" s="20">
        <f>+'4. งบดำเนินงาน (GF)'!D83</f>
        <v>525096.19999999995</v>
      </c>
      <c r="J82" s="20">
        <f>+'4. งบดำเนินงาน (GF)'!E83</f>
        <v>0</v>
      </c>
      <c r="K82" s="20">
        <f>+'4. งบดำเนินงาน (GF)'!F83</f>
        <v>306024.81</v>
      </c>
      <c r="L82" s="21">
        <f t="shared" si="15"/>
        <v>219071.38999999996</v>
      </c>
      <c r="M82" s="22">
        <f t="shared" si="16"/>
        <v>58.279760927616699</v>
      </c>
      <c r="N82" s="20">
        <f>+'5.งบลงทุน'!F83</f>
        <v>0</v>
      </c>
      <c r="O82" s="20">
        <f>+'5.งบลงทุน'!G83</f>
        <v>0</v>
      </c>
      <c r="P82" s="20">
        <f>+'5.งบลงทุน'!H83</f>
        <v>0</v>
      </c>
      <c r="Q82" s="21">
        <f t="shared" si="17"/>
        <v>0</v>
      </c>
      <c r="R82" s="22" t="e">
        <f t="shared" si="18"/>
        <v>#DIV/0!</v>
      </c>
      <c r="S82" s="20">
        <f>+'6.งบรายจ่ายอื่น (GF)'!D82</f>
        <v>5000</v>
      </c>
      <c r="T82" s="20">
        <f>+'6.งบรายจ่ายอื่น (GF)'!E82</f>
        <v>0</v>
      </c>
      <c r="U82" s="20">
        <f>+'6.งบรายจ่ายอื่น (GF)'!F82</f>
        <v>0</v>
      </c>
      <c r="V82" s="21">
        <f t="shared" si="19"/>
        <v>5000</v>
      </c>
      <c r="W82" s="22">
        <f t="shared" si="20"/>
        <v>0</v>
      </c>
      <c r="X82" s="20">
        <f t="shared" si="21"/>
        <v>1636540.2</v>
      </c>
      <c r="Y82" s="20">
        <f t="shared" si="22"/>
        <v>0</v>
      </c>
      <c r="Z82" s="20">
        <f t="shared" si="23"/>
        <v>1035864.81</v>
      </c>
      <c r="AA82" s="33">
        <f t="shared" si="24"/>
        <v>600675.3899999999</v>
      </c>
      <c r="AB82" s="22">
        <f t="shared" si="25"/>
        <v>63.296019859457168</v>
      </c>
      <c r="AC82" s="178"/>
    </row>
    <row r="83" spans="1:29" s="14" customFormat="1" ht="35.25" customHeight="1" x14ac:dyDescent="0.5">
      <c r="A83" s="27">
        <v>77</v>
      </c>
      <c r="B83" s="28" t="s">
        <v>108</v>
      </c>
      <c r="C83" s="29" t="s">
        <v>149</v>
      </c>
      <c r="D83" s="20">
        <f>+'3.งบบุคลากร (GF)'!D84</f>
        <v>1803526</v>
      </c>
      <c r="E83" s="20">
        <f>+'3.งบบุคลากร (GF)'!E84</f>
        <v>0</v>
      </c>
      <c r="F83" s="20">
        <f>+'3.งบบุคลากร (GF)'!F84</f>
        <v>1023754.84</v>
      </c>
      <c r="G83" s="33">
        <f t="shared" si="13"/>
        <v>779771.16</v>
      </c>
      <c r="H83" s="22">
        <f t="shared" si="14"/>
        <v>56.76407437430899</v>
      </c>
      <c r="I83" s="20">
        <f>+'4. งบดำเนินงาน (GF)'!D84</f>
        <v>766769</v>
      </c>
      <c r="J83" s="20">
        <f>+'4. งบดำเนินงาน (GF)'!E84</f>
        <v>0</v>
      </c>
      <c r="K83" s="20">
        <f>+'4. งบดำเนินงาน (GF)'!F84</f>
        <v>475032.33</v>
      </c>
      <c r="L83" s="21">
        <f t="shared" si="15"/>
        <v>291736.67</v>
      </c>
      <c r="M83" s="22">
        <f t="shared" si="16"/>
        <v>61.952469387781719</v>
      </c>
      <c r="N83" s="20">
        <f>+'5.งบลงทุน'!F84</f>
        <v>44000</v>
      </c>
      <c r="O83" s="20">
        <f>+'5.งบลงทุน'!G84</f>
        <v>0</v>
      </c>
      <c r="P83" s="20">
        <f>+'5.งบลงทุน'!H84</f>
        <v>44000</v>
      </c>
      <c r="Q83" s="21">
        <f t="shared" si="17"/>
        <v>0</v>
      </c>
      <c r="R83" s="22">
        <f t="shared" si="18"/>
        <v>100</v>
      </c>
      <c r="S83" s="20">
        <f>+'6.งบรายจ่ายอื่น (GF)'!D83</f>
        <v>5000</v>
      </c>
      <c r="T83" s="20">
        <f>+'6.งบรายจ่ายอื่น (GF)'!E83</f>
        <v>0</v>
      </c>
      <c r="U83" s="20">
        <f>+'6.งบรายจ่ายอื่น (GF)'!F83</f>
        <v>0</v>
      </c>
      <c r="V83" s="21">
        <f t="shared" si="19"/>
        <v>5000</v>
      </c>
      <c r="W83" s="22">
        <f t="shared" si="20"/>
        <v>0</v>
      </c>
      <c r="X83" s="20">
        <f t="shared" si="21"/>
        <v>2619295</v>
      </c>
      <c r="Y83" s="20">
        <f t="shared" si="22"/>
        <v>0</v>
      </c>
      <c r="Z83" s="20">
        <f t="shared" si="23"/>
        <v>1542787.17</v>
      </c>
      <c r="AA83" s="33">
        <f t="shared" si="24"/>
        <v>1076507.83</v>
      </c>
      <c r="AB83" s="22">
        <f t="shared" si="25"/>
        <v>58.900855764623685</v>
      </c>
      <c r="AC83" s="178"/>
    </row>
    <row r="84" spans="1:29" s="14" customFormat="1" ht="35.25" customHeight="1" x14ac:dyDescent="0.5">
      <c r="A84" s="27">
        <v>78</v>
      </c>
      <c r="B84" s="28" t="s">
        <v>108</v>
      </c>
      <c r="C84" s="29" t="s">
        <v>49</v>
      </c>
      <c r="D84" s="20">
        <f>+'3.งบบุคลากร (GF)'!D85</f>
        <v>1457802</v>
      </c>
      <c r="E84" s="20">
        <f>+'3.งบบุคลากร (GF)'!E85</f>
        <v>0</v>
      </c>
      <c r="F84" s="20">
        <f>+'3.งบบุคลากร (GF)'!F85</f>
        <v>956760</v>
      </c>
      <c r="G84" s="33">
        <f t="shared" si="13"/>
        <v>501042</v>
      </c>
      <c r="H84" s="22">
        <f t="shared" si="14"/>
        <v>65.630311935365711</v>
      </c>
      <c r="I84" s="20">
        <f>+'4. งบดำเนินงาน (GF)'!D85</f>
        <v>1106811</v>
      </c>
      <c r="J84" s="20">
        <f>+'4. งบดำเนินงาน (GF)'!E85</f>
        <v>0</v>
      </c>
      <c r="K84" s="20">
        <f>+'4. งบดำเนินงาน (GF)'!F85</f>
        <v>528246.53</v>
      </c>
      <c r="L84" s="21">
        <f t="shared" si="15"/>
        <v>578564.47</v>
      </c>
      <c r="M84" s="22">
        <f t="shared" si="16"/>
        <v>47.726895558500956</v>
      </c>
      <c r="N84" s="20">
        <f>+'5.งบลงทุน'!F85</f>
        <v>0</v>
      </c>
      <c r="O84" s="20">
        <f>+'5.งบลงทุน'!G85</f>
        <v>0</v>
      </c>
      <c r="P84" s="20">
        <f>+'5.งบลงทุน'!H85</f>
        <v>0</v>
      </c>
      <c r="Q84" s="21">
        <f t="shared" si="17"/>
        <v>0</v>
      </c>
      <c r="R84" s="22" t="e">
        <f t="shared" si="18"/>
        <v>#DIV/0!</v>
      </c>
      <c r="S84" s="20">
        <f>+'6.งบรายจ่ายอื่น (GF)'!D84</f>
        <v>8000</v>
      </c>
      <c r="T84" s="20">
        <f>+'6.งบรายจ่ายอื่น (GF)'!E84</f>
        <v>0</v>
      </c>
      <c r="U84" s="20">
        <f>+'6.งบรายจ่ายอื่น (GF)'!F84</f>
        <v>0</v>
      </c>
      <c r="V84" s="21">
        <f t="shared" si="19"/>
        <v>8000</v>
      </c>
      <c r="W84" s="22">
        <f t="shared" si="20"/>
        <v>0</v>
      </c>
      <c r="X84" s="20">
        <f t="shared" si="21"/>
        <v>2572613</v>
      </c>
      <c r="Y84" s="20">
        <f t="shared" si="22"/>
        <v>0</v>
      </c>
      <c r="Z84" s="20">
        <f t="shared" si="23"/>
        <v>1485006.53</v>
      </c>
      <c r="AA84" s="33">
        <f t="shared" si="24"/>
        <v>1087606.47</v>
      </c>
      <c r="AB84" s="22">
        <f t="shared" si="25"/>
        <v>57.723665782610908</v>
      </c>
      <c r="AC84" s="178"/>
    </row>
    <row r="85" spans="1:29" s="14" customFormat="1" ht="35.25" customHeight="1" x14ac:dyDescent="0.5">
      <c r="A85" s="27">
        <v>79</v>
      </c>
      <c r="B85" s="28" t="s">
        <v>108</v>
      </c>
      <c r="C85" s="29" t="s">
        <v>50</v>
      </c>
      <c r="D85" s="20">
        <f>+'3.งบบุคลากร (GF)'!D86</f>
        <v>1166744</v>
      </c>
      <c r="E85" s="20">
        <f>+'3.งบบุคลากร (GF)'!E86</f>
        <v>0</v>
      </c>
      <c r="F85" s="20">
        <f>+'3.งบบุคลากร (GF)'!F86</f>
        <v>755760</v>
      </c>
      <c r="G85" s="33">
        <f t="shared" si="13"/>
        <v>410984</v>
      </c>
      <c r="H85" s="22">
        <f t="shared" si="14"/>
        <v>64.775134905343421</v>
      </c>
      <c r="I85" s="20">
        <f>+'4. งบดำเนินงาน (GF)'!D86</f>
        <v>1173259</v>
      </c>
      <c r="J85" s="20">
        <f>+'4. งบดำเนินงาน (GF)'!E86</f>
        <v>0</v>
      </c>
      <c r="K85" s="20">
        <f>+'4. งบดำเนินงาน (GF)'!F86</f>
        <v>620719.51</v>
      </c>
      <c r="L85" s="21">
        <f t="shared" si="15"/>
        <v>552539.49</v>
      </c>
      <c r="M85" s="22">
        <f t="shared" si="16"/>
        <v>52.905582654810232</v>
      </c>
      <c r="N85" s="20">
        <f>+'5.งบลงทุน'!F86</f>
        <v>1090</v>
      </c>
      <c r="O85" s="20">
        <f>+'5.งบลงทุน'!G86</f>
        <v>0</v>
      </c>
      <c r="P85" s="20">
        <f>+'5.งบลงทุน'!H86</f>
        <v>1090</v>
      </c>
      <c r="Q85" s="21">
        <f t="shared" si="17"/>
        <v>0</v>
      </c>
      <c r="R85" s="22">
        <f t="shared" si="18"/>
        <v>100</v>
      </c>
      <c r="S85" s="20">
        <f>+'6.งบรายจ่ายอื่น (GF)'!D85</f>
        <v>8000</v>
      </c>
      <c r="T85" s="20">
        <f>+'6.งบรายจ่ายอื่น (GF)'!E85</f>
        <v>0</v>
      </c>
      <c r="U85" s="20">
        <f>+'6.งบรายจ่ายอื่น (GF)'!F85</f>
        <v>0</v>
      </c>
      <c r="V85" s="21">
        <f t="shared" si="19"/>
        <v>8000</v>
      </c>
      <c r="W85" s="22">
        <f t="shared" si="20"/>
        <v>0</v>
      </c>
      <c r="X85" s="20">
        <f t="shared" si="21"/>
        <v>2349093</v>
      </c>
      <c r="Y85" s="20">
        <f t="shared" si="22"/>
        <v>0</v>
      </c>
      <c r="Z85" s="20">
        <f t="shared" si="23"/>
        <v>1377569.51</v>
      </c>
      <c r="AA85" s="33">
        <f t="shared" si="24"/>
        <v>971523.49</v>
      </c>
      <c r="AB85" s="22">
        <f t="shared" si="25"/>
        <v>58.642612702008819</v>
      </c>
      <c r="AC85" s="178"/>
    </row>
    <row r="86" spans="1:29" s="14" customFormat="1" ht="35.25" customHeight="1" x14ac:dyDescent="0.5">
      <c r="A86" s="27">
        <v>80</v>
      </c>
      <c r="B86" s="28" t="s">
        <v>108</v>
      </c>
      <c r="C86" s="29" t="s">
        <v>150</v>
      </c>
      <c r="D86" s="20">
        <f>+'3.งบบุคลากร (GF)'!D87</f>
        <v>1149344</v>
      </c>
      <c r="E86" s="20">
        <f>+'3.งบบุคลากร (GF)'!E87</f>
        <v>0</v>
      </c>
      <c r="F86" s="20">
        <f>+'3.งบบุคลากร (GF)'!F87</f>
        <v>749000</v>
      </c>
      <c r="G86" s="33">
        <f t="shared" si="13"/>
        <v>400344</v>
      </c>
      <c r="H86" s="22">
        <f t="shared" si="14"/>
        <v>65.167608653283963</v>
      </c>
      <c r="I86" s="20">
        <f>+'4. งบดำเนินงาน (GF)'!D87</f>
        <v>494060</v>
      </c>
      <c r="J86" s="20">
        <f>+'4. งบดำเนินงาน (GF)'!E87</f>
        <v>0</v>
      </c>
      <c r="K86" s="20">
        <f>+'4. งบดำเนินงาน (GF)'!F87</f>
        <v>265043.18</v>
      </c>
      <c r="L86" s="21">
        <f t="shared" si="15"/>
        <v>229016.82</v>
      </c>
      <c r="M86" s="22">
        <f t="shared" si="16"/>
        <v>53.645949884629395</v>
      </c>
      <c r="N86" s="20">
        <f>+'5.งบลงทุน'!F87</f>
        <v>70400</v>
      </c>
      <c r="O86" s="20">
        <f>+'5.งบลงทุน'!G87</f>
        <v>0</v>
      </c>
      <c r="P86" s="20">
        <f>+'5.งบลงทุน'!H87</f>
        <v>70400</v>
      </c>
      <c r="Q86" s="21">
        <f t="shared" si="17"/>
        <v>0</v>
      </c>
      <c r="R86" s="22">
        <f t="shared" si="18"/>
        <v>100</v>
      </c>
      <c r="S86" s="20">
        <f>+'6.งบรายจ่ายอื่น (GF)'!D86</f>
        <v>5000</v>
      </c>
      <c r="T86" s="20">
        <f>+'6.งบรายจ่ายอื่น (GF)'!E86</f>
        <v>0</v>
      </c>
      <c r="U86" s="20">
        <f>+'6.งบรายจ่ายอื่น (GF)'!F86</f>
        <v>0</v>
      </c>
      <c r="V86" s="21">
        <f t="shared" si="19"/>
        <v>5000</v>
      </c>
      <c r="W86" s="22">
        <f t="shared" si="20"/>
        <v>0</v>
      </c>
      <c r="X86" s="20">
        <f t="shared" si="21"/>
        <v>1718804</v>
      </c>
      <c r="Y86" s="20">
        <f t="shared" si="22"/>
        <v>0</v>
      </c>
      <c r="Z86" s="20">
        <f t="shared" si="23"/>
        <v>1084443.18</v>
      </c>
      <c r="AA86" s="33">
        <f t="shared" si="24"/>
        <v>634360.82000000007</v>
      </c>
      <c r="AB86" s="22">
        <f t="shared" si="25"/>
        <v>63.092893663268178</v>
      </c>
      <c r="AC86" s="178" t="s">
        <v>305</v>
      </c>
    </row>
    <row r="87" spans="1:29" s="14" customFormat="1" ht="35.25" customHeight="1" x14ac:dyDescent="0.5">
      <c r="A87" s="27">
        <v>81</v>
      </c>
      <c r="B87" s="28" t="s">
        <v>108</v>
      </c>
      <c r="C87" s="29" t="s">
        <v>51</v>
      </c>
      <c r="D87" s="20">
        <f>+'3.งบบุคลากร (GF)'!D88</f>
        <v>1794155</v>
      </c>
      <c r="E87" s="20">
        <f>+'3.งบบุคลากร (GF)'!E88</f>
        <v>0</v>
      </c>
      <c r="F87" s="20">
        <f>+'3.งบบุคลากร (GF)'!F88</f>
        <v>1100590</v>
      </c>
      <c r="G87" s="33">
        <f t="shared" si="13"/>
        <v>693565</v>
      </c>
      <c r="H87" s="22">
        <f t="shared" si="14"/>
        <v>61.34308351285145</v>
      </c>
      <c r="I87" s="20">
        <f>+'4. งบดำเนินงาน (GF)'!D88</f>
        <v>668883</v>
      </c>
      <c r="J87" s="20">
        <f>+'4. งบดำเนินงาน (GF)'!E88</f>
        <v>0</v>
      </c>
      <c r="K87" s="20">
        <f>+'4. งบดำเนินงาน (GF)'!F88</f>
        <v>503266.72</v>
      </c>
      <c r="L87" s="21">
        <f t="shared" si="15"/>
        <v>165616.28000000003</v>
      </c>
      <c r="M87" s="22">
        <f t="shared" si="16"/>
        <v>75.239873042071636</v>
      </c>
      <c r="N87" s="20">
        <f>+'5.งบลงทุน'!F88</f>
        <v>12390</v>
      </c>
      <c r="O87" s="20">
        <f>+'5.งบลงทุน'!G88</f>
        <v>0</v>
      </c>
      <c r="P87" s="20">
        <f>+'5.งบลงทุน'!H88</f>
        <v>12390</v>
      </c>
      <c r="Q87" s="21">
        <f t="shared" si="17"/>
        <v>0</v>
      </c>
      <c r="R87" s="22">
        <f t="shared" si="18"/>
        <v>100</v>
      </c>
      <c r="S87" s="20">
        <f>+'6.งบรายจ่ายอื่น (GF)'!D87</f>
        <v>5000</v>
      </c>
      <c r="T87" s="20">
        <f>+'6.งบรายจ่ายอื่น (GF)'!E87</f>
        <v>0</v>
      </c>
      <c r="U87" s="20">
        <f>+'6.งบรายจ่ายอื่น (GF)'!F87</f>
        <v>0</v>
      </c>
      <c r="V87" s="21">
        <f t="shared" si="19"/>
        <v>5000</v>
      </c>
      <c r="W87" s="22">
        <f t="shared" si="20"/>
        <v>0</v>
      </c>
      <c r="X87" s="20">
        <f t="shared" si="21"/>
        <v>2480428</v>
      </c>
      <c r="Y87" s="20">
        <f t="shared" si="22"/>
        <v>0</v>
      </c>
      <c r="Z87" s="20">
        <f t="shared" si="23"/>
        <v>1616246.72</v>
      </c>
      <c r="AA87" s="33">
        <f t="shared" si="24"/>
        <v>864181.28</v>
      </c>
      <c r="AB87" s="22">
        <f t="shared" si="25"/>
        <v>65.159993355985335</v>
      </c>
      <c r="AC87" s="178"/>
    </row>
    <row r="88" spans="1:29" s="14" customFormat="1" ht="35.25" customHeight="1" x14ac:dyDescent="0.5">
      <c r="A88" s="27">
        <v>82</v>
      </c>
      <c r="B88" s="28" t="s">
        <v>108</v>
      </c>
      <c r="C88" s="29" t="s">
        <v>151</v>
      </c>
      <c r="D88" s="20">
        <f>+'3.งบบุคลากร (GF)'!D89</f>
        <v>1464282</v>
      </c>
      <c r="E88" s="20">
        <f>+'3.งบบุคลากร (GF)'!E89</f>
        <v>0</v>
      </c>
      <c r="F88" s="20">
        <f>+'3.งบบุคลากร (GF)'!F89</f>
        <v>884176.78</v>
      </c>
      <c r="G88" s="33">
        <f t="shared" si="13"/>
        <v>580105.22</v>
      </c>
      <c r="H88" s="22">
        <f t="shared" si="14"/>
        <v>60.382957654331612</v>
      </c>
      <c r="I88" s="20">
        <f>+'4. งบดำเนินงาน (GF)'!D89</f>
        <v>720590</v>
      </c>
      <c r="J88" s="20">
        <f>+'4. งบดำเนินงาน (GF)'!E89</f>
        <v>0</v>
      </c>
      <c r="K88" s="20">
        <f>+'4. งบดำเนินงาน (GF)'!F89</f>
        <v>316073.18</v>
      </c>
      <c r="L88" s="21">
        <f t="shared" si="15"/>
        <v>404516.82</v>
      </c>
      <c r="M88" s="22">
        <f t="shared" si="16"/>
        <v>43.863109396466783</v>
      </c>
      <c r="N88" s="20">
        <f>+'5.งบลงทุน'!F89</f>
        <v>0</v>
      </c>
      <c r="O88" s="20">
        <f>+'5.งบลงทุน'!G89</f>
        <v>0</v>
      </c>
      <c r="P88" s="20">
        <f>+'5.งบลงทุน'!H89</f>
        <v>0</v>
      </c>
      <c r="Q88" s="21">
        <f t="shared" si="17"/>
        <v>0</v>
      </c>
      <c r="R88" s="22" t="e">
        <f t="shared" si="18"/>
        <v>#DIV/0!</v>
      </c>
      <c r="S88" s="20">
        <f>+'6.งบรายจ่ายอื่น (GF)'!D88</f>
        <v>5000</v>
      </c>
      <c r="T88" s="20">
        <f>+'6.งบรายจ่ายอื่น (GF)'!E88</f>
        <v>0</v>
      </c>
      <c r="U88" s="20">
        <f>+'6.งบรายจ่ายอื่น (GF)'!F88</f>
        <v>0</v>
      </c>
      <c r="V88" s="21">
        <f t="shared" si="19"/>
        <v>5000</v>
      </c>
      <c r="W88" s="22">
        <f t="shared" si="20"/>
        <v>0</v>
      </c>
      <c r="X88" s="20">
        <f t="shared" si="21"/>
        <v>2189872</v>
      </c>
      <c r="Y88" s="20">
        <f t="shared" si="22"/>
        <v>0</v>
      </c>
      <c r="Z88" s="20">
        <f t="shared" si="23"/>
        <v>1200249.96</v>
      </c>
      <c r="AA88" s="33">
        <f t="shared" si="24"/>
        <v>989622.04</v>
      </c>
      <c r="AB88" s="22">
        <f t="shared" si="25"/>
        <v>54.809137703025563</v>
      </c>
      <c r="AC88" s="178"/>
    </row>
    <row r="89" spans="1:29" s="14" customFormat="1" ht="35.25" customHeight="1" x14ac:dyDescent="0.5">
      <c r="A89" s="27">
        <v>83</v>
      </c>
      <c r="B89" s="28" t="s">
        <v>108</v>
      </c>
      <c r="C89" s="29" t="s">
        <v>152</v>
      </c>
      <c r="D89" s="20">
        <f>+'3.งบบุคลากร (GF)'!D90</f>
        <v>1227943</v>
      </c>
      <c r="E89" s="20">
        <f>+'3.งบบุคลากร (GF)'!E90</f>
        <v>0</v>
      </c>
      <c r="F89" s="20">
        <f>+'3.งบบุคลากร (GF)'!F90</f>
        <v>769720</v>
      </c>
      <c r="G89" s="33">
        <f t="shared" si="13"/>
        <v>458223</v>
      </c>
      <c r="H89" s="22">
        <f t="shared" si="14"/>
        <v>62.683691343979319</v>
      </c>
      <c r="I89" s="20">
        <f>+'4. งบดำเนินงาน (GF)'!D90</f>
        <v>805678.74</v>
      </c>
      <c r="J89" s="20">
        <f>+'4. งบดำเนินงาน (GF)'!E90</f>
        <v>127500</v>
      </c>
      <c r="K89" s="20">
        <f>+'4. งบดำเนินงาน (GF)'!F90</f>
        <v>379886.74</v>
      </c>
      <c r="L89" s="21">
        <f t="shared" si="15"/>
        <v>298292</v>
      </c>
      <c r="M89" s="22">
        <f t="shared" si="16"/>
        <v>47.151143643184625</v>
      </c>
      <c r="N89" s="20">
        <f>+'5.งบลงทุน'!F90</f>
        <v>9560</v>
      </c>
      <c r="O89" s="20">
        <f>+'5.งบลงทุน'!G90</f>
        <v>0</v>
      </c>
      <c r="P89" s="20">
        <f>+'5.งบลงทุน'!H90</f>
        <v>9560</v>
      </c>
      <c r="Q89" s="21">
        <f t="shared" si="17"/>
        <v>0</v>
      </c>
      <c r="R89" s="22">
        <f t="shared" si="18"/>
        <v>100</v>
      </c>
      <c r="S89" s="20">
        <f>+'6.งบรายจ่ายอื่น (GF)'!D89</f>
        <v>5000</v>
      </c>
      <c r="T89" s="20">
        <f>+'6.งบรายจ่ายอื่น (GF)'!E89</f>
        <v>0</v>
      </c>
      <c r="U89" s="20">
        <f>+'6.งบรายจ่ายอื่น (GF)'!F89</f>
        <v>0</v>
      </c>
      <c r="V89" s="21">
        <f t="shared" si="19"/>
        <v>5000</v>
      </c>
      <c r="W89" s="22">
        <f t="shared" si="20"/>
        <v>0</v>
      </c>
      <c r="X89" s="20">
        <f t="shared" si="21"/>
        <v>2048181.74</v>
      </c>
      <c r="Y89" s="20">
        <f t="shared" si="22"/>
        <v>127500</v>
      </c>
      <c r="Z89" s="20">
        <f t="shared" si="23"/>
        <v>1159166.74</v>
      </c>
      <c r="AA89" s="33">
        <f t="shared" si="24"/>
        <v>761515</v>
      </c>
      <c r="AB89" s="22">
        <f t="shared" si="25"/>
        <v>56.594916230431778</v>
      </c>
      <c r="AC89" s="178" t="s">
        <v>305</v>
      </c>
    </row>
    <row r="90" spans="1:29" s="14" customFormat="1" ht="35.25" customHeight="1" x14ac:dyDescent="0.5">
      <c r="A90" s="27">
        <v>84</v>
      </c>
      <c r="B90" s="28" t="s">
        <v>108</v>
      </c>
      <c r="C90" s="29" t="s">
        <v>153</v>
      </c>
      <c r="D90" s="20">
        <f>+'3.งบบุคลากร (GF)'!D91</f>
        <v>1766015</v>
      </c>
      <c r="E90" s="20">
        <f>+'3.งบบุคลากร (GF)'!E91</f>
        <v>0</v>
      </c>
      <c r="F90" s="20">
        <f>+'3.งบบุคลากร (GF)'!F91</f>
        <v>1108520</v>
      </c>
      <c r="G90" s="33">
        <f t="shared" si="13"/>
        <v>657495</v>
      </c>
      <c r="H90" s="22">
        <f t="shared" si="14"/>
        <v>62.769568774897152</v>
      </c>
      <c r="I90" s="20">
        <f>+'4. งบดำเนินงาน (GF)'!D91</f>
        <v>697960</v>
      </c>
      <c r="J90" s="20">
        <f>+'4. งบดำเนินงาน (GF)'!E91</f>
        <v>0</v>
      </c>
      <c r="K90" s="20">
        <f>+'4. งบดำเนินงาน (GF)'!F91</f>
        <v>412982.53</v>
      </c>
      <c r="L90" s="21">
        <f t="shared" si="15"/>
        <v>284977.46999999997</v>
      </c>
      <c r="M90" s="22">
        <f t="shared" si="16"/>
        <v>59.169942403576137</v>
      </c>
      <c r="N90" s="20">
        <f>+'5.งบลงทุน'!F91</f>
        <v>102200</v>
      </c>
      <c r="O90" s="20">
        <f>+'5.งบลงทุน'!G91</f>
        <v>0</v>
      </c>
      <c r="P90" s="20">
        <f>+'5.งบลงทุน'!H91</f>
        <v>102200</v>
      </c>
      <c r="Q90" s="21">
        <f t="shared" si="17"/>
        <v>0</v>
      </c>
      <c r="R90" s="22">
        <f t="shared" si="18"/>
        <v>100</v>
      </c>
      <c r="S90" s="20">
        <f>+'6.งบรายจ่ายอื่น (GF)'!D90</f>
        <v>5000</v>
      </c>
      <c r="T90" s="20">
        <f>+'6.งบรายจ่ายอื่น (GF)'!E90</f>
        <v>0</v>
      </c>
      <c r="U90" s="20">
        <f>+'6.งบรายจ่ายอื่น (GF)'!F90</f>
        <v>0</v>
      </c>
      <c r="V90" s="21">
        <f t="shared" si="19"/>
        <v>5000</v>
      </c>
      <c r="W90" s="22">
        <f t="shared" si="20"/>
        <v>0</v>
      </c>
      <c r="X90" s="20">
        <f t="shared" si="21"/>
        <v>2571175</v>
      </c>
      <c r="Y90" s="20">
        <f t="shared" si="22"/>
        <v>0</v>
      </c>
      <c r="Z90" s="20">
        <f t="shared" si="23"/>
        <v>1623702.53</v>
      </c>
      <c r="AA90" s="33">
        <f t="shared" si="24"/>
        <v>947472.47</v>
      </c>
      <c r="AB90" s="22">
        <f t="shared" si="25"/>
        <v>63.150214590605465</v>
      </c>
      <c r="AC90" s="178" t="s">
        <v>305</v>
      </c>
    </row>
    <row r="91" spans="1:29" s="14" customFormat="1" ht="35.25" customHeight="1" x14ac:dyDescent="0.5">
      <c r="A91" s="27">
        <v>85</v>
      </c>
      <c r="B91" s="28" t="s">
        <v>108</v>
      </c>
      <c r="C91" s="29" t="s">
        <v>52</v>
      </c>
      <c r="D91" s="20">
        <f>+'3.งบบุคลากร (GF)'!D92</f>
        <v>1728695</v>
      </c>
      <c r="E91" s="20">
        <f>+'3.งบบุคลากร (GF)'!E92</f>
        <v>0</v>
      </c>
      <c r="F91" s="20">
        <f>+'3.งบบุคลากร (GF)'!F92</f>
        <v>991860</v>
      </c>
      <c r="G91" s="33">
        <f t="shared" si="13"/>
        <v>736835</v>
      </c>
      <c r="H91" s="22">
        <f t="shared" si="14"/>
        <v>57.376228889422364</v>
      </c>
      <c r="I91" s="20">
        <f>+'4. งบดำเนินงาน (GF)'!D92</f>
        <v>862630</v>
      </c>
      <c r="J91" s="20">
        <f>+'4. งบดำเนินงาน (GF)'!E92</f>
        <v>0</v>
      </c>
      <c r="K91" s="20">
        <f>+'4. งบดำเนินงาน (GF)'!F92</f>
        <v>726495.76</v>
      </c>
      <c r="L91" s="21">
        <f t="shared" si="15"/>
        <v>136134.24</v>
      </c>
      <c r="M91" s="22">
        <f t="shared" si="16"/>
        <v>84.218698630930987</v>
      </c>
      <c r="N91" s="20">
        <f>+'5.งบลงทุน'!F92</f>
        <v>57180</v>
      </c>
      <c r="O91" s="20">
        <f>+'5.งบลงทุน'!G92</f>
        <v>0</v>
      </c>
      <c r="P91" s="20">
        <f>+'5.งบลงทุน'!H92</f>
        <v>57180</v>
      </c>
      <c r="Q91" s="21">
        <f t="shared" si="17"/>
        <v>0</v>
      </c>
      <c r="R91" s="22">
        <f t="shared" si="18"/>
        <v>100</v>
      </c>
      <c r="S91" s="20">
        <f>+'6.งบรายจ่ายอื่น (GF)'!D91</f>
        <v>8000</v>
      </c>
      <c r="T91" s="20">
        <f>+'6.งบรายจ่ายอื่น (GF)'!E91</f>
        <v>0</v>
      </c>
      <c r="U91" s="20">
        <f>+'6.งบรายจ่ายอื่น (GF)'!F91</f>
        <v>5000</v>
      </c>
      <c r="V91" s="21">
        <f t="shared" si="19"/>
        <v>3000</v>
      </c>
      <c r="W91" s="22">
        <f t="shared" si="20"/>
        <v>62.5</v>
      </c>
      <c r="X91" s="20">
        <f t="shared" si="21"/>
        <v>2656505</v>
      </c>
      <c r="Y91" s="20">
        <f t="shared" si="22"/>
        <v>0</v>
      </c>
      <c r="Z91" s="20">
        <f t="shared" si="23"/>
        <v>1780535.76</v>
      </c>
      <c r="AA91" s="33">
        <f t="shared" si="24"/>
        <v>875969.24</v>
      </c>
      <c r="AB91" s="22">
        <f t="shared" si="25"/>
        <v>67.025500046113223</v>
      </c>
      <c r="AC91" s="178"/>
    </row>
    <row r="92" spans="1:29" s="14" customFormat="1" ht="35.25" customHeight="1" x14ac:dyDescent="0.5">
      <c r="A92" s="27">
        <v>86</v>
      </c>
      <c r="B92" s="28" t="s">
        <v>108</v>
      </c>
      <c r="C92" s="29" t="s">
        <v>53</v>
      </c>
      <c r="D92" s="20">
        <f>+'3.งบบุคลากร (GF)'!D93</f>
        <v>1754800</v>
      </c>
      <c r="E92" s="20">
        <f>+'3.งบบุคลากร (GF)'!E93</f>
        <v>0</v>
      </c>
      <c r="F92" s="20">
        <f>+'3.งบบุคลากร (GF)'!F93</f>
        <v>1111680</v>
      </c>
      <c r="G92" s="33">
        <f t="shared" si="13"/>
        <v>643120</v>
      </c>
      <c r="H92" s="22">
        <f t="shared" si="14"/>
        <v>63.350809209026671</v>
      </c>
      <c r="I92" s="20">
        <f>+'4. งบดำเนินงาน (GF)'!D93</f>
        <v>1159191</v>
      </c>
      <c r="J92" s="20">
        <f>+'4. งบดำเนินงาน (GF)'!E93</f>
        <v>0</v>
      </c>
      <c r="K92" s="20">
        <f>+'4. งบดำเนินงาน (GF)'!F93</f>
        <v>729336.08</v>
      </c>
      <c r="L92" s="21">
        <f t="shared" si="15"/>
        <v>429854.92000000004</v>
      </c>
      <c r="M92" s="22">
        <f t="shared" si="16"/>
        <v>62.917679657623289</v>
      </c>
      <c r="N92" s="20">
        <f>+'5.งบลงทุน'!F93</f>
        <v>0</v>
      </c>
      <c r="O92" s="20">
        <f>+'5.งบลงทุน'!G93</f>
        <v>0</v>
      </c>
      <c r="P92" s="20">
        <f>+'5.งบลงทุน'!H93</f>
        <v>0</v>
      </c>
      <c r="Q92" s="21">
        <f t="shared" si="17"/>
        <v>0</v>
      </c>
      <c r="R92" s="22" t="e">
        <f t="shared" si="18"/>
        <v>#DIV/0!</v>
      </c>
      <c r="S92" s="20">
        <f>+'6.งบรายจ่ายอื่น (GF)'!D92</f>
        <v>65000</v>
      </c>
      <c r="T92" s="20">
        <f>+'6.งบรายจ่ายอื่น (GF)'!E92</f>
        <v>0</v>
      </c>
      <c r="U92" s="20">
        <f>+'6.งบรายจ่ายอื่น (GF)'!F92</f>
        <v>0</v>
      </c>
      <c r="V92" s="21">
        <f t="shared" si="19"/>
        <v>65000</v>
      </c>
      <c r="W92" s="22">
        <f t="shared" si="20"/>
        <v>0</v>
      </c>
      <c r="X92" s="20">
        <f t="shared" si="21"/>
        <v>2978991</v>
      </c>
      <c r="Y92" s="20">
        <f t="shared" si="22"/>
        <v>0</v>
      </c>
      <c r="Z92" s="20">
        <f t="shared" si="23"/>
        <v>1841016.08</v>
      </c>
      <c r="AA92" s="33">
        <f t="shared" si="24"/>
        <v>1137974.92</v>
      </c>
      <c r="AB92" s="22">
        <f t="shared" si="25"/>
        <v>61.799987982508171</v>
      </c>
      <c r="AC92" s="178" t="s">
        <v>306</v>
      </c>
    </row>
    <row r="93" spans="1:29" s="14" customFormat="1" ht="35.25" customHeight="1" x14ac:dyDescent="0.5">
      <c r="A93" s="27">
        <v>87</v>
      </c>
      <c r="B93" s="28" t="s">
        <v>108</v>
      </c>
      <c r="C93" s="29" t="s">
        <v>154</v>
      </c>
      <c r="D93" s="20">
        <f>+'3.งบบุคลากร (GF)'!D94</f>
        <v>2130219</v>
      </c>
      <c r="E93" s="20">
        <f>+'3.งบบุคลากร (GF)'!E94</f>
        <v>0</v>
      </c>
      <c r="F93" s="20">
        <f>+'3.งบบุคลากร (GF)'!F94</f>
        <v>1323400</v>
      </c>
      <c r="G93" s="33">
        <f t="shared" si="13"/>
        <v>806819</v>
      </c>
      <c r="H93" s="22">
        <f t="shared" si="14"/>
        <v>62.12506789208058</v>
      </c>
      <c r="I93" s="20">
        <f>+'4. งบดำเนินงาน (GF)'!D94</f>
        <v>1445803</v>
      </c>
      <c r="J93" s="20">
        <f>+'4. งบดำเนินงาน (GF)'!E94</f>
        <v>334686.59999999998</v>
      </c>
      <c r="K93" s="20">
        <f>+'4. งบดำเนินงาน (GF)'!F94</f>
        <v>757841.35</v>
      </c>
      <c r="L93" s="21">
        <f t="shared" si="15"/>
        <v>353275.04999999993</v>
      </c>
      <c r="M93" s="22">
        <f t="shared" si="16"/>
        <v>52.41663974967544</v>
      </c>
      <c r="N93" s="20">
        <f>+'5.งบลงทุน'!F94</f>
        <v>208400</v>
      </c>
      <c r="O93" s="20">
        <f>+'5.งบลงทุน'!G94</f>
        <v>0</v>
      </c>
      <c r="P93" s="20">
        <f>+'5.งบลงทุน'!H94</f>
        <v>208400</v>
      </c>
      <c r="Q93" s="21">
        <f t="shared" si="17"/>
        <v>0</v>
      </c>
      <c r="R93" s="22">
        <f t="shared" si="18"/>
        <v>100</v>
      </c>
      <c r="S93" s="20">
        <f>+'6.งบรายจ่ายอื่น (GF)'!D93</f>
        <v>67000</v>
      </c>
      <c r="T93" s="20">
        <f>+'6.งบรายจ่ายอื่น (GF)'!E93</f>
        <v>0</v>
      </c>
      <c r="U93" s="20">
        <f>+'6.งบรายจ่ายอื่น (GF)'!F93</f>
        <v>10000</v>
      </c>
      <c r="V93" s="21">
        <f t="shared" si="19"/>
        <v>57000</v>
      </c>
      <c r="W93" s="22">
        <f t="shared" si="20"/>
        <v>14.925373134328359</v>
      </c>
      <c r="X93" s="20">
        <f t="shared" si="21"/>
        <v>3851422</v>
      </c>
      <c r="Y93" s="20">
        <f t="shared" si="22"/>
        <v>334686.59999999998</v>
      </c>
      <c r="Z93" s="20">
        <f t="shared" si="23"/>
        <v>2299641.35</v>
      </c>
      <c r="AA93" s="33">
        <f t="shared" si="24"/>
        <v>1217094.0499999998</v>
      </c>
      <c r="AB93" s="22">
        <f t="shared" si="25"/>
        <v>59.708890638314884</v>
      </c>
      <c r="AC93" s="178"/>
    </row>
    <row r="94" spans="1:29" s="14" customFormat="1" ht="35.25" customHeight="1" x14ac:dyDescent="0.5">
      <c r="A94" s="27">
        <v>88</v>
      </c>
      <c r="B94" s="28" t="s">
        <v>108</v>
      </c>
      <c r="C94" s="29" t="s">
        <v>155</v>
      </c>
      <c r="D94" s="20">
        <f>+'3.งบบุคลากร (GF)'!D95</f>
        <v>1793146</v>
      </c>
      <c r="E94" s="20">
        <f>+'3.งบบุคลากร (GF)'!E95</f>
        <v>0</v>
      </c>
      <c r="F94" s="20">
        <f>+'3.งบบุคลากร (GF)'!F95</f>
        <v>1122120</v>
      </c>
      <c r="G94" s="33">
        <f t="shared" si="13"/>
        <v>671026</v>
      </c>
      <c r="H94" s="22">
        <f t="shared" si="14"/>
        <v>62.578284199948023</v>
      </c>
      <c r="I94" s="20">
        <f>+'4. งบดำเนินงาน (GF)'!D95</f>
        <v>973526</v>
      </c>
      <c r="J94" s="20">
        <f>+'4. งบดำเนินงาน (GF)'!E95</f>
        <v>141420</v>
      </c>
      <c r="K94" s="20">
        <f>+'4. งบดำเนินงาน (GF)'!F95</f>
        <v>459495.66</v>
      </c>
      <c r="L94" s="21">
        <f t="shared" si="15"/>
        <v>372610.34</v>
      </c>
      <c r="M94" s="22">
        <f t="shared" si="16"/>
        <v>47.199115380585624</v>
      </c>
      <c r="N94" s="20">
        <f>+'5.งบลงทุน'!F95</f>
        <v>17600</v>
      </c>
      <c r="O94" s="20">
        <f>+'5.งบลงทุน'!G95</f>
        <v>0</v>
      </c>
      <c r="P94" s="20">
        <f>+'5.งบลงทุน'!H95</f>
        <v>17600</v>
      </c>
      <c r="Q94" s="21">
        <f t="shared" si="17"/>
        <v>0</v>
      </c>
      <c r="R94" s="22">
        <f t="shared" si="18"/>
        <v>100</v>
      </c>
      <c r="S94" s="20">
        <f>+'6.งบรายจ่ายอื่น (GF)'!D94</f>
        <v>8000</v>
      </c>
      <c r="T94" s="20">
        <f>+'6.งบรายจ่ายอื่น (GF)'!E94</f>
        <v>0</v>
      </c>
      <c r="U94" s="20">
        <f>+'6.งบรายจ่ายอื่น (GF)'!F94</f>
        <v>0</v>
      </c>
      <c r="V94" s="21">
        <f t="shared" si="19"/>
        <v>8000</v>
      </c>
      <c r="W94" s="22">
        <f t="shared" si="20"/>
        <v>0</v>
      </c>
      <c r="X94" s="20">
        <f t="shared" si="21"/>
        <v>2792272</v>
      </c>
      <c r="Y94" s="20">
        <f t="shared" si="22"/>
        <v>141420</v>
      </c>
      <c r="Z94" s="20">
        <f t="shared" si="23"/>
        <v>1599215.66</v>
      </c>
      <c r="AA94" s="33">
        <f t="shared" si="24"/>
        <v>1051636.3400000001</v>
      </c>
      <c r="AB94" s="22">
        <f t="shared" si="25"/>
        <v>57.272918254382091</v>
      </c>
      <c r="AC94" s="178"/>
    </row>
    <row r="95" spans="1:29" s="14" customFormat="1" ht="35.25" customHeight="1" x14ac:dyDescent="0.5">
      <c r="A95" s="27">
        <v>89</v>
      </c>
      <c r="B95" s="28" t="s">
        <v>108</v>
      </c>
      <c r="C95" s="29" t="s">
        <v>156</v>
      </c>
      <c r="D95" s="20">
        <f>+'3.งบบุคลากร (GF)'!D96</f>
        <v>1855054</v>
      </c>
      <c r="E95" s="20">
        <f>+'3.งบบุคลากร (GF)'!E96</f>
        <v>0</v>
      </c>
      <c r="F95" s="20">
        <f>+'3.งบบุคลากร (GF)'!F96</f>
        <v>1057612</v>
      </c>
      <c r="G95" s="33">
        <f t="shared" si="13"/>
        <v>797442</v>
      </c>
      <c r="H95" s="22">
        <f t="shared" si="14"/>
        <v>57.012464327184006</v>
      </c>
      <c r="I95" s="20">
        <f>+'4. งบดำเนินงาน (GF)'!D96</f>
        <v>3547054</v>
      </c>
      <c r="J95" s="20">
        <f>+'4. งบดำเนินงาน (GF)'!E96</f>
        <v>98008.75</v>
      </c>
      <c r="K95" s="20">
        <f>+'4. งบดำเนินงาน (GF)'!F96</f>
        <v>1819358.03</v>
      </c>
      <c r="L95" s="21">
        <f t="shared" si="15"/>
        <v>1629687.22</v>
      </c>
      <c r="M95" s="22">
        <f t="shared" si="16"/>
        <v>51.292087179952716</v>
      </c>
      <c r="N95" s="20">
        <f>+'5.งบลงทุน'!F96</f>
        <v>747500</v>
      </c>
      <c r="O95" s="20">
        <f>+'5.งบลงทุน'!G96</f>
        <v>0</v>
      </c>
      <c r="P95" s="20">
        <f>+'5.งบลงทุน'!H96</f>
        <v>747500</v>
      </c>
      <c r="Q95" s="21">
        <f t="shared" si="17"/>
        <v>0</v>
      </c>
      <c r="R95" s="22">
        <f t="shared" si="18"/>
        <v>100</v>
      </c>
      <c r="S95" s="20">
        <f>+'6.งบรายจ่ายอื่น (GF)'!D95</f>
        <v>185410</v>
      </c>
      <c r="T95" s="20">
        <f>+'6.งบรายจ่ายอื่น (GF)'!E95</f>
        <v>0</v>
      </c>
      <c r="U95" s="20">
        <f>+'6.งบรายจ่ายอื่น (GF)'!F95</f>
        <v>0</v>
      </c>
      <c r="V95" s="21">
        <f t="shared" si="19"/>
        <v>185410</v>
      </c>
      <c r="W95" s="22">
        <f t="shared" si="20"/>
        <v>0</v>
      </c>
      <c r="X95" s="20">
        <f t="shared" si="21"/>
        <v>6335018</v>
      </c>
      <c r="Y95" s="20">
        <f t="shared" si="22"/>
        <v>98008.75</v>
      </c>
      <c r="Z95" s="20">
        <f t="shared" si="23"/>
        <v>3624470.0300000003</v>
      </c>
      <c r="AA95" s="33">
        <f t="shared" si="24"/>
        <v>2612539.2199999997</v>
      </c>
      <c r="AB95" s="22">
        <f t="shared" si="25"/>
        <v>57.21325543194984</v>
      </c>
      <c r="AC95" s="178"/>
    </row>
    <row r="96" spans="1:29" s="14" customFormat="1" ht="35.25" customHeight="1" x14ac:dyDescent="0.5">
      <c r="A96" s="27">
        <v>90</v>
      </c>
      <c r="B96" s="28" t="s">
        <v>108</v>
      </c>
      <c r="C96" s="29" t="s">
        <v>54</v>
      </c>
      <c r="D96" s="20">
        <f>+'3.งบบุคลากร (GF)'!D97</f>
        <v>2210319</v>
      </c>
      <c r="E96" s="20">
        <f>+'3.งบบุคลากร (GF)'!E97</f>
        <v>0</v>
      </c>
      <c r="F96" s="20">
        <f>+'3.งบบุคลากร (GF)'!F97</f>
        <v>1442120</v>
      </c>
      <c r="G96" s="33">
        <f t="shared" si="13"/>
        <v>768199</v>
      </c>
      <c r="H96" s="22">
        <f t="shared" si="14"/>
        <v>65.244880942524588</v>
      </c>
      <c r="I96" s="20">
        <f>+'4. งบดำเนินงาน (GF)'!D97</f>
        <v>1084740</v>
      </c>
      <c r="J96" s="20">
        <f>+'4. งบดำเนินงาน (GF)'!E97</f>
        <v>0</v>
      </c>
      <c r="K96" s="20">
        <f>+'4. งบดำเนินงาน (GF)'!F97</f>
        <v>601712.64000000001</v>
      </c>
      <c r="L96" s="21">
        <f t="shared" si="15"/>
        <v>483027.36</v>
      </c>
      <c r="M96" s="22">
        <f t="shared" si="16"/>
        <v>55.470678687980531</v>
      </c>
      <c r="N96" s="20">
        <f>+'5.งบลงทุน'!F97</f>
        <v>44000</v>
      </c>
      <c r="O96" s="20">
        <f>+'5.งบลงทุน'!G97</f>
        <v>0</v>
      </c>
      <c r="P96" s="20">
        <f>+'5.งบลงทุน'!H97</f>
        <v>44000</v>
      </c>
      <c r="Q96" s="21">
        <f t="shared" si="17"/>
        <v>0</v>
      </c>
      <c r="R96" s="22">
        <f t="shared" si="18"/>
        <v>100</v>
      </c>
      <c r="S96" s="20">
        <f>+'6.งบรายจ่ายอื่น (GF)'!D96</f>
        <v>8000</v>
      </c>
      <c r="T96" s="20">
        <f>+'6.งบรายจ่ายอื่น (GF)'!E96</f>
        <v>0</v>
      </c>
      <c r="U96" s="20">
        <f>+'6.งบรายจ่ายอื่น (GF)'!F96</f>
        <v>0</v>
      </c>
      <c r="V96" s="21">
        <f t="shared" si="19"/>
        <v>8000</v>
      </c>
      <c r="W96" s="22">
        <f t="shared" si="20"/>
        <v>0</v>
      </c>
      <c r="X96" s="20">
        <f t="shared" si="21"/>
        <v>3347059</v>
      </c>
      <c r="Y96" s="20">
        <f t="shared" si="22"/>
        <v>0</v>
      </c>
      <c r="Z96" s="20">
        <f t="shared" si="23"/>
        <v>2087832.6400000001</v>
      </c>
      <c r="AA96" s="33">
        <f t="shared" si="24"/>
        <v>1259226.3599999999</v>
      </c>
      <c r="AB96" s="22">
        <f t="shared" si="25"/>
        <v>62.378124795529452</v>
      </c>
      <c r="AC96" s="178"/>
    </row>
    <row r="97" spans="1:29" s="14" customFormat="1" ht="35.25" customHeight="1" x14ac:dyDescent="0.5">
      <c r="A97" s="27">
        <v>91</v>
      </c>
      <c r="B97" s="28" t="s">
        <v>108</v>
      </c>
      <c r="C97" s="29" t="s">
        <v>55</v>
      </c>
      <c r="D97" s="20">
        <f>+'3.งบบุคลากร (GF)'!D98</f>
        <v>2320172</v>
      </c>
      <c r="E97" s="20">
        <f>+'3.งบบุคลากร (GF)'!E98</f>
        <v>0</v>
      </c>
      <c r="F97" s="20">
        <f>+'3.งบบุคลากร (GF)'!F98</f>
        <v>1362300</v>
      </c>
      <c r="G97" s="33">
        <f t="shared" si="13"/>
        <v>957872</v>
      </c>
      <c r="H97" s="22">
        <f t="shared" si="14"/>
        <v>58.715474542404614</v>
      </c>
      <c r="I97" s="20">
        <f>+'4. งบดำเนินงาน (GF)'!D98</f>
        <v>981968</v>
      </c>
      <c r="J97" s="20">
        <f>+'4. งบดำเนินงาน (GF)'!E98</f>
        <v>243720</v>
      </c>
      <c r="K97" s="20">
        <f>+'4. งบดำเนินงาน (GF)'!F98</f>
        <v>543819.62</v>
      </c>
      <c r="L97" s="21">
        <f t="shared" si="15"/>
        <v>194428.38</v>
      </c>
      <c r="M97" s="22">
        <f t="shared" si="16"/>
        <v>55.380584703371191</v>
      </c>
      <c r="N97" s="20">
        <f>+'5.งบลงทุน'!F98</f>
        <v>72760</v>
      </c>
      <c r="O97" s="20">
        <f>+'5.งบลงทุน'!G98</f>
        <v>0</v>
      </c>
      <c r="P97" s="20">
        <f>+'5.งบลงทุน'!H98</f>
        <v>72760</v>
      </c>
      <c r="Q97" s="21">
        <f t="shared" si="17"/>
        <v>0</v>
      </c>
      <c r="R97" s="22">
        <f t="shared" si="18"/>
        <v>100</v>
      </c>
      <c r="S97" s="20">
        <f>+'6.งบรายจ่ายอื่น (GF)'!D97</f>
        <v>8000</v>
      </c>
      <c r="T97" s="20">
        <f>+'6.งบรายจ่ายอื่น (GF)'!E97</f>
        <v>0</v>
      </c>
      <c r="U97" s="20">
        <f>+'6.งบรายจ่ายอื่น (GF)'!F97</f>
        <v>0</v>
      </c>
      <c r="V97" s="21">
        <f t="shared" si="19"/>
        <v>8000</v>
      </c>
      <c r="W97" s="22">
        <f t="shared" si="20"/>
        <v>0</v>
      </c>
      <c r="X97" s="20">
        <f t="shared" si="21"/>
        <v>3382900</v>
      </c>
      <c r="Y97" s="20">
        <f t="shared" si="22"/>
        <v>243720</v>
      </c>
      <c r="Z97" s="20">
        <f t="shared" si="23"/>
        <v>1978879.62</v>
      </c>
      <c r="AA97" s="33">
        <f t="shared" si="24"/>
        <v>1160300.3799999999</v>
      </c>
      <c r="AB97" s="22">
        <f t="shared" si="25"/>
        <v>58.49654497620385</v>
      </c>
      <c r="AC97" s="178"/>
    </row>
    <row r="98" spans="1:29" s="14" customFormat="1" ht="35.25" customHeight="1" x14ac:dyDescent="0.5">
      <c r="A98" s="27">
        <v>92</v>
      </c>
      <c r="B98" s="30" t="s">
        <v>110</v>
      </c>
      <c r="C98" s="31" t="s">
        <v>20</v>
      </c>
      <c r="D98" s="20">
        <f>+'3.งบบุคลากร (GF)'!D99</f>
        <v>4714576</v>
      </c>
      <c r="E98" s="20">
        <f>+'3.งบบุคลากร (GF)'!E99</f>
        <v>0</v>
      </c>
      <c r="F98" s="20">
        <f>+'3.งบบุคลากร (GF)'!F99</f>
        <v>2938949</v>
      </c>
      <c r="G98" s="33">
        <f t="shared" si="13"/>
        <v>1775627</v>
      </c>
      <c r="H98" s="22">
        <f t="shared" si="14"/>
        <v>62.337503945211616</v>
      </c>
      <c r="I98" s="20">
        <f>+'4. งบดำเนินงาน (GF)'!D99</f>
        <v>1987324</v>
      </c>
      <c r="J98" s="20">
        <f>+'4. งบดำเนินงาน (GF)'!E99</f>
        <v>382140.5</v>
      </c>
      <c r="K98" s="20">
        <f>+'4. งบดำเนินงาน (GF)'!F99</f>
        <v>1058073.81</v>
      </c>
      <c r="L98" s="21">
        <f t="shared" si="15"/>
        <v>547109.68999999994</v>
      </c>
      <c r="M98" s="22">
        <f t="shared" si="16"/>
        <v>53.241132799684401</v>
      </c>
      <c r="N98" s="20">
        <f>+'5.งบลงทุน'!F99</f>
        <v>317148</v>
      </c>
      <c r="O98" s="20">
        <f>+'5.งบลงทุน'!G99</f>
        <v>0</v>
      </c>
      <c r="P98" s="20">
        <f>+'5.งบลงทุน'!H99</f>
        <v>317148</v>
      </c>
      <c r="Q98" s="21">
        <f t="shared" si="17"/>
        <v>0</v>
      </c>
      <c r="R98" s="22">
        <f t="shared" si="18"/>
        <v>100</v>
      </c>
      <c r="S98" s="20">
        <f>+'6.งบรายจ่ายอื่น (GF)'!D98</f>
        <v>289360</v>
      </c>
      <c r="T98" s="20">
        <f>+'6.งบรายจ่ายอื่น (GF)'!E98</f>
        <v>0</v>
      </c>
      <c r="U98" s="20">
        <f>+'6.งบรายจ่ายอื่น (GF)'!F98</f>
        <v>10400</v>
      </c>
      <c r="V98" s="21">
        <f t="shared" si="19"/>
        <v>278960</v>
      </c>
      <c r="W98" s="22">
        <f t="shared" si="20"/>
        <v>3.5941387890517005</v>
      </c>
      <c r="X98" s="20">
        <f t="shared" si="21"/>
        <v>7308408</v>
      </c>
      <c r="Y98" s="20">
        <f t="shared" si="22"/>
        <v>382140.5</v>
      </c>
      <c r="Z98" s="20">
        <f t="shared" si="23"/>
        <v>4324570.8100000005</v>
      </c>
      <c r="AA98" s="33">
        <f t="shared" si="24"/>
        <v>2601696.6899999995</v>
      </c>
      <c r="AB98" s="22">
        <f t="shared" si="25"/>
        <v>59.172542228074853</v>
      </c>
      <c r="AC98" s="178" t="s">
        <v>304</v>
      </c>
    </row>
    <row r="99" spans="1:29" s="14" customFormat="1" ht="32.25" customHeight="1" x14ac:dyDescent="0.5">
      <c r="A99" s="27">
        <v>93</v>
      </c>
      <c r="B99" s="28" t="s">
        <v>110</v>
      </c>
      <c r="C99" s="29" t="s">
        <v>157</v>
      </c>
      <c r="D99" s="20">
        <f>+'3.งบบุคลากร (GF)'!D100</f>
        <v>4938446</v>
      </c>
      <c r="E99" s="20">
        <f>+'3.งบบุคลากร (GF)'!E100</f>
        <v>0</v>
      </c>
      <c r="F99" s="20">
        <f>+'3.งบบุคลากร (GF)'!F100</f>
        <v>2978351.94</v>
      </c>
      <c r="G99" s="33">
        <f t="shared" si="13"/>
        <v>1960094.06</v>
      </c>
      <c r="H99" s="22">
        <f t="shared" si="14"/>
        <v>60.30949695511503</v>
      </c>
      <c r="I99" s="20">
        <f>+'4. งบดำเนินงาน (GF)'!D100</f>
        <v>2829441</v>
      </c>
      <c r="J99" s="20">
        <f>+'4. งบดำเนินงาน (GF)'!E100</f>
        <v>0</v>
      </c>
      <c r="K99" s="20">
        <f>+'4. งบดำเนินงาน (GF)'!F100</f>
        <v>1245877.3799999999</v>
      </c>
      <c r="L99" s="21">
        <f t="shared" si="15"/>
        <v>1583563.62</v>
      </c>
      <c r="M99" s="22">
        <f t="shared" si="16"/>
        <v>44.032633301065474</v>
      </c>
      <c r="N99" s="20">
        <f>+'5.งบลงทุน'!F100</f>
        <v>1353300</v>
      </c>
      <c r="O99" s="20">
        <f>+'5.งบลงทุน'!G100</f>
        <v>0</v>
      </c>
      <c r="P99" s="20">
        <f>+'5.งบลงทุน'!H100</f>
        <v>537300</v>
      </c>
      <c r="Q99" s="21">
        <f t="shared" si="17"/>
        <v>816000</v>
      </c>
      <c r="R99" s="22">
        <f t="shared" si="18"/>
        <v>39.702948348481492</v>
      </c>
      <c r="S99" s="20">
        <f>+'6.งบรายจ่ายอื่น (GF)'!D99</f>
        <v>820360</v>
      </c>
      <c r="T99" s="20">
        <f>+'6.งบรายจ่ายอื่น (GF)'!E99</f>
        <v>0</v>
      </c>
      <c r="U99" s="20">
        <f>+'6.งบรายจ่ายอื่น (GF)'!F99</f>
        <v>48000</v>
      </c>
      <c r="V99" s="21">
        <f t="shared" si="19"/>
        <v>772360</v>
      </c>
      <c r="W99" s="22">
        <f t="shared" si="20"/>
        <v>5.851089765468819</v>
      </c>
      <c r="X99" s="20">
        <f t="shared" si="21"/>
        <v>9941547</v>
      </c>
      <c r="Y99" s="20">
        <f t="shared" si="22"/>
        <v>0</v>
      </c>
      <c r="Z99" s="20">
        <f t="shared" si="23"/>
        <v>4809529.32</v>
      </c>
      <c r="AA99" s="33">
        <f t="shared" si="24"/>
        <v>5132017.68</v>
      </c>
      <c r="AB99" s="22">
        <f t="shared" si="25"/>
        <v>48.378077576860022</v>
      </c>
      <c r="AC99" s="183" t="s">
        <v>310</v>
      </c>
    </row>
    <row r="100" spans="1:29" s="14" customFormat="1" ht="35.25" customHeight="1" x14ac:dyDescent="0.5">
      <c r="A100" s="27">
        <v>94</v>
      </c>
      <c r="B100" s="28" t="s">
        <v>108</v>
      </c>
      <c r="C100" s="29" t="s">
        <v>86</v>
      </c>
      <c r="D100" s="20">
        <f>+'3.งบบุคลากร (GF)'!D101</f>
        <v>1306678</v>
      </c>
      <c r="E100" s="20">
        <f>+'3.งบบุคลากร (GF)'!E101</f>
        <v>0</v>
      </c>
      <c r="F100" s="20">
        <f>+'3.งบบุคลากร (GF)'!F101</f>
        <v>811380</v>
      </c>
      <c r="G100" s="33">
        <f t="shared" si="13"/>
        <v>495298</v>
      </c>
      <c r="H100" s="22">
        <f t="shared" si="14"/>
        <v>62.094869585314818</v>
      </c>
      <c r="I100" s="20">
        <f>+'4. งบดำเนินงาน (GF)'!D101</f>
        <v>1122964</v>
      </c>
      <c r="J100" s="20">
        <f>+'4. งบดำเนินงาน (GF)'!E101</f>
        <v>0</v>
      </c>
      <c r="K100" s="20">
        <f>+'4. งบดำเนินงาน (GF)'!F101</f>
        <v>872483.43</v>
      </c>
      <c r="L100" s="21">
        <f t="shared" si="15"/>
        <v>250480.56999999995</v>
      </c>
      <c r="M100" s="22">
        <f t="shared" si="16"/>
        <v>77.694692795138579</v>
      </c>
      <c r="N100" s="20">
        <f>+'5.งบลงทุน'!F101</f>
        <v>72300</v>
      </c>
      <c r="O100" s="20">
        <f>+'5.งบลงทุน'!G101</f>
        <v>0</v>
      </c>
      <c r="P100" s="20">
        <f>+'5.งบลงทุน'!H101</f>
        <v>72300</v>
      </c>
      <c r="Q100" s="21">
        <f t="shared" si="17"/>
        <v>0</v>
      </c>
      <c r="R100" s="22">
        <f t="shared" si="18"/>
        <v>100</v>
      </c>
      <c r="S100" s="20">
        <f>+'6.งบรายจ่ายอื่น (GF)'!D100</f>
        <v>18000</v>
      </c>
      <c r="T100" s="20">
        <f>+'6.งบรายจ่ายอื่น (GF)'!E100</f>
        <v>0</v>
      </c>
      <c r="U100" s="20">
        <f>+'6.งบรายจ่ายอื่น (GF)'!F100</f>
        <v>8000</v>
      </c>
      <c r="V100" s="21">
        <f t="shared" si="19"/>
        <v>10000</v>
      </c>
      <c r="W100" s="22">
        <f t="shared" si="20"/>
        <v>44.444444444444443</v>
      </c>
      <c r="X100" s="20">
        <f t="shared" si="21"/>
        <v>2519942</v>
      </c>
      <c r="Y100" s="20">
        <f t="shared" si="22"/>
        <v>0</v>
      </c>
      <c r="Z100" s="20">
        <f t="shared" si="23"/>
        <v>1764163.4300000002</v>
      </c>
      <c r="AA100" s="33">
        <f t="shared" si="24"/>
        <v>755778.56999999983</v>
      </c>
      <c r="AB100" s="22">
        <f t="shared" si="25"/>
        <v>70.008096614922096</v>
      </c>
      <c r="AC100" s="178" t="s">
        <v>305</v>
      </c>
    </row>
    <row r="101" spans="1:29" s="14" customFormat="1" ht="35.25" customHeight="1" x14ac:dyDescent="0.5">
      <c r="A101" s="27">
        <v>95</v>
      </c>
      <c r="B101" s="28" t="s">
        <v>110</v>
      </c>
      <c r="C101" s="29" t="s">
        <v>43</v>
      </c>
      <c r="D101" s="20">
        <f>+'3.งบบุคลากร (GF)'!D102</f>
        <v>5114260</v>
      </c>
      <c r="E101" s="20">
        <f>+'3.งบบุคลากร (GF)'!E102</f>
        <v>0</v>
      </c>
      <c r="F101" s="20">
        <f>+'3.งบบุคลากร (GF)'!F102</f>
        <v>3331050</v>
      </c>
      <c r="G101" s="33">
        <f t="shared" si="13"/>
        <v>1783210</v>
      </c>
      <c r="H101" s="22">
        <f t="shared" si="14"/>
        <v>65.132590052128748</v>
      </c>
      <c r="I101" s="20">
        <f>+'4. งบดำเนินงาน (GF)'!D102</f>
        <v>3207127</v>
      </c>
      <c r="J101" s="20">
        <f>+'4. งบดำเนินงาน (GF)'!E102</f>
        <v>0</v>
      </c>
      <c r="K101" s="20">
        <f>+'4. งบดำเนินงาน (GF)'!F102</f>
        <v>1518181.87</v>
      </c>
      <c r="L101" s="21">
        <f t="shared" si="15"/>
        <v>1688945.13</v>
      </c>
      <c r="M101" s="22">
        <f t="shared" si="16"/>
        <v>47.337753384883108</v>
      </c>
      <c r="N101" s="20">
        <f>+'5.งบลงทุน'!F102</f>
        <v>483128</v>
      </c>
      <c r="O101" s="20">
        <f>+'5.งบลงทุน'!G102</f>
        <v>0</v>
      </c>
      <c r="P101" s="20">
        <f>+'5.งบลงทุน'!H102</f>
        <v>483128</v>
      </c>
      <c r="Q101" s="21">
        <f t="shared" si="17"/>
        <v>0</v>
      </c>
      <c r="R101" s="22">
        <f t="shared" si="18"/>
        <v>100</v>
      </c>
      <c r="S101" s="20">
        <f>+'6.งบรายจ่ายอื่น (GF)'!D101</f>
        <v>150410</v>
      </c>
      <c r="T101" s="20">
        <f>+'6.งบรายจ่ายอื่น (GF)'!E101</f>
        <v>0</v>
      </c>
      <c r="U101" s="20">
        <f>+'6.งบรายจ่ายอื่น (GF)'!F101</f>
        <v>0</v>
      </c>
      <c r="V101" s="21">
        <f t="shared" si="19"/>
        <v>150410</v>
      </c>
      <c r="W101" s="22">
        <f t="shared" si="20"/>
        <v>0</v>
      </c>
      <c r="X101" s="20">
        <f t="shared" si="21"/>
        <v>8954925</v>
      </c>
      <c r="Y101" s="20">
        <f t="shared" si="22"/>
        <v>0</v>
      </c>
      <c r="Z101" s="20">
        <f t="shared" si="23"/>
        <v>5332359.87</v>
      </c>
      <c r="AA101" s="33">
        <f t="shared" si="24"/>
        <v>3622565.13</v>
      </c>
      <c r="AB101" s="22">
        <f t="shared" si="25"/>
        <v>59.546672585197534</v>
      </c>
      <c r="AC101" s="178" t="s">
        <v>305</v>
      </c>
    </row>
    <row r="102" spans="1:29" s="14" customFormat="1" ht="35.25" customHeight="1" thickBot="1" x14ac:dyDescent="0.55000000000000004">
      <c r="A102" s="27">
        <v>96</v>
      </c>
      <c r="B102" s="28" t="s">
        <v>110</v>
      </c>
      <c r="C102" s="29" t="s">
        <v>158</v>
      </c>
      <c r="D102" s="20">
        <f>+'3.งบบุคลากร (GF)'!D103</f>
        <v>4133632</v>
      </c>
      <c r="E102" s="20">
        <f>+'3.งบบุคลากร (GF)'!E103</f>
        <v>0</v>
      </c>
      <c r="F102" s="20">
        <f>+'3.งบบุคลากร (GF)'!F103</f>
        <v>2542272.9</v>
      </c>
      <c r="G102" s="33">
        <f t="shared" si="13"/>
        <v>1591359.1</v>
      </c>
      <c r="H102" s="22">
        <f t="shared" si="14"/>
        <v>61.502158392425841</v>
      </c>
      <c r="I102" s="20">
        <f>+'4. งบดำเนินงาน (GF)'!D103</f>
        <v>2365789</v>
      </c>
      <c r="J102" s="20">
        <f>+'4. งบดำเนินงาน (GF)'!E103</f>
        <v>874318.09</v>
      </c>
      <c r="K102" s="20">
        <f>+'4. งบดำเนินงาน (GF)'!F103</f>
        <v>1346047.7</v>
      </c>
      <c r="L102" s="21">
        <f t="shared" si="15"/>
        <v>145423.2100000002</v>
      </c>
      <c r="M102" s="22">
        <f t="shared" si="16"/>
        <v>56.896354662228966</v>
      </c>
      <c r="N102" s="20">
        <f>+'5.งบลงทุน'!F103</f>
        <v>172760</v>
      </c>
      <c r="O102" s="20">
        <f>+'5.งบลงทุน'!G103</f>
        <v>0</v>
      </c>
      <c r="P102" s="20">
        <f>+'5.งบลงทุน'!H103</f>
        <v>172760</v>
      </c>
      <c r="Q102" s="21">
        <f t="shared" si="17"/>
        <v>0</v>
      </c>
      <c r="R102" s="22">
        <f t="shared" si="18"/>
        <v>100</v>
      </c>
      <c r="S102" s="20">
        <f>+'6.งบรายจ่ายอื่น (GF)'!D102</f>
        <v>57410</v>
      </c>
      <c r="T102" s="20">
        <f>+'6.งบรายจ่ายอื่น (GF)'!E102</f>
        <v>0</v>
      </c>
      <c r="U102" s="20">
        <f>+'6.งบรายจ่ายอื่น (GF)'!F102</f>
        <v>23005</v>
      </c>
      <c r="V102" s="21">
        <f t="shared" si="19"/>
        <v>34405</v>
      </c>
      <c r="W102" s="22">
        <f t="shared" si="20"/>
        <v>40.071416129594148</v>
      </c>
      <c r="X102" s="20">
        <f t="shared" si="21"/>
        <v>6729591</v>
      </c>
      <c r="Y102" s="20">
        <f t="shared" si="22"/>
        <v>874318.09</v>
      </c>
      <c r="Z102" s="20">
        <f t="shared" si="23"/>
        <v>4084085.5999999996</v>
      </c>
      <c r="AA102" s="33">
        <f t="shared" si="24"/>
        <v>1771187.3100000005</v>
      </c>
      <c r="AB102" s="22">
        <f t="shared" si="25"/>
        <v>60.688466802811632</v>
      </c>
      <c r="AC102" s="178"/>
    </row>
    <row r="103" spans="1:29" s="19" customFormat="1" ht="35.25" customHeight="1" thickBot="1" x14ac:dyDescent="0.55000000000000004">
      <c r="A103" s="1264" t="s">
        <v>159</v>
      </c>
      <c r="B103" s="1265"/>
      <c r="C103" s="1266"/>
      <c r="D103" s="16">
        <f>SUM(D7:D102)</f>
        <v>695026000</v>
      </c>
      <c r="E103" s="16">
        <f>SUM(E7:E102)</f>
        <v>0</v>
      </c>
      <c r="F103" s="16">
        <f>SUM(F7:F102)</f>
        <v>455978224.26999992</v>
      </c>
      <c r="G103" s="17">
        <f>SUM(G7:G102)</f>
        <v>239047775.72999999</v>
      </c>
      <c r="H103" s="18">
        <f>F103*100/D103</f>
        <v>65.605923270496348</v>
      </c>
      <c r="I103" s="16">
        <f>SUM(I7:I102)</f>
        <v>216270500.00000003</v>
      </c>
      <c r="J103" s="16">
        <f>SUM(J7:J102)</f>
        <v>44861334.840000018</v>
      </c>
      <c r="K103" s="16">
        <f>SUM(K7:K102)</f>
        <v>108116326.24000004</v>
      </c>
      <c r="L103" s="16">
        <f>SUM(L7:L102)</f>
        <v>63292838.920000009</v>
      </c>
      <c r="M103" s="18">
        <f>K103*100/I103</f>
        <v>49.991249957807476</v>
      </c>
      <c r="N103" s="16">
        <f>SUM(N7:N102)</f>
        <v>68223500</v>
      </c>
      <c r="O103" s="16">
        <f>SUM(O7:O102)</f>
        <v>22444868</v>
      </c>
      <c r="P103" s="16">
        <f>SUM(P7:P102)</f>
        <v>18036707.699999999</v>
      </c>
      <c r="Q103" s="16">
        <f>SUM(Q7:Q102)</f>
        <v>27741924.299999997</v>
      </c>
      <c r="R103" s="18">
        <f>P103*100/N103</f>
        <v>26.437675727571879</v>
      </c>
      <c r="S103" s="16">
        <f>SUM(S7:S102)</f>
        <v>14396800</v>
      </c>
      <c r="T103" s="16">
        <f>SUM(T7:T102)</f>
        <v>2611120</v>
      </c>
      <c r="U103" s="16">
        <f>SUM(U7:U102)</f>
        <v>1250719.42</v>
      </c>
      <c r="V103" s="16">
        <f>SUM(V7:V102)</f>
        <v>10534960.58</v>
      </c>
      <c r="W103" s="18">
        <f>U103*100/S103</f>
        <v>8.6874820793509677</v>
      </c>
      <c r="X103" s="16">
        <f>SUM(X7:X102)</f>
        <v>993916800</v>
      </c>
      <c r="Y103" s="16">
        <f>SUM(Y7:Y102)</f>
        <v>69917322.840000018</v>
      </c>
      <c r="Z103" s="16">
        <f>SUM(Z7:Z102)</f>
        <v>583381977.63000011</v>
      </c>
      <c r="AA103" s="16">
        <f>SUM(AA7:AA102)</f>
        <v>340617499.53000015</v>
      </c>
      <c r="AB103" s="18">
        <f>+Z103*100/X103</f>
        <v>58.695252724372921</v>
      </c>
      <c r="AC103" s="179"/>
    </row>
    <row r="104" spans="1:29" s="673" customFormat="1" ht="24" thickTop="1" x14ac:dyDescent="0.5">
      <c r="A104" s="32" t="s">
        <v>160</v>
      </c>
      <c r="B104" s="32"/>
      <c r="C104" s="32" t="s">
        <v>690</v>
      </c>
      <c r="D104" s="672"/>
      <c r="E104" s="672"/>
      <c r="F104" s="13"/>
      <c r="G104" s="672"/>
      <c r="I104" s="672"/>
      <c r="J104" s="672"/>
      <c r="K104" s="13"/>
      <c r="L104" s="672"/>
      <c r="N104" s="672"/>
      <c r="O104" s="672"/>
      <c r="P104" s="13"/>
      <c r="Q104" s="672"/>
      <c r="S104" s="672"/>
      <c r="T104" s="672"/>
      <c r="U104" s="13"/>
      <c r="V104" s="672"/>
      <c r="X104" s="672"/>
      <c r="Y104" s="672"/>
      <c r="Z104" s="13"/>
      <c r="AA104" s="672"/>
    </row>
  </sheetData>
  <mergeCells count="11">
    <mergeCell ref="B7:C7"/>
    <mergeCell ref="A103:C103"/>
    <mergeCell ref="S4:W4"/>
    <mergeCell ref="X4:AB4"/>
    <mergeCell ref="A1:AB1"/>
    <mergeCell ref="A2:AB2"/>
    <mergeCell ref="A3:AB3"/>
    <mergeCell ref="B4:C6"/>
    <mergeCell ref="D4:H4"/>
    <mergeCell ref="I4:M4"/>
    <mergeCell ref="N4:R4"/>
  </mergeCells>
  <pageMargins left="0.27559055118110237" right="0.27559055118110237" top="0.47244094488188981" bottom="0.43307086614173229" header="0.31496062992125984" footer="0.23622047244094491"/>
  <pageSetup paperSize="5" scale="42" orientation="landscape" r:id="rId1"/>
  <headerFooter>
    <oddFooter>&amp;Lกลุ่มงานบัญชีและงบประมาณ&amp;Rหน้าที่ &amp;P จาก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30"/>
  <sheetViews>
    <sheetView zoomScale="110" zoomScaleNormal="110" workbookViewId="0">
      <selection activeCell="F10" sqref="F10"/>
    </sheetView>
  </sheetViews>
  <sheetFormatPr defaultRowHeight="27.75" x14ac:dyDescent="0.65"/>
  <cols>
    <col min="1" max="1" width="6.85546875" style="484" customWidth="1"/>
    <col min="2" max="2" width="4.7109375" style="485" customWidth="1"/>
    <col min="3" max="3" width="12.5703125" style="486" customWidth="1"/>
    <col min="4" max="4" width="19.28515625" style="484" bestFit="1" customWidth="1"/>
    <col min="5" max="5" width="15.28515625" style="484" customWidth="1"/>
    <col min="6" max="6" width="18.7109375" style="484" bestFit="1" customWidth="1"/>
    <col min="7" max="7" width="18.85546875" style="476" bestFit="1" customWidth="1"/>
    <col min="8" max="8" width="15" style="477" customWidth="1"/>
    <col min="9" max="9" width="18.140625" style="483" hidden="1" customWidth="1"/>
    <col min="10" max="11" width="16.42578125" style="483" hidden="1" customWidth="1"/>
    <col min="12" max="12" width="14.7109375" style="483" bestFit="1" customWidth="1"/>
    <col min="13" max="13" width="9.140625" style="483" customWidth="1"/>
    <col min="14" max="34" width="9.140625" style="484" customWidth="1"/>
    <col min="35" max="16384" width="9.140625" style="484"/>
  </cols>
  <sheetData>
    <row r="1" spans="1:13" s="477" customFormat="1" x14ac:dyDescent="0.65">
      <c r="A1" s="1251" t="s">
        <v>57</v>
      </c>
      <c r="B1" s="1251"/>
      <c r="C1" s="1251"/>
      <c r="D1" s="1251"/>
      <c r="E1" s="1251"/>
      <c r="F1" s="1251"/>
      <c r="G1" s="1251"/>
      <c r="H1" s="1251"/>
      <c r="I1" s="476"/>
      <c r="J1" s="476"/>
      <c r="K1" s="476"/>
      <c r="L1" s="476"/>
      <c r="M1" s="476"/>
    </row>
    <row r="2" spans="1:13" s="477" customFormat="1" x14ac:dyDescent="0.65">
      <c r="A2" s="1275" t="s">
        <v>910</v>
      </c>
      <c r="B2" s="1275"/>
      <c r="C2" s="1275"/>
      <c r="D2" s="1275"/>
      <c r="E2" s="1275"/>
      <c r="F2" s="1275"/>
      <c r="G2" s="1275"/>
      <c r="H2" s="1275"/>
      <c r="I2" s="476"/>
      <c r="J2" s="476"/>
      <c r="K2" s="476"/>
      <c r="L2" s="476"/>
      <c r="M2" s="476"/>
    </row>
    <row r="3" spans="1:13" s="477" customFormat="1" hidden="1" x14ac:dyDescent="0.65">
      <c r="A3" s="1252" t="s">
        <v>241</v>
      </c>
      <c r="B3" s="1252"/>
      <c r="C3" s="1252"/>
      <c r="D3" s="1252"/>
      <c r="E3" s="1252"/>
      <c r="F3" s="1252"/>
      <c r="G3" s="1252"/>
      <c r="H3" s="1252"/>
      <c r="I3" s="476"/>
      <c r="J3" s="476"/>
      <c r="K3" s="476"/>
      <c r="L3" s="476"/>
      <c r="M3" s="476"/>
    </row>
    <row r="4" spans="1:13" s="477" customFormat="1" x14ac:dyDescent="0.65">
      <c r="A4" s="1252" t="s">
        <v>264</v>
      </c>
      <c r="B4" s="1252"/>
      <c r="C4" s="1252"/>
      <c r="D4" s="1252"/>
      <c r="E4" s="1252"/>
      <c r="F4" s="1252"/>
      <c r="G4" s="1252"/>
      <c r="H4" s="1252"/>
      <c r="I4" s="476"/>
      <c r="J4" s="476"/>
      <c r="K4" s="476"/>
      <c r="L4" s="476"/>
      <c r="M4" s="476"/>
    </row>
    <row r="5" spans="1:13" s="477" customFormat="1" x14ac:dyDescent="0.65">
      <c r="A5" s="1253" t="str">
        <f>+รายจ่ายจริง!A3:P3</f>
        <v>ตั้งแต่วันที่ 1  ตุลาคม 2564 ถึงวันที่ 31 มกราคม 2565</v>
      </c>
      <c r="B5" s="1252"/>
      <c r="C5" s="1252"/>
      <c r="D5" s="1252"/>
      <c r="E5" s="1252"/>
      <c r="F5" s="1252"/>
      <c r="G5" s="1252"/>
      <c r="H5" s="1252"/>
      <c r="I5" s="476" t="s">
        <v>175</v>
      </c>
      <c r="J5" s="476"/>
      <c r="K5" s="476"/>
      <c r="L5" s="476"/>
      <c r="M5" s="476"/>
    </row>
    <row r="6" spans="1:13" s="477" customFormat="1" x14ac:dyDescent="0.65">
      <c r="A6" s="1276" t="s">
        <v>0</v>
      </c>
      <c r="B6" s="1276" t="s">
        <v>1</v>
      </c>
      <c r="C6" s="1276"/>
      <c r="D6" s="478" t="s">
        <v>66</v>
      </c>
      <c r="E6" s="479" t="s">
        <v>104</v>
      </c>
      <c r="F6" s="478" t="s">
        <v>105</v>
      </c>
      <c r="G6" s="480" t="s">
        <v>60</v>
      </c>
      <c r="H6" s="807" t="s">
        <v>65</v>
      </c>
      <c r="I6" s="476"/>
      <c r="J6" s="476"/>
      <c r="K6" s="476"/>
      <c r="L6" s="476"/>
      <c r="M6" s="476"/>
    </row>
    <row r="7" spans="1:13" s="477" customFormat="1" x14ac:dyDescent="0.65">
      <c r="A7" s="1276"/>
      <c r="B7" s="1276"/>
      <c r="C7" s="1276"/>
      <c r="D7" s="481" t="s">
        <v>2</v>
      </c>
      <c r="E7" s="481" t="s">
        <v>2</v>
      </c>
      <c r="F7" s="481" t="s">
        <v>2</v>
      </c>
      <c r="G7" s="482" t="s">
        <v>2</v>
      </c>
      <c r="H7" s="808" t="s">
        <v>106</v>
      </c>
      <c r="I7" s="476"/>
      <c r="J7" s="476"/>
      <c r="K7" s="476"/>
      <c r="L7" s="476"/>
      <c r="M7" s="476"/>
    </row>
    <row r="8" spans="1:13" s="219" customFormat="1" ht="24" x14ac:dyDescent="0.55000000000000004">
      <c r="A8" s="216">
        <v>1</v>
      </c>
      <c r="B8" s="48" t="s">
        <v>107</v>
      </c>
      <c r="C8" s="217"/>
      <c r="D8" s="305">
        <f>446566804</f>
        <v>446566804</v>
      </c>
      <c r="E8" s="299">
        <v>0</v>
      </c>
      <c r="F8" s="305">
        <v>299082826.26999998</v>
      </c>
      <c r="G8" s="231">
        <f>+D8-E8-F8</f>
        <v>147483977.73000002</v>
      </c>
      <c r="H8" s="230">
        <f>F8*100/D8</f>
        <v>66.973815248031741</v>
      </c>
      <c r="I8" s="224">
        <v>1397262100</v>
      </c>
      <c r="J8" s="224">
        <f>+D104</f>
        <v>695026000</v>
      </c>
      <c r="K8" s="224">
        <f>+I8-J8</f>
        <v>702236100</v>
      </c>
      <c r="L8" s="224"/>
      <c r="M8" s="224"/>
    </row>
    <row r="9" spans="1:13" s="219" customFormat="1" ht="24" x14ac:dyDescent="0.55000000000000004">
      <c r="A9" s="216">
        <v>2</v>
      </c>
      <c r="B9" s="48" t="s">
        <v>108</v>
      </c>
      <c r="C9" s="217" t="s">
        <v>109</v>
      </c>
      <c r="D9" s="305">
        <v>8458319</v>
      </c>
      <c r="E9" s="299">
        <v>0</v>
      </c>
      <c r="F9" s="305">
        <v>5105024.51</v>
      </c>
      <c r="G9" s="231">
        <f t="shared" ref="G9:G72" si="0">+D9-E9-F9</f>
        <v>3353294.49</v>
      </c>
      <c r="H9" s="230">
        <f t="shared" ref="H9:H72" si="1">F9*100/D9</f>
        <v>60.35507185292964</v>
      </c>
      <c r="I9" s="224"/>
      <c r="J9" s="224"/>
      <c r="K9" s="224"/>
      <c r="L9" s="224"/>
      <c r="M9" s="224"/>
    </row>
    <row r="10" spans="1:13" s="219" customFormat="1" ht="24" x14ac:dyDescent="0.55000000000000004">
      <c r="A10" s="216">
        <v>3</v>
      </c>
      <c r="B10" s="48" t="s">
        <v>110</v>
      </c>
      <c r="C10" s="217" t="s">
        <v>18</v>
      </c>
      <c r="D10" s="305">
        <v>6342305</v>
      </c>
      <c r="E10" s="299">
        <v>0</v>
      </c>
      <c r="F10" s="305">
        <v>3896900</v>
      </c>
      <c r="G10" s="231">
        <f t="shared" si="0"/>
        <v>2445405</v>
      </c>
      <c r="H10" s="230">
        <f t="shared" si="1"/>
        <v>61.4429611947076</v>
      </c>
      <c r="I10" s="224"/>
      <c r="J10" s="224"/>
      <c r="K10" s="224"/>
      <c r="L10" s="224"/>
      <c r="M10" s="224"/>
    </row>
    <row r="11" spans="1:13" s="219" customFormat="1" ht="24" x14ac:dyDescent="0.55000000000000004">
      <c r="A11" s="216">
        <v>4</v>
      </c>
      <c r="B11" s="48" t="s">
        <v>110</v>
      </c>
      <c r="C11" s="217" t="s">
        <v>75</v>
      </c>
      <c r="D11" s="305">
        <v>2607638</v>
      </c>
      <c r="E11" s="299">
        <v>0</v>
      </c>
      <c r="F11" s="305">
        <v>1643579.03</v>
      </c>
      <c r="G11" s="231">
        <f t="shared" si="0"/>
        <v>964058.97</v>
      </c>
      <c r="H11" s="230">
        <f t="shared" si="1"/>
        <v>63.029417043316599</v>
      </c>
      <c r="I11" s="224"/>
      <c r="J11" s="224"/>
      <c r="K11" s="224"/>
      <c r="L11" s="224"/>
      <c r="M11" s="224"/>
    </row>
    <row r="12" spans="1:13" s="219" customFormat="1" ht="24" x14ac:dyDescent="0.55000000000000004">
      <c r="A12" s="216">
        <v>5</v>
      </c>
      <c r="B12" s="48" t="s">
        <v>110</v>
      </c>
      <c r="C12" s="217" t="s">
        <v>111</v>
      </c>
      <c r="D12" s="305">
        <v>2808815</v>
      </c>
      <c r="E12" s="299">
        <v>0</v>
      </c>
      <c r="F12" s="305">
        <v>1842203.87</v>
      </c>
      <c r="G12" s="231">
        <f t="shared" si="0"/>
        <v>966611.12999999989</v>
      </c>
      <c r="H12" s="230">
        <f t="shared" si="1"/>
        <v>65.58651495381504</v>
      </c>
      <c r="I12" s="224"/>
      <c r="J12" s="224"/>
      <c r="K12" s="224"/>
      <c r="L12" s="224"/>
      <c r="M12" s="224"/>
    </row>
    <row r="13" spans="1:13" s="219" customFormat="1" ht="24" x14ac:dyDescent="0.55000000000000004">
      <c r="A13" s="216">
        <v>6</v>
      </c>
      <c r="B13" s="48" t="s">
        <v>110</v>
      </c>
      <c r="C13" s="217" t="s">
        <v>72</v>
      </c>
      <c r="D13" s="305">
        <v>2654616</v>
      </c>
      <c r="E13" s="299">
        <v>0</v>
      </c>
      <c r="F13" s="305">
        <v>1649590</v>
      </c>
      <c r="G13" s="231">
        <f t="shared" si="0"/>
        <v>1005026</v>
      </c>
      <c r="H13" s="230">
        <f t="shared" si="1"/>
        <v>62.140437637684698</v>
      </c>
      <c r="I13" s="224"/>
      <c r="J13" s="224"/>
      <c r="K13" s="224"/>
      <c r="L13" s="224"/>
      <c r="M13" s="224"/>
    </row>
    <row r="14" spans="1:13" s="219" customFormat="1" ht="24" x14ac:dyDescent="0.55000000000000004">
      <c r="A14" s="216">
        <v>7</v>
      </c>
      <c r="B14" s="48" t="s">
        <v>110</v>
      </c>
      <c r="C14" s="217" t="s">
        <v>101</v>
      </c>
      <c r="D14" s="305">
        <v>2734176</v>
      </c>
      <c r="E14" s="299">
        <v>0</v>
      </c>
      <c r="F14" s="305">
        <v>1785700</v>
      </c>
      <c r="G14" s="231">
        <f t="shared" si="0"/>
        <v>948476</v>
      </c>
      <c r="H14" s="230">
        <f t="shared" si="1"/>
        <v>65.310353100897672</v>
      </c>
      <c r="I14" s="224">
        <v>1393000</v>
      </c>
      <c r="J14" s="224">
        <v>1393000</v>
      </c>
      <c r="K14" s="224"/>
      <c r="L14" s="224"/>
      <c r="M14" s="224"/>
    </row>
    <row r="15" spans="1:13" s="219" customFormat="1" ht="24" x14ac:dyDescent="0.55000000000000004">
      <c r="A15" s="216">
        <v>8</v>
      </c>
      <c r="B15" s="48" t="s">
        <v>110</v>
      </c>
      <c r="C15" s="217" t="s">
        <v>112</v>
      </c>
      <c r="D15" s="305">
        <v>5427503</v>
      </c>
      <c r="E15" s="299">
        <v>0</v>
      </c>
      <c r="F15" s="305">
        <v>3243591.61</v>
      </c>
      <c r="G15" s="231">
        <f t="shared" si="0"/>
        <v>2183911.39</v>
      </c>
      <c r="H15" s="230">
        <f t="shared" si="1"/>
        <v>59.762133894721018</v>
      </c>
      <c r="I15" s="224"/>
      <c r="J15" s="224"/>
      <c r="K15" s="224"/>
      <c r="L15" s="224"/>
      <c r="M15" s="224"/>
    </row>
    <row r="16" spans="1:13" s="219" customFormat="1" ht="24" x14ac:dyDescent="0.55000000000000004">
      <c r="A16" s="216">
        <v>9</v>
      </c>
      <c r="B16" s="48" t="s">
        <v>110</v>
      </c>
      <c r="C16" s="217" t="s">
        <v>113</v>
      </c>
      <c r="D16" s="305">
        <v>4900402</v>
      </c>
      <c r="E16" s="299">
        <v>0</v>
      </c>
      <c r="F16" s="305">
        <v>3387953.63</v>
      </c>
      <c r="G16" s="231">
        <f t="shared" si="0"/>
        <v>1512448.37</v>
      </c>
      <c r="H16" s="230">
        <f t="shared" si="1"/>
        <v>69.136238822855759</v>
      </c>
      <c r="I16" s="224"/>
      <c r="J16" s="224"/>
      <c r="K16" s="224"/>
      <c r="L16" s="224"/>
      <c r="M16" s="224"/>
    </row>
    <row r="17" spans="1:13" s="219" customFormat="1" ht="24" x14ac:dyDescent="0.55000000000000004">
      <c r="A17" s="216">
        <v>10</v>
      </c>
      <c r="B17" s="48" t="s">
        <v>110</v>
      </c>
      <c r="C17" s="217" t="s">
        <v>114</v>
      </c>
      <c r="D17" s="305">
        <v>6783318</v>
      </c>
      <c r="E17" s="299">
        <v>0</v>
      </c>
      <c r="F17" s="305">
        <v>4374254.82</v>
      </c>
      <c r="G17" s="231">
        <f t="shared" si="0"/>
        <v>2409063.1799999997</v>
      </c>
      <c r="H17" s="230">
        <f t="shared" si="1"/>
        <v>64.485474807461486</v>
      </c>
      <c r="I17" s="224"/>
      <c r="J17" s="224"/>
      <c r="K17" s="224"/>
      <c r="L17" s="224"/>
      <c r="M17" s="224"/>
    </row>
    <row r="18" spans="1:13" s="219" customFormat="1" ht="24" x14ac:dyDescent="0.55000000000000004">
      <c r="A18" s="216">
        <v>11</v>
      </c>
      <c r="B18" s="48" t="s">
        <v>110</v>
      </c>
      <c r="C18" s="217" t="s">
        <v>115</v>
      </c>
      <c r="D18" s="305">
        <v>5557043</v>
      </c>
      <c r="E18" s="299">
        <v>0</v>
      </c>
      <c r="F18" s="305">
        <v>3524002.57</v>
      </c>
      <c r="G18" s="231">
        <f t="shared" si="0"/>
        <v>2033040.4300000002</v>
      </c>
      <c r="H18" s="230">
        <f t="shared" si="1"/>
        <v>63.415067509824922</v>
      </c>
      <c r="I18" s="224"/>
      <c r="J18" s="224"/>
      <c r="K18" s="224"/>
      <c r="L18" s="224"/>
      <c r="M18" s="224"/>
    </row>
    <row r="19" spans="1:13" s="219" customFormat="1" ht="24" x14ac:dyDescent="0.55000000000000004">
      <c r="A19" s="216">
        <v>12</v>
      </c>
      <c r="B19" s="48" t="s">
        <v>110</v>
      </c>
      <c r="C19" s="217" t="s">
        <v>116</v>
      </c>
      <c r="D19" s="305">
        <v>6297260</v>
      </c>
      <c r="E19" s="299">
        <v>0</v>
      </c>
      <c r="F19" s="305">
        <v>4033852.1</v>
      </c>
      <c r="G19" s="231">
        <f t="shared" si="0"/>
        <v>2263407.9</v>
      </c>
      <c r="H19" s="230">
        <f t="shared" si="1"/>
        <v>64.05725823612174</v>
      </c>
      <c r="I19" s="224"/>
      <c r="J19" s="224"/>
      <c r="K19" s="224"/>
      <c r="L19" s="224"/>
      <c r="M19" s="224"/>
    </row>
    <row r="20" spans="1:13" s="219" customFormat="1" ht="24" x14ac:dyDescent="0.55000000000000004">
      <c r="A20" s="216">
        <v>13</v>
      </c>
      <c r="B20" s="48" t="s">
        <v>110</v>
      </c>
      <c r="C20" s="217" t="s">
        <v>117</v>
      </c>
      <c r="D20" s="305">
        <v>5907977</v>
      </c>
      <c r="E20" s="299">
        <v>0</v>
      </c>
      <c r="F20" s="305">
        <v>3522239.99</v>
      </c>
      <c r="G20" s="231">
        <f t="shared" si="0"/>
        <v>2385737.0099999998</v>
      </c>
      <c r="H20" s="230">
        <f t="shared" si="1"/>
        <v>59.618376814940206</v>
      </c>
      <c r="I20" s="224"/>
      <c r="J20" s="224"/>
      <c r="K20" s="224"/>
      <c r="L20" s="224"/>
      <c r="M20" s="224"/>
    </row>
    <row r="21" spans="1:13" s="219" customFormat="1" ht="24" x14ac:dyDescent="0.55000000000000004">
      <c r="A21" s="216">
        <v>14</v>
      </c>
      <c r="B21" s="48" t="s">
        <v>110</v>
      </c>
      <c r="C21" s="217" t="s">
        <v>118</v>
      </c>
      <c r="D21" s="305">
        <v>8959202</v>
      </c>
      <c r="E21" s="299">
        <v>0</v>
      </c>
      <c r="F21" s="305">
        <v>5904350</v>
      </c>
      <c r="G21" s="231">
        <f t="shared" si="0"/>
        <v>3054852</v>
      </c>
      <c r="H21" s="230">
        <f t="shared" si="1"/>
        <v>65.902632846095003</v>
      </c>
      <c r="I21" s="224"/>
      <c r="J21" s="224"/>
      <c r="K21" s="224"/>
      <c r="L21" s="224"/>
      <c r="M21" s="224"/>
    </row>
    <row r="22" spans="1:13" s="219" customFormat="1" ht="24" x14ac:dyDescent="0.55000000000000004">
      <c r="A22" s="216">
        <v>15</v>
      </c>
      <c r="B22" s="48" t="s">
        <v>110</v>
      </c>
      <c r="C22" s="217" t="s">
        <v>119</v>
      </c>
      <c r="D22" s="305">
        <v>6574376</v>
      </c>
      <c r="E22" s="299">
        <v>0</v>
      </c>
      <c r="F22" s="305">
        <v>4258915.49</v>
      </c>
      <c r="G22" s="231">
        <f t="shared" si="0"/>
        <v>2315460.5099999998</v>
      </c>
      <c r="H22" s="230">
        <f t="shared" si="1"/>
        <v>64.780528068367246</v>
      </c>
      <c r="I22" s="224"/>
      <c r="J22" s="224"/>
      <c r="K22" s="224"/>
      <c r="L22" s="224"/>
      <c r="M22" s="224"/>
    </row>
    <row r="23" spans="1:13" s="219" customFormat="1" ht="24" x14ac:dyDescent="0.55000000000000004">
      <c r="A23" s="216">
        <v>16</v>
      </c>
      <c r="B23" s="48" t="s">
        <v>110</v>
      </c>
      <c r="C23" s="217" t="s">
        <v>120</v>
      </c>
      <c r="D23" s="305">
        <v>5130925</v>
      </c>
      <c r="E23" s="299">
        <v>0</v>
      </c>
      <c r="F23" s="305">
        <v>3396386.67</v>
      </c>
      <c r="G23" s="231">
        <f t="shared" si="0"/>
        <v>1734538.33</v>
      </c>
      <c r="H23" s="230">
        <f t="shared" si="1"/>
        <v>66.194432193025619</v>
      </c>
      <c r="I23" s="224"/>
      <c r="J23" s="224"/>
      <c r="K23" s="224"/>
      <c r="L23" s="224"/>
      <c r="M23" s="224"/>
    </row>
    <row r="24" spans="1:13" s="219" customFormat="1" ht="24" x14ac:dyDescent="0.55000000000000004">
      <c r="A24" s="216">
        <v>17</v>
      </c>
      <c r="B24" s="48" t="s">
        <v>108</v>
      </c>
      <c r="C24" s="217" t="s">
        <v>121</v>
      </c>
      <c r="D24" s="305">
        <v>2713295</v>
      </c>
      <c r="E24" s="299">
        <v>0</v>
      </c>
      <c r="F24" s="305">
        <v>1758675.46</v>
      </c>
      <c r="G24" s="231">
        <f t="shared" si="0"/>
        <v>954619.54</v>
      </c>
      <c r="H24" s="230">
        <f t="shared" si="1"/>
        <v>64.81696461313642</v>
      </c>
      <c r="I24" s="224"/>
      <c r="J24" s="224"/>
      <c r="K24" s="224"/>
      <c r="L24" s="224"/>
      <c r="M24" s="224"/>
    </row>
    <row r="25" spans="1:13" s="219" customFormat="1" ht="24" x14ac:dyDescent="0.55000000000000004">
      <c r="A25" s="216">
        <v>18</v>
      </c>
      <c r="B25" s="48" t="s">
        <v>108</v>
      </c>
      <c r="C25" s="217" t="s">
        <v>122</v>
      </c>
      <c r="D25" s="305">
        <v>2017610</v>
      </c>
      <c r="E25" s="299">
        <v>0</v>
      </c>
      <c r="F25" s="305">
        <v>1329600</v>
      </c>
      <c r="G25" s="231">
        <f t="shared" si="0"/>
        <v>688010</v>
      </c>
      <c r="H25" s="230">
        <f t="shared" si="1"/>
        <v>65.899752677673092</v>
      </c>
      <c r="I25" s="224"/>
      <c r="J25" s="224"/>
      <c r="K25" s="224"/>
      <c r="L25" s="224"/>
      <c r="M25" s="224"/>
    </row>
    <row r="26" spans="1:13" s="219" customFormat="1" ht="24" x14ac:dyDescent="0.55000000000000004">
      <c r="A26" s="216">
        <v>19</v>
      </c>
      <c r="B26" s="48" t="s">
        <v>108</v>
      </c>
      <c r="C26" s="217" t="s">
        <v>19</v>
      </c>
      <c r="D26" s="305">
        <v>1515653</v>
      </c>
      <c r="E26" s="299">
        <v>0</v>
      </c>
      <c r="F26" s="305">
        <v>1055740</v>
      </c>
      <c r="G26" s="231">
        <f t="shared" si="0"/>
        <v>459913</v>
      </c>
      <c r="H26" s="230">
        <f t="shared" si="1"/>
        <v>69.655785328172087</v>
      </c>
      <c r="I26" s="224"/>
      <c r="J26" s="224"/>
      <c r="K26" s="224"/>
      <c r="L26" s="224"/>
      <c r="M26" s="224"/>
    </row>
    <row r="27" spans="1:13" s="219" customFormat="1" ht="24" x14ac:dyDescent="0.55000000000000004">
      <c r="A27" s="216">
        <v>20</v>
      </c>
      <c r="B27" s="48" t="s">
        <v>108</v>
      </c>
      <c r="C27" s="217" t="s">
        <v>20</v>
      </c>
      <c r="D27" s="305">
        <v>1829860</v>
      </c>
      <c r="E27" s="299">
        <v>0</v>
      </c>
      <c r="F27" s="305">
        <v>1135794.6100000001</v>
      </c>
      <c r="G27" s="231">
        <f t="shared" si="0"/>
        <v>694065.3899999999</v>
      </c>
      <c r="H27" s="230">
        <f t="shared" si="1"/>
        <v>62.070027761686696</v>
      </c>
      <c r="I27" s="224"/>
      <c r="J27" s="224"/>
      <c r="K27" s="224"/>
      <c r="L27" s="224"/>
      <c r="M27" s="224"/>
    </row>
    <row r="28" spans="1:13" s="219" customFormat="1" ht="24" x14ac:dyDescent="0.55000000000000004">
      <c r="A28" s="216">
        <v>21</v>
      </c>
      <c r="B28" s="48" t="s">
        <v>108</v>
      </c>
      <c r="C28" s="217" t="s">
        <v>123</v>
      </c>
      <c r="D28" s="305">
        <v>1082515</v>
      </c>
      <c r="E28" s="299">
        <v>0</v>
      </c>
      <c r="F28" s="305">
        <v>671220</v>
      </c>
      <c r="G28" s="231">
        <f t="shared" si="0"/>
        <v>411295</v>
      </c>
      <c r="H28" s="230">
        <f t="shared" si="1"/>
        <v>62.005607312600752</v>
      </c>
      <c r="I28" s="224"/>
      <c r="J28" s="224"/>
      <c r="K28" s="224"/>
      <c r="L28" s="224"/>
      <c r="M28" s="224"/>
    </row>
    <row r="29" spans="1:13" s="219" customFormat="1" ht="24" x14ac:dyDescent="0.55000000000000004">
      <c r="A29" s="216">
        <v>22</v>
      </c>
      <c r="B29" s="48" t="s">
        <v>108</v>
      </c>
      <c r="C29" s="217" t="s">
        <v>124</v>
      </c>
      <c r="D29" s="305">
        <v>1086289</v>
      </c>
      <c r="E29" s="299">
        <v>0</v>
      </c>
      <c r="F29" s="305">
        <v>664880</v>
      </c>
      <c r="G29" s="231">
        <f t="shared" si="0"/>
        <v>421409</v>
      </c>
      <c r="H29" s="230">
        <f t="shared" si="1"/>
        <v>61.206548165359308</v>
      </c>
      <c r="I29" s="224"/>
      <c r="J29" s="224"/>
      <c r="K29" s="224"/>
      <c r="L29" s="224"/>
      <c r="M29" s="224"/>
    </row>
    <row r="30" spans="1:13" s="219" customFormat="1" ht="24" x14ac:dyDescent="0.55000000000000004">
      <c r="A30" s="216">
        <v>23</v>
      </c>
      <c r="B30" s="48" t="s">
        <v>108</v>
      </c>
      <c r="C30" s="217" t="s">
        <v>125</v>
      </c>
      <c r="D30" s="305">
        <v>1828125</v>
      </c>
      <c r="E30" s="299">
        <v>0</v>
      </c>
      <c r="F30" s="305">
        <v>1120923.55</v>
      </c>
      <c r="G30" s="231">
        <f t="shared" si="0"/>
        <v>707201.45</v>
      </c>
      <c r="H30" s="230">
        <f t="shared" si="1"/>
        <v>61.31547623931624</v>
      </c>
      <c r="I30" s="224"/>
      <c r="J30" s="224"/>
      <c r="K30" s="224"/>
      <c r="L30" s="224"/>
      <c r="M30" s="224"/>
    </row>
    <row r="31" spans="1:13" s="219" customFormat="1" ht="24" x14ac:dyDescent="0.55000000000000004">
      <c r="A31" s="216">
        <v>24</v>
      </c>
      <c r="B31" s="48" t="s">
        <v>108</v>
      </c>
      <c r="C31" s="217" t="s">
        <v>21</v>
      </c>
      <c r="D31" s="305">
        <v>3637338</v>
      </c>
      <c r="E31" s="299">
        <v>0</v>
      </c>
      <c r="F31" s="305">
        <v>2197050</v>
      </c>
      <c r="G31" s="231">
        <f t="shared" si="0"/>
        <v>1440288</v>
      </c>
      <c r="H31" s="230">
        <f t="shared" si="1"/>
        <v>60.402690099187922</v>
      </c>
      <c r="I31" s="224"/>
      <c r="J31" s="224"/>
      <c r="K31" s="224"/>
      <c r="L31" s="224"/>
      <c r="M31" s="224"/>
    </row>
    <row r="32" spans="1:13" s="219" customFormat="1" ht="24" x14ac:dyDescent="0.55000000000000004">
      <c r="A32" s="216">
        <v>25</v>
      </c>
      <c r="B32" s="48" t="s">
        <v>108</v>
      </c>
      <c r="C32" s="217" t="s">
        <v>22</v>
      </c>
      <c r="D32" s="305">
        <v>1489176</v>
      </c>
      <c r="E32" s="299">
        <v>0</v>
      </c>
      <c r="F32" s="305">
        <v>1012561.94</v>
      </c>
      <c r="G32" s="231">
        <f t="shared" si="0"/>
        <v>476614.06000000006</v>
      </c>
      <c r="H32" s="230">
        <f t="shared" si="1"/>
        <v>67.994779663384321</v>
      </c>
      <c r="I32" s="224"/>
      <c r="J32" s="224"/>
      <c r="K32" s="224"/>
      <c r="L32" s="224"/>
      <c r="M32" s="224"/>
    </row>
    <row r="33" spans="1:13" s="219" customFormat="1" ht="24" x14ac:dyDescent="0.55000000000000004">
      <c r="A33" s="216">
        <v>26</v>
      </c>
      <c r="B33" s="48" t="s">
        <v>108</v>
      </c>
      <c r="C33" s="217" t="s">
        <v>126</v>
      </c>
      <c r="D33" s="305">
        <v>954170</v>
      </c>
      <c r="E33" s="299">
        <v>0</v>
      </c>
      <c r="F33" s="305">
        <v>533225.16</v>
      </c>
      <c r="G33" s="231">
        <f t="shared" si="0"/>
        <v>420944.83999999997</v>
      </c>
      <c r="H33" s="230">
        <f t="shared" si="1"/>
        <v>55.883664336543802</v>
      </c>
      <c r="I33" s="224"/>
      <c r="J33" s="224"/>
      <c r="K33" s="224"/>
      <c r="L33" s="224"/>
      <c r="M33" s="224"/>
    </row>
    <row r="34" spans="1:13" s="219" customFormat="1" ht="24" x14ac:dyDescent="0.55000000000000004">
      <c r="A34" s="216">
        <v>27</v>
      </c>
      <c r="B34" s="48" t="s">
        <v>108</v>
      </c>
      <c r="C34" s="217" t="s">
        <v>127</v>
      </c>
      <c r="D34" s="305">
        <v>974029</v>
      </c>
      <c r="E34" s="299">
        <v>0</v>
      </c>
      <c r="F34" s="305">
        <v>600320</v>
      </c>
      <c r="G34" s="231">
        <f t="shared" si="0"/>
        <v>373709</v>
      </c>
      <c r="H34" s="230">
        <f t="shared" si="1"/>
        <v>61.63266186119715</v>
      </c>
      <c r="I34" s="224"/>
      <c r="J34" s="224"/>
      <c r="K34" s="224"/>
      <c r="L34" s="224"/>
      <c r="M34" s="224"/>
    </row>
    <row r="35" spans="1:13" s="219" customFormat="1" ht="24" x14ac:dyDescent="0.55000000000000004">
      <c r="A35" s="216">
        <v>28</v>
      </c>
      <c r="B35" s="48" t="s">
        <v>108</v>
      </c>
      <c r="C35" s="217" t="s">
        <v>23</v>
      </c>
      <c r="D35" s="305">
        <v>3027160</v>
      </c>
      <c r="E35" s="299">
        <v>0</v>
      </c>
      <c r="F35" s="305">
        <v>2015630</v>
      </c>
      <c r="G35" s="231">
        <f t="shared" si="0"/>
        <v>1011530</v>
      </c>
      <c r="H35" s="230">
        <f t="shared" si="1"/>
        <v>66.584851808295568</v>
      </c>
      <c r="I35" s="224"/>
      <c r="J35" s="224"/>
      <c r="K35" s="224"/>
      <c r="L35" s="224"/>
      <c r="M35" s="224"/>
    </row>
    <row r="36" spans="1:13" s="219" customFormat="1" ht="24" x14ac:dyDescent="0.55000000000000004">
      <c r="A36" s="216">
        <v>29</v>
      </c>
      <c r="B36" s="48" t="s">
        <v>108</v>
      </c>
      <c r="C36" s="217" t="s">
        <v>24</v>
      </c>
      <c r="D36" s="305">
        <v>2270199</v>
      </c>
      <c r="E36" s="299">
        <v>0</v>
      </c>
      <c r="F36" s="305">
        <v>1577116.13</v>
      </c>
      <c r="G36" s="231">
        <f t="shared" si="0"/>
        <v>693082.87000000011</v>
      </c>
      <c r="H36" s="230">
        <f t="shared" si="1"/>
        <v>69.470391362166936</v>
      </c>
      <c r="I36" s="224"/>
      <c r="J36" s="224"/>
      <c r="K36" s="224"/>
      <c r="L36" s="224"/>
      <c r="M36" s="224"/>
    </row>
    <row r="37" spans="1:13" s="219" customFormat="1" ht="24" x14ac:dyDescent="0.55000000000000004">
      <c r="A37" s="216">
        <v>30</v>
      </c>
      <c r="B37" s="48" t="s">
        <v>108</v>
      </c>
      <c r="C37" s="217" t="s">
        <v>25</v>
      </c>
      <c r="D37" s="305">
        <v>1533276</v>
      </c>
      <c r="E37" s="299">
        <v>0</v>
      </c>
      <c r="F37" s="305">
        <v>949980</v>
      </c>
      <c r="G37" s="231">
        <f t="shared" si="0"/>
        <v>583296</v>
      </c>
      <c r="H37" s="230">
        <f t="shared" si="1"/>
        <v>61.957534064317187</v>
      </c>
      <c r="I37" s="224"/>
      <c r="J37" s="224"/>
      <c r="K37" s="224"/>
      <c r="L37" s="224"/>
      <c r="M37" s="224"/>
    </row>
    <row r="38" spans="1:13" s="219" customFormat="1" ht="24" x14ac:dyDescent="0.55000000000000004">
      <c r="A38" s="216">
        <v>31</v>
      </c>
      <c r="B38" s="48" t="s">
        <v>108</v>
      </c>
      <c r="C38" s="217" t="s">
        <v>173</v>
      </c>
      <c r="D38" s="305">
        <v>1142029</v>
      </c>
      <c r="E38" s="299">
        <v>0</v>
      </c>
      <c r="F38" s="305">
        <v>709490.55</v>
      </c>
      <c r="G38" s="231">
        <f t="shared" si="0"/>
        <v>432538.44999999995</v>
      </c>
      <c r="H38" s="230">
        <f t="shared" si="1"/>
        <v>62.125440772519788</v>
      </c>
      <c r="I38" s="224"/>
      <c r="J38" s="224"/>
      <c r="K38" s="224"/>
      <c r="L38" s="224"/>
      <c r="M38" s="224"/>
    </row>
    <row r="39" spans="1:13" s="219" customFormat="1" ht="24" x14ac:dyDescent="0.55000000000000004">
      <c r="A39" s="216">
        <v>32</v>
      </c>
      <c r="B39" s="48" t="s">
        <v>108</v>
      </c>
      <c r="C39" s="217" t="s">
        <v>26</v>
      </c>
      <c r="D39" s="305">
        <v>3419186</v>
      </c>
      <c r="E39" s="299">
        <v>0</v>
      </c>
      <c r="F39" s="305">
        <v>2134000</v>
      </c>
      <c r="G39" s="231">
        <f t="shared" si="0"/>
        <v>1285186</v>
      </c>
      <c r="H39" s="230">
        <f t="shared" si="1"/>
        <v>62.412515727427525</v>
      </c>
      <c r="I39" s="224"/>
      <c r="J39" s="224"/>
      <c r="K39" s="224"/>
      <c r="L39" s="224"/>
      <c r="M39" s="224"/>
    </row>
    <row r="40" spans="1:13" s="219" customFormat="1" ht="24" x14ac:dyDescent="0.55000000000000004">
      <c r="A40" s="216">
        <v>33</v>
      </c>
      <c r="B40" s="48" t="s">
        <v>108</v>
      </c>
      <c r="C40" s="217" t="s">
        <v>27</v>
      </c>
      <c r="D40" s="305">
        <v>660412</v>
      </c>
      <c r="E40" s="299">
        <v>0</v>
      </c>
      <c r="F40" s="305">
        <v>433280</v>
      </c>
      <c r="G40" s="231">
        <f t="shared" si="0"/>
        <v>227132</v>
      </c>
      <c r="H40" s="230">
        <f t="shared" si="1"/>
        <v>65.607529845005843</v>
      </c>
      <c r="I40" s="224"/>
      <c r="J40" s="224"/>
      <c r="K40" s="224"/>
      <c r="L40" s="224"/>
      <c r="M40" s="224"/>
    </row>
    <row r="41" spans="1:13" s="219" customFormat="1" ht="24" x14ac:dyDescent="0.55000000000000004">
      <c r="A41" s="216">
        <v>34</v>
      </c>
      <c r="B41" s="48" t="s">
        <v>108</v>
      </c>
      <c r="C41" s="217" t="s">
        <v>28</v>
      </c>
      <c r="D41" s="305">
        <v>2063979</v>
      </c>
      <c r="E41" s="299">
        <v>0</v>
      </c>
      <c r="F41" s="305">
        <v>1286960</v>
      </c>
      <c r="G41" s="231">
        <f t="shared" si="0"/>
        <v>777019</v>
      </c>
      <c r="H41" s="230">
        <f t="shared" si="1"/>
        <v>62.353347587354328</v>
      </c>
      <c r="I41" s="224"/>
      <c r="J41" s="224"/>
      <c r="K41" s="224"/>
      <c r="L41" s="224"/>
      <c r="M41" s="224"/>
    </row>
    <row r="42" spans="1:13" s="219" customFormat="1" ht="24" x14ac:dyDescent="0.55000000000000004">
      <c r="A42" s="216">
        <v>35</v>
      </c>
      <c r="B42" s="48" t="s">
        <v>108</v>
      </c>
      <c r="C42" s="217" t="s">
        <v>128</v>
      </c>
      <c r="D42" s="305">
        <v>2242844</v>
      </c>
      <c r="E42" s="299">
        <v>0</v>
      </c>
      <c r="F42" s="305">
        <v>1388580</v>
      </c>
      <c r="G42" s="231">
        <f t="shared" si="0"/>
        <v>854264</v>
      </c>
      <c r="H42" s="230">
        <f t="shared" si="1"/>
        <v>61.91157298501367</v>
      </c>
      <c r="I42" s="224"/>
      <c r="J42" s="224"/>
      <c r="K42" s="224"/>
      <c r="L42" s="224"/>
      <c r="M42" s="224"/>
    </row>
    <row r="43" spans="1:13" s="219" customFormat="1" ht="24" x14ac:dyDescent="0.55000000000000004">
      <c r="A43" s="216">
        <v>36</v>
      </c>
      <c r="B43" s="48" t="s">
        <v>108</v>
      </c>
      <c r="C43" s="217" t="s">
        <v>29</v>
      </c>
      <c r="D43" s="305">
        <v>1320409</v>
      </c>
      <c r="E43" s="299">
        <v>0</v>
      </c>
      <c r="F43" s="305">
        <v>856723.2</v>
      </c>
      <c r="G43" s="231">
        <f t="shared" si="0"/>
        <v>463685.80000000005</v>
      </c>
      <c r="H43" s="230">
        <f t="shared" si="1"/>
        <v>64.883168775735399</v>
      </c>
      <c r="I43" s="224"/>
      <c r="J43" s="224"/>
      <c r="K43" s="224"/>
      <c r="L43" s="224"/>
      <c r="M43" s="224"/>
    </row>
    <row r="44" spans="1:13" s="219" customFormat="1" ht="24" x14ac:dyDescent="0.55000000000000004">
      <c r="A44" s="216">
        <v>37</v>
      </c>
      <c r="B44" s="48" t="s">
        <v>108</v>
      </c>
      <c r="C44" s="217" t="s">
        <v>30</v>
      </c>
      <c r="D44" s="305">
        <v>3194177</v>
      </c>
      <c r="E44" s="299">
        <v>0</v>
      </c>
      <c r="F44" s="305">
        <v>2066943.87</v>
      </c>
      <c r="G44" s="231">
        <f t="shared" si="0"/>
        <v>1127233.1299999999</v>
      </c>
      <c r="H44" s="230">
        <f t="shared" si="1"/>
        <v>64.70974745607397</v>
      </c>
      <c r="I44" s="224"/>
      <c r="J44" s="224"/>
      <c r="K44" s="224"/>
      <c r="L44" s="224"/>
      <c r="M44" s="224"/>
    </row>
    <row r="45" spans="1:13" s="219" customFormat="1" ht="24" x14ac:dyDescent="0.55000000000000004">
      <c r="A45" s="216">
        <v>38</v>
      </c>
      <c r="B45" s="48" t="s">
        <v>108</v>
      </c>
      <c r="C45" s="217" t="s">
        <v>31</v>
      </c>
      <c r="D45" s="305">
        <v>4008811</v>
      </c>
      <c r="E45" s="299">
        <v>0</v>
      </c>
      <c r="F45" s="305">
        <v>2693109.03</v>
      </c>
      <c r="G45" s="231">
        <f t="shared" si="0"/>
        <v>1315701.9700000002</v>
      </c>
      <c r="H45" s="230">
        <f t="shared" si="1"/>
        <v>67.17974556545569</v>
      </c>
      <c r="I45" s="224"/>
      <c r="J45" s="224"/>
      <c r="K45" s="224"/>
      <c r="L45" s="224"/>
      <c r="M45" s="224"/>
    </row>
    <row r="46" spans="1:13" s="219" customFormat="1" ht="24" x14ac:dyDescent="0.55000000000000004">
      <c r="A46" s="216">
        <v>39</v>
      </c>
      <c r="B46" s="48" t="s">
        <v>108</v>
      </c>
      <c r="C46" s="217" t="s">
        <v>129</v>
      </c>
      <c r="D46" s="305">
        <v>1253098</v>
      </c>
      <c r="E46" s="299">
        <v>0</v>
      </c>
      <c r="F46" s="305">
        <v>775714</v>
      </c>
      <c r="G46" s="231">
        <f t="shared" si="0"/>
        <v>477384</v>
      </c>
      <c r="H46" s="230">
        <f t="shared" si="1"/>
        <v>61.90369787518614</v>
      </c>
      <c r="I46" s="224"/>
      <c r="J46" s="224"/>
      <c r="K46" s="224"/>
      <c r="L46" s="224"/>
      <c r="M46" s="224"/>
    </row>
    <row r="47" spans="1:13" s="219" customFormat="1" ht="24" x14ac:dyDescent="0.55000000000000004">
      <c r="A47" s="216">
        <v>40</v>
      </c>
      <c r="B47" s="48" t="s">
        <v>108</v>
      </c>
      <c r="C47" s="217" t="s">
        <v>32</v>
      </c>
      <c r="D47" s="305">
        <v>2053610</v>
      </c>
      <c r="E47" s="299">
        <v>0</v>
      </c>
      <c r="F47" s="305">
        <v>1258180</v>
      </c>
      <c r="G47" s="231">
        <f t="shared" si="0"/>
        <v>795430</v>
      </c>
      <c r="H47" s="230">
        <f t="shared" si="1"/>
        <v>61.266744902878344</v>
      </c>
      <c r="I47" s="224"/>
      <c r="J47" s="224"/>
      <c r="K47" s="224"/>
      <c r="L47" s="224"/>
      <c r="M47" s="224"/>
    </row>
    <row r="48" spans="1:13" s="219" customFormat="1" ht="24" x14ac:dyDescent="0.55000000000000004">
      <c r="A48" s="216">
        <v>41</v>
      </c>
      <c r="B48" s="48" t="s">
        <v>108</v>
      </c>
      <c r="C48" s="217" t="s">
        <v>33</v>
      </c>
      <c r="D48" s="305">
        <v>2881361</v>
      </c>
      <c r="E48" s="299">
        <v>0</v>
      </c>
      <c r="F48" s="305">
        <v>1786980</v>
      </c>
      <c r="G48" s="231">
        <f t="shared" si="0"/>
        <v>1094381</v>
      </c>
      <c r="H48" s="230">
        <f t="shared" si="1"/>
        <v>62.018608567270817</v>
      </c>
      <c r="I48" s="224"/>
      <c r="J48" s="224"/>
      <c r="K48" s="224"/>
      <c r="L48" s="224"/>
      <c r="M48" s="224"/>
    </row>
    <row r="49" spans="1:13" s="219" customFormat="1" ht="24" x14ac:dyDescent="0.55000000000000004">
      <c r="A49" s="216">
        <v>42</v>
      </c>
      <c r="B49" s="48" t="s">
        <v>108</v>
      </c>
      <c r="C49" s="217" t="s">
        <v>34</v>
      </c>
      <c r="D49" s="305">
        <v>1389042</v>
      </c>
      <c r="E49" s="299">
        <v>0</v>
      </c>
      <c r="F49" s="305">
        <v>844876.13</v>
      </c>
      <c r="G49" s="231">
        <f t="shared" si="0"/>
        <v>544165.87</v>
      </c>
      <c r="H49" s="230">
        <f t="shared" si="1"/>
        <v>60.824376080780851</v>
      </c>
      <c r="I49" s="224"/>
      <c r="J49" s="224"/>
      <c r="K49" s="224"/>
      <c r="L49" s="224"/>
      <c r="M49" s="224"/>
    </row>
    <row r="50" spans="1:13" s="219" customFormat="1" ht="24" x14ac:dyDescent="0.55000000000000004">
      <c r="A50" s="216">
        <v>43</v>
      </c>
      <c r="B50" s="48" t="s">
        <v>108</v>
      </c>
      <c r="C50" s="217" t="s">
        <v>35</v>
      </c>
      <c r="D50" s="305">
        <v>2539363</v>
      </c>
      <c r="E50" s="299">
        <v>0</v>
      </c>
      <c r="F50" s="305">
        <v>1666520</v>
      </c>
      <c r="G50" s="231">
        <f t="shared" si="0"/>
        <v>872843</v>
      </c>
      <c r="H50" s="230">
        <f t="shared" si="1"/>
        <v>65.627482167772001</v>
      </c>
      <c r="I50" s="224"/>
      <c r="J50" s="224"/>
      <c r="K50" s="224"/>
      <c r="L50" s="224"/>
      <c r="M50" s="224"/>
    </row>
    <row r="51" spans="1:13" s="219" customFormat="1" ht="24" x14ac:dyDescent="0.55000000000000004">
      <c r="A51" s="216">
        <v>44</v>
      </c>
      <c r="B51" s="48" t="s">
        <v>108</v>
      </c>
      <c r="C51" s="217" t="s">
        <v>130</v>
      </c>
      <c r="D51" s="305">
        <v>1636673</v>
      </c>
      <c r="E51" s="299">
        <v>0</v>
      </c>
      <c r="F51" s="305">
        <v>1057920</v>
      </c>
      <c r="G51" s="231">
        <f t="shared" si="0"/>
        <v>578753</v>
      </c>
      <c r="H51" s="230">
        <f t="shared" si="1"/>
        <v>64.638446409270514</v>
      </c>
      <c r="I51" s="224"/>
      <c r="J51" s="224"/>
      <c r="K51" s="224"/>
      <c r="L51" s="224"/>
      <c r="M51" s="224"/>
    </row>
    <row r="52" spans="1:13" s="219" customFormat="1" ht="24" x14ac:dyDescent="0.55000000000000004">
      <c r="A52" s="216">
        <v>45</v>
      </c>
      <c r="B52" s="48" t="s">
        <v>108</v>
      </c>
      <c r="C52" s="217" t="s">
        <v>36</v>
      </c>
      <c r="D52" s="305">
        <v>1926400</v>
      </c>
      <c r="E52" s="299">
        <v>0</v>
      </c>
      <c r="F52" s="305">
        <v>1187541.29</v>
      </c>
      <c r="G52" s="231">
        <f t="shared" si="0"/>
        <v>738858.71</v>
      </c>
      <c r="H52" s="230">
        <f t="shared" si="1"/>
        <v>61.645623442691033</v>
      </c>
      <c r="I52" s="224"/>
      <c r="J52" s="224"/>
      <c r="K52" s="224"/>
      <c r="L52" s="224"/>
      <c r="M52" s="224"/>
    </row>
    <row r="53" spans="1:13" s="219" customFormat="1" ht="24" x14ac:dyDescent="0.55000000000000004">
      <c r="A53" s="216">
        <v>46</v>
      </c>
      <c r="B53" s="48" t="s">
        <v>108</v>
      </c>
      <c r="C53" s="217" t="s">
        <v>37</v>
      </c>
      <c r="D53" s="305">
        <v>3701197</v>
      </c>
      <c r="E53" s="299">
        <v>0</v>
      </c>
      <c r="F53" s="305">
        <v>2263084.83</v>
      </c>
      <c r="G53" s="231">
        <f t="shared" si="0"/>
        <v>1438112.17</v>
      </c>
      <c r="H53" s="230">
        <f t="shared" si="1"/>
        <v>61.144673736631688</v>
      </c>
      <c r="I53" s="224"/>
      <c r="J53" s="224"/>
      <c r="K53" s="224"/>
      <c r="L53" s="224"/>
      <c r="M53" s="224"/>
    </row>
    <row r="54" spans="1:13" s="219" customFormat="1" ht="24" x14ac:dyDescent="0.55000000000000004">
      <c r="A54" s="216">
        <v>47</v>
      </c>
      <c r="B54" s="48" t="s">
        <v>108</v>
      </c>
      <c r="C54" s="217" t="s">
        <v>38</v>
      </c>
      <c r="D54" s="305">
        <v>845936</v>
      </c>
      <c r="E54" s="299">
        <v>0</v>
      </c>
      <c r="F54" s="305">
        <v>551240</v>
      </c>
      <c r="G54" s="231">
        <f t="shared" si="0"/>
        <v>294696</v>
      </c>
      <c r="H54" s="230">
        <f t="shared" si="1"/>
        <v>65.163322048003636</v>
      </c>
      <c r="I54" s="224"/>
      <c r="J54" s="224"/>
      <c r="K54" s="224"/>
      <c r="L54" s="224"/>
      <c r="M54" s="224"/>
    </row>
    <row r="55" spans="1:13" s="219" customFormat="1" ht="24" x14ac:dyDescent="0.55000000000000004">
      <c r="A55" s="216">
        <v>48</v>
      </c>
      <c r="B55" s="48" t="s">
        <v>108</v>
      </c>
      <c r="C55" s="217" t="s">
        <v>131</v>
      </c>
      <c r="D55" s="305">
        <v>2629597</v>
      </c>
      <c r="E55" s="299">
        <v>0</v>
      </c>
      <c r="F55" s="305">
        <v>1725330</v>
      </c>
      <c r="G55" s="231">
        <f t="shared" si="0"/>
        <v>904267</v>
      </c>
      <c r="H55" s="230">
        <f t="shared" si="1"/>
        <v>65.611954987779498</v>
      </c>
      <c r="I55" s="224"/>
      <c r="J55" s="224"/>
      <c r="K55" s="224"/>
      <c r="L55" s="224"/>
      <c r="M55" s="224"/>
    </row>
    <row r="56" spans="1:13" s="219" customFormat="1" ht="24" x14ac:dyDescent="0.55000000000000004">
      <c r="A56" s="216">
        <v>49</v>
      </c>
      <c r="B56" s="48" t="s">
        <v>108</v>
      </c>
      <c r="C56" s="217" t="s">
        <v>132</v>
      </c>
      <c r="D56" s="305">
        <v>1172437</v>
      </c>
      <c r="E56" s="299">
        <v>0</v>
      </c>
      <c r="F56" s="305">
        <v>698596.13</v>
      </c>
      <c r="G56" s="231">
        <f t="shared" si="0"/>
        <v>473840.87</v>
      </c>
      <c r="H56" s="230">
        <f t="shared" si="1"/>
        <v>59.584961068270623</v>
      </c>
      <c r="I56" s="224"/>
      <c r="J56" s="224"/>
      <c r="K56" s="224"/>
      <c r="L56" s="224"/>
      <c r="M56" s="224"/>
    </row>
    <row r="57" spans="1:13" s="219" customFormat="1" ht="24" x14ac:dyDescent="0.55000000000000004">
      <c r="A57" s="216">
        <v>50</v>
      </c>
      <c r="B57" s="48" t="s">
        <v>108</v>
      </c>
      <c r="C57" s="217" t="s">
        <v>133</v>
      </c>
      <c r="D57" s="305">
        <v>1078135</v>
      </c>
      <c r="E57" s="299">
        <v>0</v>
      </c>
      <c r="F57" s="305">
        <v>764550</v>
      </c>
      <c r="G57" s="231">
        <f t="shared" si="0"/>
        <v>313585</v>
      </c>
      <c r="H57" s="230">
        <f t="shared" si="1"/>
        <v>70.914124854494105</v>
      </c>
      <c r="I57" s="224"/>
      <c r="J57" s="224"/>
      <c r="K57" s="224"/>
      <c r="L57" s="224"/>
      <c r="M57" s="224"/>
    </row>
    <row r="58" spans="1:13" s="219" customFormat="1" ht="24" x14ac:dyDescent="0.55000000000000004">
      <c r="A58" s="216">
        <v>51</v>
      </c>
      <c r="B58" s="48" t="s">
        <v>108</v>
      </c>
      <c r="C58" s="217" t="s">
        <v>134</v>
      </c>
      <c r="D58" s="305">
        <v>2838462</v>
      </c>
      <c r="E58" s="299">
        <v>0</v>
      </c>
      <c r="F58" s="305">
        <v>1914650</v>
      </c>
      <c r="G58" s="231">
        <f t="shared" si="0"/>
        <v>923812</v>
      </c>
      <c r="H58" s="230">
        <f t="shared" si="1"/>
        <v>67.453783069845571</v>
      </c>
      <c r="I58" s="224"/>
      <c r="J58" s="224"/>
      <c r="K58" s="224"/>
      <c r="L58" s="224"/>
      <c r="M58" s="224"/>
    </row>
    <row r="59" spans="1:13" s="219" customFormat="1" ht="24" x14ac:dyDescent="0.55000000000000004">
      <c r="A59" s="216">
        <v>52</v>
      </c>
      <c r="B59" s="48" t="s">
        <v>108</v>
      </c>
      <c r="C59" s="217" t="s">
        <v>135</v>
      </c>
      <c r="D59" s="305">
        <v>1771240</v>
      </c>
      <c r="E59" s="299">
        <v>0</v>
      </c>
      <c r="F59" s="305">
        <v>1098889.3500000001</v>
      </c>
      <c r="G59" s="231">
        <f t="shared" si="0"/>
        <v>672350.64999999991</v>
      </c>
      <c r="H59" s="230">
        <f t="shared" si="1"/>
        <v>62.040680540186543</v>
      </c>
      <c r="I59" s="224"/>
      <c r="J59" s="224"/>
      <c r="K59" s="224"/>
      <c r="L59" s="224"/>
      <c r="M59" s="224"/>
    </row>
    <row r="60" spans="1:13" s="219" customFormat="1" ht="24" x14ac:dyDescent="0.55000000000000004">
      <c r="A60" s="216">
        <v>53</v>
      </c>
      <c r="B60" s="48" t="s">
        <v>108</v>
      </c>
      <c r="C60" s="217" t="s">
        <v>136</v>
      </c>
      <c r="D60" s="305">
        <v>3114750</v>
      </c>
      <c r="E60" s="299">
        <v>0</v>
      </c>
      <c r="F60" s="305">
        <v>1882020</v>
      </c>
      <c r="G60" s="231">
        <f t="shared" si="0"/>
        <v>1232730</v>
      </c>
      <c r="H60" s="230">
        <f t="shared" si="1"/>
        <v>60.422826872140618</v>
      </c>
      <c r="I60" s="224"/>
      <c r="J60" s="224"/>
      <c r="K60" s="224"/>
      <c r="L60" s="224"/>
      <c r="M60" s="224"/>
    </row>
    <row r="61" spans="1:13" s="219" customFormat="1" ht="24" x14ac:dyDescent="0.55000000000000004">
      <c r="A61" s="216">
        <v>54</v>
      </c>
      <c r="B61" s="48" t="s">
        <v>108</v>
      </c>
      <c r="C61" s="217" t="s">
        <v>137</v>
      </c>
      <c r="D61" s="305">
        <v>2682811</v>
      </c>
      <c r="E61" s="299">
        <v>0</v>
      </c>
      <c r="F61" s="305">
        <v>1745058.05</v>
      </c>
      <c r="G61" s="231">
        <f t="shared" si="0"/>
        <v>937752.95</v>
      </c>
      <c r="H61" s="230">
        <f t="shared" si="1"/>
        <v>65.04588098080707</v>
      </c>
      <c r="I61" s="224"/>
      <c r="J61" s="224"/>
      <c r="K61" s="224"/>
      <c r="L61" s="224"/>
      <c r="M61" s="224"/>
    </row>
    <row r="62" spans="1:13" s="219" customFormat="1" ht="24" x14ac:dyDescent="0.55000000000000004">
      <c r="A62" s="216">
        <v>55</v>
      </c>
      <c r="B62" s="48" t="s">
        <v>108</v>
      </c>
      <c r="C62" s="217" t="s">
        <v>39</v>
      </c>
      <c r="D62" s="305">
        <v>2689356</v>
      </c>
      <c r="E62" s="299">
        <v>0</v>
      </c>
      <c r="F62" s="305">
        <v>1785572.9</v>
      </c>
      <c r="G62" s="231">
        <f t="shared" si="0"/>
        <v>903783.10000000009</v>
      </c>
      <c r="H62" s="230">
        <f t="shared" si="1"/>
        <v>66.394069807046748</v>
      </c>
      <c r="I62" s="224"/>
      <c r="J62" s="224"/>
      <c r="K62" s="224"/>
      <c r="L62" s="224"/>
      <c r="M62" s="224"/>
    </row>
    <row r="63" spans="1:13" s="219" customFormat="1" ht="24" x14ac:dyDescent="0.55000000000000004">
      <c r="A63" s="216">
        <v>56</v>
      </c>
      <c r="B63" s="48" t="s">
        <v>108</v>
      </c>
      <c r="C63" s="217" t="s">
        <v>138</v>
      </c>
      <c r="D63" s="305">
        <v>1159369</v>
      </c>
      <c r="E63" s="299">
        <v>0</v>
      </c>
      <c r="F63" s="305">
        <v>647640</v>
      </c>
      <c r="G63" s="231">
        <f t="shared" si="0"/>
        <v>511729</v>
      </c>
      <c r="H63" s="230">
        <f t="shared" si="1"/>
        <v>55.861421169618993</v>
      </c>
      <c r="I63" s="224"/>
      <c r="J63" s="224"/>
      <c r="K63" s="224"/>
      <c r="L63" s="224"/>
      <c r="M63" s="224"/>
    </row>
    <row r="64" spans="1:13" s="219" customFormat="1" ht="24" x14ac:dyDescent="0.55000000000000004">
      <c r="A64" s="216">
        <v>57</v>
      </c>
      <c r="B64" s="48" t="s">
        <v>108</v>
      </c>
      <c r="C64" s="217" t="s">
        <v>139</v>
      </c>
      <c r="D64" s="305">
        <v>4108999</v>
      </c>
      <c r="E64" s="299">
        <v>0</v>
      </c>
      <c r="F64" s="305">
        <v>2480300</v>
      </c>
      <c r="G64" s="231">
        <f t="shared" si="0"/>
        <v>1628699</v>
      </c>
      <c r="H64" s="230">
        <f t="shared" si="1"/>
        <v>60.362633332351749</v>
      </c>
      <c r="I64" s="224"/>
      <c r="J64" s="224"/>
      <c r="K64" s="224"/>
      <c r="L64" s="224"/>
      <c r="M64" s="224"/>
    </row>
    <row r="65" spans="1:13" s="219" customFormat="1" ht="24" x14ac:dyDescent="0.55000000000000004">
      <c r="A65" s="216">
        <v>58</v>
      </c>
      <c r="B65" s="48" t="s">
        <v>108</v>
      </c>
      <c r="C65" s="217" t="s">
        <v>40</v>
      </c>
      <c r="D65" s="305">
        <v>1895685</v>
      </c>
      <c r="E65" s="299">
        <v>0</v>
      </c>
      <c r="F65" s="305">
        <v>1227560</v>
      </c>
      <c r="G65" s="231">
        <f t="shared" si="0"/>
        <v>668125</v>
      </c>
      <c r="H65" s="230">
        <f t="shared" si="1"/>
        <v>64.755484165354474</v>
      </c>
      <c r="I65" s="224"/>
      <c r="J65" s="224"/>
      <c r="K65" s="224"/>
      <c r="L65" s="224"/>
      <c r="M65" s="224"/>
    </row>
    <row r="66" spans="1:13" s="219" customFormat="1" ht="24" x14ac:dyDescent="0.55000000000000004">
      <c r="A66" s="216">
        <v>59</v>
      </c>
      <c r="B66" s="48" t="s">
        <v>108</v>
      </c>
      <c r="C66" s="217" t="s">
        <v>140</v>
      </c>
      <c r="D66" s="305">
        <v>4411043</v>
      </c>
      <c r="E66" s="299">
        <v>0</v>
      </c>
      <c r="F66" s="305">
        <v>2796611.2</v>
      </c>
      <c r="G66" s="231">
        <f t="shared" si="0"/>
        <v>1614431.7999999998</v>
      </c>
      <c r="H66" s="230">
        <f t="shared" si="1"/>
        <v>63.400225298189113</v>
      </c>
      <c r="I66" s="224"/>
      <c r="J66" s="224"/>
      <c r="K66" s="224"/>
      <c r="L66" s="224"/>
      <c r="M66" s="224"/>
    </row>
    <row r="67" spans="1:13" s="219" customFormat="1" ht="24" x14ac:dyDescent="0.55000000000000004">
      <c r="A67" s="216">
        <v>60</v>
      </c>
      <c r="B67" s="48" t="s">
        <v>108</v>
      </c>
      <c r="C67" s="217" t="s">
        <v>141</v>
      </c>
      <c r="D67" s="305">
        <v>1534782</v>
      </c>
      <c r="E67" s="299">
        <v>0</v>
      </c>
      <c r="F67" s="305">
        <v>953480</v>
      </c>
      <c r="G67" s="231">
        <f t="shared" si="0"/>
        <v>581302</v>
      </c>
      <c r="H67" s="230">
        <f t="shared" si="1"/>
        <v>62.124783845523339</v>
      </c>
      <c r="I67" s="224"/>
      <c r="J67" s="224"/>
      <c r="K67" s="224"/>
      <c r="L67" s="224"/>
      <c r="M67" s="224"/>
    </row>
    <row r="68" spans="1:13" s="219" customFormat="1" ht="24" x14ac:dyDescent="0.55000000000000004">
      <c r="A68" s="216">
        <v>61</v>
      </c>
      <c r="B68" s="48" t="s">
        <v>108</v>
      </c>
      <c r="C68" s="217" t="s">
        <v>142</v>
      </c>
      <c r="D68" s="305">
        <v>1874670</v>
      </c>
      <c r="E68" s="299">
        <v>0</v>
      </c>
      <c r="F68" s="305">
        <v>1166140</v>
      </c>
      <c r="G68" s="231">
        <f t="shared" si="0"/>
        <v>708530</v>
      </c>
      <c r="H68" s="230">
        <f t="shared" si="1"/>
        <v>62.205081427664602</v>
      </c>
      <c r="I68" s="224"/>
      <c r="J68" s="224"/>
      <c r="K68" s="224"/>
      <c r="L68" s="224"/>
      <c r="M68" s="224"/>
    </row>
    <row r="69" spans="1:13" s="219" customFormat="1" ht="24" x14ac:dyDescent="0.55000000000000004">
      <c r="A69" s="216">
        <v>62</v>
      </c>
      <c r="B69" s="48" t="s">
        <v>108</v>
      </c>
      <c r="C69" s="217" t="s">
        <v>143</v>
      </c>
      <c r="D69" s="305">
        <v>1468002</v>
      </c>
      <c r="E69" s="299">
        <v>0</v>
      </c>
      <c r="F69" s="305">
        <v>915940</v>
      </c>
      <c r="G69" s="231">
        <f t="shared" si="0"/>
        <v>552062</v>
      </c>
      <c r="H69" s="230">
        <f t="shared" si="1"/>
        <v>62.393647965057269</v>
      </c>
      <c r="I69" s="224"/>
      <c r="J69" s="224"/>
      <c r="K69" s="224"/>
      <c r="L69" s="224"/>
      <c r="M69" s="224"/>
    </row>
    <row r="70" spans="1:13" s="219" customFormat="1" ht="24" x14ac:dyDescent="0.55000000000000004">
      <c r="A70" s="216">
        <v>63</v>
      </c>
      <c r="B70" s="48" t="s">
        <v>108</v>
      </c>
      <c r="C70" s="217" t="s">
        <v>144</v>
      </c>
      <c r="D70" s="305">
        <v>1537242</v>
      </c>
      <c r="E70" s="299">
        <v>0</v>
      </c>
      <c r="F70" s="305">
        <v>1142140</v>
      </c>
      <c r="G70" s="231">
        <f t="shared" si="0"/>
        <v>395102</v>
      </c>
      <c r="H70" s="230">
        <f t="shared" si="1"/>
        <v>74.297996021446195</v>
      </c>
      <c r="I70" s="224"/>
      <c r="J70" s="224"/>
      <c r="K70" s="224"/>
      <c r="L70" s="224"/>
      <c r="M70" s="224"/>
    </row>
    <row r="71" spans="1:13" s="219" customFormat="1" ht="24" x14ac:dyDescent="0.55000000000000004">
      <c r="A71" s="216">
        <v>64</v>
      </c>
      <c r="B71" s="48" t="s">
        <v>108</v>
      </c>
      <c r="C71" s="217" t="s">
        <v>41</v>
      </c>
      <c r="D71" s="305">
        <v>1362162</v>
      </c>
      <c r="E71" s="299">
        <v>0</v>
      </c>
      <c r="F71" s="305">
        <v>847220</v>
      </c>
      <c r="G71" s="231">
        <f t="shared" si="0"/>
        <v>514942</v>
      </c>
      <c r="H71" s="230">
        <f t="shared" si="1"/>
        <v>62.196713753577036</v>
      </c>
      <c r="I71" s="224"/>
      <c r="J71" s="224"/>
      <c r="K71" s="224"/>
      <c r="L71" s="224"/>
      <c r="M71" s="224"/>
    </row>
    <row r="72" spans="1:13" s="219" customFormat="1" ht="24" x14ac:dyDescent="0.55000000000000004">
      <c r="A72" s="216">
        <v>65</v>
      </c>
      <c r="B72" s="48" t="s">
        <v>108</v>
      </c>
      <c r="C72" s="217" t="s">
        <v>42</v>
      </c>
      <c r="D72" s="305">
        <v>1287942</v>
      </c>
      <c r="E72" s="299">
        <v>0</v>
      </c>
      <c r="F72" s="305">
        <v>789376.77</v>
      </c>
      <c r="G72" s="231">
        <f t="shared" si="0"/>
        <v>498565.23</v>
      </c>
      <c r="H72" s="230">
        <f t="shared" si="1"/>
        <v>61.289776247688174</v>
      </c>
      <c r="I72" s="224"/>
      <c r="J72" s="224"/>
      <c r="K72" s="224"/>
      <c r="L72" s="224"/>
      <c r="M72" s="224"/>
    </row>
    <row r="73" spans="1:13" s="219" customFormat="1" ht="24" x14ac:dyDescent="0.55000000000000004">
      <c r="A73" s="216">
        <v>66</v>
      </c>
      <c r="B73" s="48" t="s">
        <v>108</v>
      </c>
      <c r="C73" s="217" t="s">
        <v>43</v>
      </c>
      <c r="D73" s="305">
        <v>1914640</v>
      </c>
      <c r="E73" s="299">
        <v>0</v>
      </c>
      <c r="F73" s="305">
        <v>1196080</v>
      </c>
      <c r="G73" s="231">
        <f t="shared" ref="G73:G103" si="2">+D73-E73-F73</f>
        <v>718560</v>
      </c>
      <c r="H73" s="230">
        <f t="shared" ref="H73:H103" si="3">F73*100/D73</f>
        <v>62.470229390381483</v>
      </c>
      <c r="I73" s="224"/>
      <c r="J73" s="224"/>
      <c r="K73" s="224"/>
      <c r="L73" s="224"/>
      <c r="M73" s="224"/>
    </row>
    <row r="74" spans="1:13" s="219" customFormat="1" ht="24" x14ac:dyDescent="0.55000000000000004">
      <c r="A74" s="216">
        <v>67</v>
      </c>
      <c r="B74" s="48" t="s">
        <v>108</v>
      </c>
      <c r="C74" s="217" t="s">
        <v>44</v>
      </c>
      <c r="D74" s="305">
        <v>3780135</v>
      </c>
      <c r="E74" s="299">
        <v>0</v>
      </c>
      <c r="F74" s="305">
        <v>2356220</v>
      </c>
      <c r="G74" s="231">
        <f t="shared" si="2"/>
        <v>1423915</v>
      </c>
      <c r="H74" s="230">
        <f t="shared" si="3"/>
        <v>62.331636303994436</v>
      </c>
      <c r="I74" s="224"/>
      <c r="J74" s="224"/>
      <c r="K74" s="224"/>
      <c r="L74" s="224"/>
      <c r="M74" s="224"/>
    </row>
    <row r="75" spans="1:13" s="219" customFormat="1" ht="24" x14ac:dyDescent="0.55000000000000004">
      <c r="A75" s="216">
        <v>68</v>
      </c>
      <c r="B75" s="48" t="s">
        <v>108</v>
      </c>
      <c r="C75" s="217" t="s">
        <v>45</v>
      </c>
      <c r="D75" s="305">
        <v>1687846</v>
      </c>
      <c r="E75" s="299">
        <v>0</v>
      </c>
      <c r="F75" s="305">
        <v>985166.13</v>
      </c>
      <c r="G75" s="231">
        <f t="shared" si="2"/>
        <v>702679.87</v>
      </c>
      <c r="H75" s="230">
        <f t="shared" si="3"/>
        <v>58.368247458595157</v>
      </c>
      <c r="I75" s="224"/>
      <c r="J75" s="224"/>
      <c r="K75" s="224"/>
      <c r="L75" s="224"/>
      <c r="M75" s="224"/>
    </row>
    <row r="76" spans="1:13" s="219" customFormat="1" ht="24" x14ac:dyDescent="0.55000000000000004">
      <c r="A76" s="216">
        <v>69</v>
      </c>
      <c r="B76" s="48" t="s">
        <v>108</v>
      </c>
      <c r="C76" s="217" t="s">
        <v>63</v>
      </c>
      <c r="D76" s="305">
        <v>2064765</v>
      </c>
      <c r="E76" s="299">
        <v>0</v>
      </c>
      <c r="F76" s="305">
        <v>1186150.97</v>
      </c>
      <c r="G76" s="231">
        <f t="shared" si="2"/>
        <v>878614.03</v>
      </c>
      <c r="H76" s="230">
        <f t="shared" si="3"/>
        <v>57.447262521400738</v>
      </c>
      <c r="I76" s="224"/>
      <c r="J76" s="224"/>
      <c r="K76" s="224"/>
      <c r="L76" s="224"/>
      <c r="M76" s="224"/>
    </row>
    <row r="77" spans="1:13" s="219" customFormat="1" ht="24" x14ac:dyDescent="0.55000000000000004">
      <c r="A77" s="216">
        <v>70</v>
      </c>
      <c r="B77" s="48" t="s">
        <v>108</v>
      </c>
      <c r="C77" s="217" t="s">
        <v>145</v>
      </c>
      <c r="D77" s="305">
        <v>1605102</v>
      </c>
      <c r="E77" s="299">
        <v>0</v>
      </c>
      <c r="F77" s="305">
        <v>1012240</v>
      </c>
      <c r="G77" s="231">
        <f t="shared" si="2"/>
        <v>592862</v>
      </c>
      <c r="H77" s="230">
        <f t="shared" si="3"/>
        <v>63.063904973017294</v>
      </c>
      <c r="I77" s="224"/>
      <c r="J77" s="224"/>
      <c r="K77" s="224"/>
      <c r="L77" s="224"/>
      <c r="M77" s="224"/>
    </row>
    <row r="78" spans="1:13" s="219" customFormat="1" ht="24" x14ac:dyDescent="0.55000000000000004">
      <c r="A78" s="216">
        <v>71</v>
      </c>
      <c r="B78" s="48" t="s">
        <v>108</v>
      </c>
      <c r="C78" s="217" t="s">
        <v>46</v>
      </c>
      <c r="D78" s="305">
        <v>2019694</v>
      </c>
      <c r="E78" s="299">
        <v>0</v>
      </c>
      <c r="F78" s="305">
        <v>1276880</v>
      </c>
      <c r="G78" s="231">
        <f t="shared" si="2"/>
        <v>742814</v>
      </c>
      <c r="H78" s="230">
        <f t="shared" si="3"/>
        <v>63.221458300118734</v>
      </c>
      <c r="I78" s="224"/>
      <c r="J78" s="224"/>
      <c r="K78" s="224"/>
      <c r="L78" s="224"/>
      <c r="M78" s="224"/>
    </row>
    <row r="79" spans="1:13" s="219" customFormat="1" ht="24" x14ac:dyDescent="0.55000000000000004">
      <c r="A79" s="216">
        <v>72</v>
      </c>
      <c r="B79" s="48" t="s">
        <v>108</v>
      </c>
      <c r="C79" s="217" t="s">
        <v>146</v>
      </c>
      <c r="D79" s="305">
        <v>1790739</v>
      </c>
      <c r="E79" s="299">
        <v>0</v>
      </c>
      <c r="F79" s="305">
        <v>1174800</v>
      </c>
      <c r="G79" s="231">
        <f t="shared" si="2"/>
        <v>615939</v>
      </c>
      <c r="H79" s="230">
        <f t="shared" si="3"/>
        <v>65.604200277092303</v>
      </c>
      <c r="I79" s="224"/>
      <c r="J79" s="224"/>
      <c r="K79" s="224"/>
      <c r="L79" s="224"/>
      <c r="M79" s="224"/>
    </row>
    <row r="80" spans="1:13" s="219" customFormat="1" ht="24" x14ac:dyDescent="0.55000000000000004">
      <c r="A80" s="216">
        <v>73</v>
      </c>
      <c r="B80" s="48" t="s">
        <v>108</v>
      </c>
      <c r="C80" s="217" t="s">
        <v>147</v>
      </c>
      <c r="D80" s="305">
        <v>1554882</v>
      </c>
      <c r="E80" s="299">
        <v>0</v>
      </c>
      <c r="F80" s="305">
        <v>883150</v>
      </c>
      <c r="G80" s="231">
        <f t="shared" si="2"/>
        <v>671732</v>
      </c>
      <c r="H80" s="230">
        <f t="shared" si="3"/>
        <v>56.79852233159815</v>
      </c>
      <c r="I80" s="224"/>
      <c r="J80" s="224"/>
      <c r="K80" s="224"/>
      <c r="L80" s="224"/>
      <c r="M80" s="224"/>
    </row>
    <row r="81" spans="1:13" s="219" customFormat="1" ht="24" x14ac:dyDescent="0.55000000000000004">
      <c r="A81" s="216">
        <v>74</v>
      </c>
      <c r="B81" s="48" t="s">
        <v>108</v>
      </c>
      <c r="C81" s="217" t="s">
        <v>47</v>
      </c>
      <c r="D81" s="305">
        <v>1708063</v>
      </c>
      <c r="E81" s="299">
        <v>0</v>
      </c>
      <c r="F81" s="305">
        <v>1084655</v>
      </c>
      <c r="G81" s="231">
        <f t="shared" si="2"/>
        <v>623408</v>
      </c>
      <c r="H81" s="230">
        <f t="shared" si="3"/>
        <v>63.502048812016888</v>
      </c>
      <c r="I81" s="224"/>
      <c r="J81" s="224"/>
      <c r="K81" s="224"/>
      <c r="L81" s="224"/>
      <c r="M81" s="224"/>
    </row>
    <row r="82" spans="1:13" s="219" customFormat="1" ht="24" x14ac:dyDescent="0.55000000000000004">
      <c r="A82" s="216">
        <v>75</v>
      </c>
      <c r="B82" s="48" t="s">
        <v>108</v>
      </c>
      <c r="C82" s="217" t="s">
        <v>148</v>
      </c>
      <c r="D82" s="305">
        <v>1399297</v>
      </c>
      <c r="E82" s="299">
        <v>0</v>
      </c>
      <c r="F82" s="305">
        <v>915360</v>
      </c>
      <c r="G82" s="231">
        <f t="shared" si="2"/>
        <v>483937</v>
      </c>
      <c r="H82" s="230">
        <f t="shared" si="3"/>
        <v>65.415705171954201</v>
      </c>
      <c r="I82" s="224"/>
      <c r="J82" s="224"/>
      <c r="K82" s="224"/>
      <c r="L82" s="224"/>
      <c r="M82" s="224"/>
    </row>
    <row r="83" spans="1:13" s="219" customFormat="1" ht="24" x14ac:dyDescent="0.55000000000000004">
      <c r="A83" s="216">
        <v>76</v>
      </c>
      <c r="B83" s="48" t="s">
        <v>108</v>
      </c>
      <c r="C83" s="217" t="s">
        <v>48</v>
      </c>
      <c r="D83" s="305">
        <v>1106444</v>
      </c>
      <c r="E83" s="299">
        <v>0</v>
      </c>
      <c r="F83" s="305">
        <v>729840</v>
      </c>
      <c r="G83" s="231">
        <f t="shared" si="2"/>
        <v>376604</v>
      </c>
      <c r="H83" s="230">
        <f t="shared" si="3"/>
        <v>65.962669597376816</v>
      </c>
      <c r="I83" s="224"/>
      <c r="J83" s="224"/>
      <c r="K83" s="224"/>
      <c r="L83" s="224"/>
      <c r="M83" s="224"/>
    </row>
    <row r="84" spans="1:13" s="219" customFormat="1" ht="24" x14ac:dyDescent="0.55000000000000004">
      <c r="A84" s="216">
        <v>77</v>
      </c>
      <c r="B84" s="48" t="s">
        <v>108</v>
      </c>
      <c r="C84" s="217" t="s">
        <v>149</v>
      </c>
      <c r="D84" s="305">
        <v>1803526</v>
      </c>
      <c r="E84" s="299">
        <v>0</v>
      </c>
      <c r="F84" s="305">
        <v>1023754.84</v>
      </c>
      <c r="G84" s="231">
        <f t="shared" si="2"/>
        <v>779771.16</v>
      </c>
      <c r="H84" s="230">
        <f t="shared" si="3"/>
        <v>56.76407437430899</v>
      </c>
      <c r="I84" s="224"/>
      <c r="J84" s="224"/>
      <c r="K84" s="224"/>
      <c r="L84" s="224"/>
      <c r="M84" s="224"/>
    </row>
    <row r="85" spans="1:13" s="219" customFormat="1" ht="24" x14ac:dyDescent="0.55000000000000004">
      <c r="A85" s="216">
        <v>78</v>
      </c>
      <c r="B85" s="48" t="s">
        <v>108</v>
      </c>
      <c r="C85" s="217" t="s">
        <v>49</v>
      </c>
      <c r="D85" s="305">
        <v>1457802</v>
      </c>
      <c r="E85" s="299">
        <v>0</v>
      </c>
      <c r="F85" s="305">
        <v>956760</v>
      </c>
      <c r="G85" s="231">
        <f t="shared" si="2"/>
        <v>501042</v>
      </c>
      <c r="H85" s="230">
        <f t="shared" si="3"/>
        <v>65.630311935365711</v>
      </c>
      <c r="I85" s="224"/>
      <c r="J85" s="224"/>
      <c r="K85" s="224"/>
      <c r="L85" s="224"/>
      <c r="M85" s="224"/>
    </row>
    <row r="86" spans="1:13" s="219" customFormat="1" ht="24" x14ac:dyDescent="0.55000000000000004">
      <c r="A86" s="216">
        <v>79</v>
      </c>
      <c r="B86" s="48" t="s">
        <v>108</v>
      </c>
      <c r="C86" s="217" t="s">
        <v>50</v>
      </c>
      <c r="D86" s="305">
        <v>1166744</v>
      </c>
      <c r="E86" s="299">
        <v>0</v>
      </c>
      <c r="F86" s="305">
        <v>755760</v>
      </c>
      <c r="G86" s="231">
        <f t="shared" si="2"/>
        <v>410984</v>
      </c>
      <c r="H86" s="230">
        <f t="shared" si="3"/>
        <v>64.775134905343421</v>
      </c>
      <c r="I86" s="224"/>
      <c r="J86" s="224"/>
      <c r="K86" s="224"/>
      <c r="L86" s="224"/>
      <c r="M86" s="224"/>
    </row>
    <row r="87" spans="1:13" s="219" customFormat="1" ht="24" x14ac:dyDescent="0.55000000000000004">
      <c r="A87" s="216">
        <v>80</v>
      </c>
      <c r="B87" s="48" t="s">
        <v>108</v>
      </c>
      <c r="C87" s="217" t="s">
        <v>150</v>
      </c>
      <c r="D87" s="305">
        <v>1149344</v>
      </c>
      <c r="E87" s="299">
        <v>0</v>
      </c>
      <c r="F87" s="305">
        <v>749000</v>
      </c>
      <c r="G87" s="231">
        <f t="shared" si="2"/>
        <v>400344</v>
      </c>
      <c r="H87" s="230">
        <f t="shared" si="3"/>
        <v>65.167608653283963</v>
      </c>
      <c r="I87" s="224"/>
      <c r="J87" s="224"/>
      <c r="K87" s="224"/>
      <c r="L87" s="224"/>
      <c r="M87" s="224"/>
    </row>
    <row r="88" spans="1:13" s="219" customFormat="1" ht="24" x14ac:dyDescent="0.55000000000000004">
      <c r="A88" s="216">
        <v>81</v>
      </c>
      <c r="B88" s="48" t="s">
        <v>108</v>
      </c>
      <c r="C88" s="217" t="s">
        <v>51</v>
      </c>
      <c r="D88" s="305">
        <v>1794155</v>
      </c>
      <c r="E88" s="299">
        <v>0</v>
      </c>
      <c r="F88" s="305">
        <v>1100590</v>
      </c>
      <c r="G88" s="231">
        <f t="shared" si="2"/>
        <v>693565</v>
      </c>
      <c r="H88" s="230">
        <f t="shared" si="3"/>
        <v>61.34308351285145</v>
      </c>
      <c r="I88" s="224"/>
      <c r="J88" s="224"/>
      <c r="K88" s="224"/>
      <c r="L88" s="224"/>
      <c r="M88" s="224"/>
    </row>
    <row r="89" spans="1:13" s="219" customFormat="1" ht="24" x14ac:dyDescent="0.55000000000000004">
      <c r="A89" s="216">
        <v>82</v>
      </c>
      <c r="B89" s="48" t="s">
        <v>108</v>
      </c>
      <c r="C89" s="217" t="s">
        <v>151</v>
      </c>
      <c r="D89" s="305">
        <v>1464282</v>
      </c>
      <c r="E89" s="299">
        <v>0</v>
      </c>
      <c r="F89" s="305">
        <v>884176.78</v>
      </c>
      <c r="G89" s="231">
        <f t="shared" si="2"/>
        <v>580105.22</v>
      </c>
      <c r="H89" s="230">
        <f t="shared" si="3"/>
        <v>60.382957654331612</v>
      </c>
      <c r="I89" s="224"/>
      <c r="J89" s="224"/>
      <c r="K89" s="224"/>
      <c r="L89" s="224"/>
      <c r="M89" s="224"/>
    </row>
    <row r="90" spans="1:13" s="219" customFormat="1" ht="24" x14ac:dyDescent="0.55000000000000004">
      <c r="A90" s="216">
        <v>83</v>
      </c>
      <c r="B90" s="48" t="s">
        <v>108</v>
      </c>
      <c r="C90" s="217" t="s">
        <v>152</v>
      </c>
      <c r="D90" s="305">
        <v>1227943</v>
      </c>
      <c r="E90" s="299">
        <v>0</v>
      </c>
      <c r="F90" s="305">
        <v>769720</v>
      </c>
      <c r="G90" s="231">
        <f t="shared" si="2"/>
        <v>458223</v>
      </c>
      <c r="H90" s="230">
        <f t="shared" si="3"/>
        <v>62.683691343979319</v>
      </c>
      <c r="I90" s="224"/>
      <c r="J90" s="224"/>
      <c r="K90" s="224"/>
      <c r="L90" s="224"/>
      <c r="M90" s="224"/>
    </row>
    <row r="91" spans="1:13" s="219" customFormat="1" ht="24" x14ac:dyDescent="0.55000000000000004">
      <c r="A91" s="216">
        <v>84</v>
      </c>
      <c r="B91" s="48" t="s">
        <v>108</v>
      </c>
      <c r="C91" s="217" t="s">
        <v>153</v>
      </c>
      <c r="D91" s="305">
        <v>1766015</v>
      </c>
      <c r="E91" s="299">
        <v>0</v>
      </c>
      <c r="F91" s="305">
        <v>1108520</v>
      </c>
      <c r="G91" s="231">
        <f t="shared" si="2"/>
        <v>657495</v>
      </c>
      <c r="H91" s="230">
        <f t="shared" si="3"/>
        <v>62.769568774897152</v>
      </c>
      <c r="I91" s="224"/>
      <c r="J91" s="224"/>
      <c r="K91" s="224"/>
      <c r="L91" s="224"/>
      <c r="M91" s="224"/>
    </row>
    <row r="92" spans="1:13" s="219" customFormat="1" ht="24" x14ac:dyDescent="0.55000000000000004">
      <c r="A92" s="216">
        <v>85</v>
      </c>
      <c r="B92" s="48" t="s">
        <v>108</v>
      </c>
      <c r="C92" s="217" t="s">
        <v>52</v>
      </c>
      <c r="D92" s="305">
        <v>1728695</v>
      </c>
      <c r="E92" s="299">
        <v>0</v>
      </c>
      <c r="F92" s="305">
        <v>991860</v>
      </c>
      <c r="G92" s="231">
        <f t="shared" si="2"/>
        <v>736835</v>
      </c>
      <c r="H92" s="230">
        <f t="shared" si="3"/>
        <v>57.376228889422364</v>
      </c>
      <c r="I92" s="224"/>
      <c r="J92" s="224"/>
      <c r="K92" s="224"/>
      <c r="L92" s="224"/>
      <c r="M92" s="224"/>
    </row>
    <row r="93" spans="1:13" s="219" customFormat="1" ht="24" x14ac:dyDescent="0.55000000000000004">
      <c r="A93" s="216">
        <v>86</v>
      </c>
      <c r="B93" s="48" t="s">
        <v>108</v>
      </c>
      <c r="C93" s="217" t="s">
        <v>53</v>
      </c>
      <c r="D93" s="305">
        <v>1754800</v>
      </c>
      <c r="E93" s="299">
        <v>0</v>
      </c>
      <c r="F93" s="305">
        <v>1111680</v>
      </c>
      <c r="G93" s="231">
        <f t="shared" si="2"/>
        <v>643120</v>
      </c>
      <c r="H93" s="230">
        <f t="shared" si="3"/>
        <v>63.350809209026671</v>
      </c>
      <c r="I93" s="224"/>
      <c r="J93" s="224"/>
      <c r="K93" s="224"/>
      <c r="L93" s="224"/>
      <c r="M93" s="224"/>
    </row>
    <row r="94" spans="1:13" s="219" customFormat="1" ht="24" x14ac:dyDescent="0.55000000000000004">
      <c r="A94" s="216">
        <v>87</v>
      </c>
      <c r="B94" s="48" t="s">
        <v>108</v>
      </c>
      <c r="C94" s="217" t="s">
        <v>154</v>
      </c>
      <c r="D94" s="305">
        <v>2130219</v>
      </c>
      <c r="E94" s="299">
        <v>0</v>
      </c>
      <c r="F94" s="305">
        <v>1323400</v>
      </c>
      <c r="G94" s="231">
        <f t="shared" si="2"/>
        <v>806819</v>
      </c>
      <c r="H94" s="230">
        <f t="shared" si="3"/>
        <v>62.12506789208058</v>
      </c>
      <c r="I94" s="224"/>
      <c r="J94" s="224"/>
      <c r="K94" s="224"/>
      <c r="L94" s="224"/>
      <c r="M94" s="224"/>
    </row>
    <row r="95" spans="1:13" s="219" customFormat="1" ht="24" x14ac:dyDescent="0.55000000000000004">
      <c r="A95" s="216">
        <v>88</v>
      </c>
      <c r="B95" s="48" t="s">
        <v>108</v>
      </c>
      <c r="C95" s="217" t="s">
        <v>155</v>
      </c>
      <c r="D95" s="305">
        <v>1793146</v>
      </c>
      <c r="E95" s="299">
        <v>0</v>
      </c>
      <c r="F95" s="305">
        <v>1122120</v>
      </c>
      <c r="G95" s="231">
        <f t="shared" si="2"/>
        <v>671026</v>
      </c>
      <c r="H95" s="230">
        <f t="shared" si="3"/>
        <v>62.578284199948023</v>
      </c>
      <c r="I95" s="224"/>
      <c r="J95" s="224"/>
      <c r="K95" s="224"/>
      <c r="L95" s="224"/>
      <c r="M95" s="224"/>
    </row>
    <row r="96" spans="1:13" s="219" customFormat="1" ht="24" x14ac:dyDescent="0.55000000000000004">
      <c r="A96" s="216">
        <v>89</v>
      </c>
      <c r="B96" s="48" t="s">
        <v>108</v>
      </c>
      <c r="C96" s="217" t="s">
        <v>156</v>
      </c>
      <c r="D96" s="305">
        <v>1855054</v>
      </c>
      <c r="E96" s="299">
        <v>0</v>
      </c>
      <c r="F96" s="305">
        <v>1057612</v>
      </c>
      <c r="G96" s="231">
        <f t="shared" si="2"/>
        <v>797442</v>
      </c>
      <c r="H96" s="230">
        <f t="shared" si="3"/>
        <v>57.012464327184006</v>
      </c>
      <c r="I96" s="224"/>
      <c r="J96" s="224"/>
      <c r="K96" s="224"/>
      <c r="L96" s="224"/>
      <c r="M96" s="224"/>
    </row>
    <row r="97" spans="1:13" s="219" customFormat="1" ht="24" x14ac:dyDescent="0.55000000000000004">
      <c r="A97" s="216">
        <v>90</v>
      </c>
      <c r="B97" s="48" t="s">
        <v>108</v>
      </c>
      <c r="C97" s="217" t="s">
        <v>54</v>
      </c>
      <c r="D97" s="305">
        <v>2210319</v>
      </c>
      <c r="E97" s="299">
        <v>0</v>
      </c>
      <c r="F97" s="305">
        <v>1442120</v>
      </c>
      <c r="G97" s="231">
        <f t="shared" si="2"/>
        <v>768199</v>
      </c>
      <c r="H97" s="230">
        <f t="shared" si="3"/>
        <v>65.244880942524588</v>
      </c>
      <c r="I97" s="224"/>
      <c r="J97" s="224"/>
      <c r="K97" s="224"/>
      <c r="L97" s="224"/>
      <c r="M97" s="224"/>
    </row>
    <row r="98" spans="1:13" s="219" customFormat="1" ht="24" x14ac:dyDescent="0.55000000000000004">
      <c r="A98" s="216">
        <v>91</v>
      </c>
      <c r="B98" s="48" t="s">
        <v>108</v>
      </c>
      <c r="C98" s="217" t="s">
        <v>55</v>
      </c>
      <c r="D98" s="305">
        <v>2320172</v>
      </c>
      <c r="E98" s="299">
        <v>0</v>
      </c>
      <c r="F98" s="305">
        <v>1362300</v>
      </c>
      <c r="G98" s="231">
        <f t="shared" si="2"/>
        <v>957872</v>
      </c>
      <c r="H98" s="230">
        <f t="shared" si="3"/>
        <v>58.715474542404614</v>
      </c>
      <c r="I98" s="224"/>
      <c r="J98" s="224"/>
      <c r="K98" s="224"/>
      <c r="L98" s="224"/>
      <c r="M98" s="224"/>
    </row>
    <row r="99" spans="1:13" s="219" customFormat="1" ht="24" x14ac:dyDescent="0.55000000000000004">
      <c r="A99" s="216">
        <v>92</v>
      </c>
      <c r="B99" s="48" t="s">
        <v>110</v>
      </c>
      <c r="C99" s="217" t="s">
        <v>20</v>
      </c>
      <c r="D99" s="305">
        <v>4714576</v>
      </c>
      <c r="E99" s="299">
        <v>0</v>
      </c>
      <c r="F99" s="305">
        <v>2938949</v>
      </c>
      <c r="G99" s="231">
        <f t="shared" si="2"/>
        <v>1775627</v>
      </c>
      <c r="H99" s="230">
        <f t="shared" si="3"/>
        <v>62.337503945211616</v>
      </c>
      <c r="I99" s="224"/>
      <c r="J99" s="224"/>
      <c r="K99" s="224"/>
      <c r="L99" s="224"/>
      <c r="M99" s="224"/>
    </row>
    <row r="100" spans="1:13" s="219" customFormat="1" ht="24" x14ac:dyDescent="0.55000000000000004">
      <c r="A100" s="216">
        <v>93</v>
      </c>
      <c r="B100" s="48" t="s">
        <v>110</v>
      </c>
      <c r="C100" s="217" t="s">
        <v>157</v>
      </c>
      <c r="D100" s="305">
        <v>4938446</v>
      </c>
      <c r="E100" s="299">
        <v>0</v>
      </c>
      <c r="F100" s="305">
        <v>2978351.94</v>
      </c>
      <c r="G100" s="231">
        <f t="shared" si="2"/>
        <v>1960094.06</v>
      </c>
      <c r="H100" s="230">
        <f t="shared" si="3"/>
        <v>60.30949695511503</v>
      </c>
      <c r="I100" s="224"/>
      <c r="J100" s="224"/>
      <c r="K100" s="224"/>
      <c r="L100" s="224"/>
      <c r="M100" s="224"/>
    </row>
    <row r="101" spans="1:13" s="219" customFormat="1" ht="24" x14ac:dyDescent="0.55000000000000004">
      <c r="A101" s="216">
        <v>94</v>
      </c>
      <c r="B101" s="48" t="s">
        <v>108</v>
      </c>
      <c r="C101" s="217" t="s">
        <v>86</v>
      </c>
      <c r="D101" s="305">
        <v>1306678</v>
      </c>
      <c r="E101" s="299">
        <v>0</v>
      </c>
      <c r="F101" s="305">
        <v>811380</v>
      </c>
      <c r="G101" s="231">
        <f t="shared" si="2"/>
        <v>495298</v>
      </c>
      <c r="H101" s="230">
        <f t="shared" si="3"/>
        <v>62.094869585314818</v>
      </c>
      <c r="I101" s="224"/>
      <c r="J101" s="224"/>
      <c r="K101" s="224"/>
      <c r="L101" s="224"/>
      <c r="M101" s="224"/>
    </row>
    <row r="102" spans="1:13" s="219" customFormat="1" ht="24" x14ac:dyDescent="0.55000000000000004">
      <c r="A102" s="216">
        <v>95</v>
      </c>
      <c r="B102" s="48" t="s">
        <v>110</v>
      </c>
      <c r="C102" s="217" t="s">
        <v>43</v>
      </c>
      <c r="D102" s="305">
        <v>5114260</v>
      </c>
      <c r="E102" s="299">
        <v>0</v>
      </c>
      <c r="F102" s="305">
        <v>3331050</v>
      </c>
      <c r="G102" s="231">
        <f t="shared" si="2"/>
        <v>1783210</v>
      </c>
      <c r="H102" s="230">
        <f t="shared" si="3"/>
        <v>65.132590052128748</v>
      </c>
      <c r="I102" s="224"/>
      <c r="J102" s="224"/>
      <c r="K102" s="224"/>
      <c r="L102" s="224"/>
      <c r="M102" s="224"/>
    </row>
    <row r="103" spans="1:13" s="219" customFormat="1" ht="24.75" thickBot="1" x14ac:dyDescent="0.6">
      <c r="A103" s="516">
        <v>96</v>
      </c>
      <c r="B103" s="517" t="s">
        <v>110</v>
      </c>
      <c r="C103" s="619" t="s">
        <v>213</v>
      </c>
      <c r="D103" s="833">
        <v>4133632</v>
      </c>
      <c r="E103" s="927">
        <v>0</v>
      </c>
      <c r="F103" s="926">
        <v>2542272.9</v>
      </c>
      <c r="G103" s="928">
        <f t="shared" si="2"/>
        <v>1591359.1</v>
      </c>
      <c r="H103" s="929">
        <f t="shared" si="3"/>
        <v>61.502158392425841</v>
      </c>
      <c r="I103" s="224">
        <v>1914750</v>
      </c>
      <c r="J103" s="224">
        <v>1914750</v>
      </c>
      <c r="K103" s="224"/>
      <c r="L103" s="810"/>
      <c r="M103" s="224"/>
    </row>
    <row r="104" spans="1:13" s="215" customFormat="1" ht="24.75" thickBot="1" x14ac:dyDescent="0.6">
      <c r="A104" s="1272" t="s">
        <v>159</v>
      </c>
      <c r="B104" s="1273"/>
      <c r="C104" s="1274"/>
      <c r="D104" s="604">
        <f>SUM(D8:D103)</f>
        <v>695026000</v>
      </c>
      <c r="E104" s="604">
        <f>SUM(E8:E103)</f>
        <v>0</v>
      </c>
      <c r="F104" s="604">
        <f>SUM(F8:F103)</f>
        <v>455978224.26999992</v>
      </c>
      <c r="G104" s="605">
        <f>SUM(G8:G103)</f>
        <v>239047775.72999999</v>
      </c>
      <c r="H104" s="606">
        <f>F104*100/D104</f>
        <v>65.605923270496348</v>
      </c>
      <c r="I104" s="270"/>
      <c r="J104" s="270"/>
      <c r="K104" s="270"/>
      <c r="L104" s="270"/>
      <c r="M104" s="270"/>
    </row>
    <row r="105" spans="1:13" s="219" customFormat="1" ht="24.75" hidden="1" thickTop="1" x14ac:dyDescent="0.55000000000000004">
      <c r="B105" s="221"/>
      <c r="C105" s="222"/>
      <c r="D105" s="220"/>
      <c r="F105" s="220"/>
      <c r="G105" s="270"/>
      <c r="H105" s="215"/>
      <c r="I105" s="224"/>
      <c r="J105" s="224"/>
      <c r="K105" s="224"/>
      <c r="L105" s="224"/>
      <c r="M105" s="224"/>
    </row>
    <row r="106" spans="1:13" s="219" customFormat="1" ht="24.75" hidden="1" thickTop="1" x14ac:dyDescent="0.55000000000000004">
      <c r="B106" s="221"/>
      <c r="C106" s="222"/>
      <c r="F106" s="220"/>
      <c r="G106" s="270"/>
      <c r="H106" s="215"/>
      <c r="I106" s="224"/>
      <c r="J106" s="224"/>
      <c r="K106" s="224"/>
      <c r="L106" s="224"/>
      <c r="M106" s="224"/>
    </row>
    <row r="107" spans="1:13" s="219" customFormat="1" ht="24.75" hidden="1" thickTop="1" x14ac:dyDescent="0.55000000000000004">
      <c r="B107" s="221"/>
      <c r="C107" s="222"/>
      <c r="G107" s="270"/>
      <c r="H107" s="215"/>
      <c r="I107" s="224"/>
      <c r="J107" s="224"/>
      <c r="K107" s="224"/>
      <c r="L107" s="224"/>
      <c r="M107" s="224"/>
    </row>
    <row r="108" spans="1:13" s="219" customFormat="1" ht="24.75" hidden="1" thickTop="1" x14ac:dyDescent="0.55000000000000004">
      <c r="B108" s="221"/>
      <c r="C108" s="222"/>
      <c r="G108" s="270"/>
      <c r="H108" s="215"/>
      <c r="I108" s="224"/>
      <c r="J108" s="224"/>
      <c r="K108" s="224"/>
      <c r="L108" s="224"/>
      <c r="M108" s="224"/>
    </row>
    <row r="109" spans="1:13" s="219" customFormat="1" ht="24.75" hidden="1" thickTop="1" x14ac:dyDescent="0.55000000000000004">
      <c r="B109" s="221"/>
      <c r="C109" s="222"/>
      <c r="G109" s="270"/>
      <c r="H109" s="215"/>
      <c r="I109" s="224"/>
      <c r="J109" s="224"/>
      <c r="K109" s="224"/>
      <c r="L109" s="224"/>
      <c r="M109" s="224"/>
    </row>
    <row r="110" spans="1:13" s="219" customFormat="1" ht="24.75" hidden="1" thickTop="1" x14ac:dyDescent="0.55000000000000004">
      <c r="B110" s="221"/>
      <c r="C110" s="222"/>
      <c r="G110" s="270"/>
      <c r="H110" s="215"/>
      <c r="I110" s="224"/>
      <c r="J110" s="224"/>
      <c r="K110" s="224"/>
      <c r="L110" s="224"/>
      <c r="M110" s="224"/>
    </row>
    <row r="111" spans="1:13" s="219" customFormat="1" ht="24.75" hidden="1" thickTop="1" x14ac:dyDescent="0.55000000000000004">
      <c r="B111" s="221"/>
      <c r="C111" s="222"/>
      <c r="G111" s="270"/>
      <c r="H111" s="215"/>
      <c r="I111" s="224"/>
      <c r="J111" s="224"/>
      <c r="K111" s="224"/>
      <c r="L111" s="224"/>
      <c r="M111" s="224"/>
    </row>
    <row r="112" spans="1:13" s="219" customFormat="1" ht="24.75" hidden="1" thickTop="1" x14ac:dyDescent="0.55000000000000004">
      <c r="B112" s="221"/>
      <c r="C112" s="222"/>
      <c r="G112" s="270"/>
      <c r="H112" s="215"/>
      <c r="I112" s="224"/>
      <c r="J112" s="224"/>
      <c r="K112" s="224"/>
      <c r="L112" s="224"/>
      <c r="M112" s="224"/>
    </row>
    <row r="113" spans="2:13" s="219" customFormat="1" ht="24.75" hidden="1" thickTop="1" x14ac:dyDescent="0.55000000000000004">
      <c r="B113" s="221"/>
      <c r="C113" s="222"/>
      <c r="G113" s="270"/>
      <c r="H113" s="215"/>
      <c r="I113" s="224"/>
      <c r="J113" s="224"/>
      <c r="K113" s="224"/>
      <c r="L113" s="224"/>
      <c r="M113" s="224"/>
    </row>
    <row r="114" spans="2:13" s="219" customFormat="1" ht="24.75" hidden="1" thickTop="1" x14ac:dyDescent="0.55000000000000004">
      <c r="B114" s="221"/>
      <c r="C114" s="222"/>
      <c r="G114" s="270"/>
      <c r="H114" s="215"/>
      <c r="I114" s="224"/>
      <c r="J114" s="224"/>
      <c r="K114" s="224"/>
      <c r="L114" s="224"/>
      <c r="M114" s="224"/>
    </row>
    <row r="115" spans="2:13" s="219" customFormat="1" ht="24.75" hidden="1" thickTop="1" x14ac:dyDescent="0.55000000000000004">
      <c r="B115" s="221"/>
      <c r="C115" s="222"/>
      <c r="G115" s="270"/>
      <c r="H115" s="215"/>
      <c r="I115" s="224"/>
      <c r="J115" s="224"/>
      <c r="K115" s="224"/>
      <c r="L115" s="224"/>
      <c r="M115" s="224"/>
    </row>
    <row r="116" spans="2:13" s="219" customFormat="1" ht="24.75" hidden="1" thickTop="1" x14ac:dyDescent="0.55000000000000004">
      <c r="B116" s="221"/>
      <c r="C116" s="222"/>
      <c r="G116" s="270"/>
      <c r="H116" s="215"/>
      <c r="I116" s="224"/>
      <c r="J116" s="224"/>
      <c r="K116" s="224"/>
      <c r="L116" s="224"/>
      <c r="M116" s="224"/>
    </row>
    <row r="117" spans="2:13" s="219" customFormat="1" ht="24.75" hidden="1" thickTop="1" x14ac:dyDescent="0.55000000000000004">
      <c r="B117" s="221"/>
      <c r="C117" s="222"/>
      <c r="G117" s="270"/>
      <c r="H117" s="215"/>
      <c r="I117" s="224"/>
      <c r="J117" s="224"/>
      <c r="K117" s="224"/>
      <c r="L117" s="224"/>
      <c r="M117" s="224"/>
    </row>
    <row r="118" spans="2:13" s="219" customFormat="1" ht="24.75" hidden="1" thickTop="1" x14ac:dyDescent="0.55000000000000004">
      <c r="B118" s="221"/>
      <c r="C118" s="222"/>
      <c r="G118" s="270"/>
      <c r="H118" s="215"/>
      <c r="I118" s="224"/>
      <c r="J118" s="224"/>
      <c r="K118" s="224"/>
      <c r="L118" s="224"/>
      <c r="M118" s="224"/>
    </row>
    <row r="119" spans="2:13" s="219" customFormat="1" ht="24.75" hidden="1" thickTop="1" x14ac:dyDescent="0.55000000000000004">
      <c r="B119" s="221"/>
      <c r="C119" s="222"/>
      <c r="G119" s="270"/>
      <c r="H119" s="215"/>
      <c r="I119" s="224"/>
      <c r="J119" s="224"/>
      <c r="K119" s="224"/>
      <c r="L119" s="224"/>
      <c r="M119" s="224"/>
    </row>
    <row r="120" spans="2:13" s="219" customFormat="1" ht="24.75" hidden="1" thickTop="1" x14ac:dyDescent="0.55000000000000004">
      <c r="B120" s="221"/>
      <c r="C120" s="222"/>
      <c r="G120" s="270"/>
      <c r="H120" s="215"/>
      <c r="I120" s="224"/>
      <c r="J120" s="224"/>
      <c r="K120" s="224"/>
      <c r="L120" s="224"/>
      <c r="M120" s="224"/>
    </row>
    <row r="121" spans="2:13" s="219" customFormat="1" ht="24.75" hidden="1" thickTop="1" x14ac:dyDescent="0.55000000000000004">
      <c r="B121" s="221"/>
      <c r="C121" s="222"/>
      <c r="G121" s="270"/>
      <c r="H121" s="215"/>
      <c r="I121" s="224"/>
      <c r="J121" s="224"/>
      <c r="K121" s="224"/>
      <c r="L121" s="224"/>
      <c r="M121" s="224"/>
    </row>
    <row r="122" spans="2:13" s="219" customFormat="1" ht="24.75" hidden="1" thickTop="1" x14ac:dyDescent="0.55000000000000004">
      <c r="B122" s="221"/>
      <c r="C122" s="222"/>
      <c r="G122" s="270"/>
      <c r="H122" s="215"/>
      <c r="I122" s="224"/>
      <c r="J122" s="224"/>
      <c r="K122" s="224"/>
      <c r="L122" s="224"/>
      <c r="M122" s="224"/>
    </row>
    <row r="123" spans="2:13" s="219" customFormat="1" ht="24.75" hidden="1" thickTop="1" x14ac:dyDescent="0.55000000000000004">
      <c r="B123" s="221"/>
      <c r="C123" s="222"/>
      <c r="G123" s="270"/>
      <c r="H123" s="215"/>
      <c r="I123" s="224"/>
      <c r="J123" s="224"/>
      <c r="K123" s="224"/>
      <c r="L123" s="224"/>
      <c r="M123" s="224"/>
    </row>
    <row r="124" spans="2:13" s="219" customFormat="1" ht="24.75" hidden="1" thickTop="1" x14ac:dyDescent="0.55000000000000004">
      <c r="B124" s="221"/>
      <c r="C124" s="222"/>
      <c r="G124" s="270"/>
      <c r="H124" s="215"/>
      <c r="I124" s="224"/>
      <c r="J124" s="224"/>
      <c r="K124" s="224"/>
      <c r="L124" s="224"/>
      <c r="M124" s="224"/>
    </row>
    <row r="125" spans="2:13" s="219" customFormat="1" ht="24.75" hidden="1" thickTop="1" x14ac:dyDescent="0.55000000000000004">
      <c r="B125" s="221"/>
      <c r="C125" s="222"/>
      <c r="G125" s="270"/>
      <c r="H125" s="215"/>
      <c r="I125" s="224"/>
      <c r="J125" s="224"/>
      <c r="K125" s="224"/>
      <c r="L125" s="224"/>
      <c r="M125" s="224"/>
    </row>
    <row r="126" spans="2:13" s="219" customFormat="1" ht="24.75" hidden="1" thickTop="1" x14ac:dyDescent="0.55000000000000004">
      <c r="B126" s="221"/>
      <c r="C126" s="222"/>
      <c r="G126" s="270"/>
      <c r="H126" s="215"/>
      <c r="I126" s="224"/>
      <c r="J126" s="224"/>
      <c r="K126" s="224"/>
      <c r="L126" s="224"/>
      <c r="M126" s="224"/>
    </row>
    <row r="127" spans="2:13" s="219" customFormat="1" ht="24.75" hidden="1" thickTop="1" x14ac:dyDescent="0.55000000000000004">
      <c r="B127" s="221"/>
      <c r="C127" s="222"/>
      <c r="G127" s="270"/>
      <c r="H127" s="215"/>
      <c r="I127" s="224"/>
      <c r="J127" s="224"/>
      <c r="K127" s="224"/>
      <c r="L127" s="224"/>
      <c r="M127" s="224"/>
    </row>
    <row r="128" spans="2:13" s="219" customFormat="1" ht="24.75" hidden="1" thickTop="1" x14ac:dyDescent="0.55000000000000004">
      <c r="B128" s="221"/>
      <c r="C128" s="222"/>
      <c r="G128" s="270"/>
      <c r="H128" s="215"/>
      <c r="I128" s="224"/>
      <c r="J128" s="224"/>
      <c r="K128" s="224"/>
      <c r="L128" s="224"/>
      <c r="M128" s="224"/>
    </row>
    <row r="129" spans="2:13" s="219" customFormat="1" ht="24.75" hidden="1" thickTop="1" x14ac:dyDescent="0.55000000000000004">
      <c r="B129" s="221"/>
      <c r="C129" s="222"/>
      <c r="G129" s="270"/>
      <c r="H129" s="215"/>
      <c r="I129" s="224"/>
      <c r="J129" s="224"/>
      <c r="K129" s="224"/>
      <c r="L129" s="224"/>
      <c r="M129" s="224"/>
    </row>
    <row r="130" spans="2:13" s="219" customFormat="1" ht="24.75" hidden="1" thickTop="1" x14ac:dyDescent="0.55000000000000004">
      <c r="B130" s="221"/>
      <c r="C130" s="222"/>
      <c r="G130" s="270"/>
      <c r="H130" s="215"/>
      <c r="I130" s="224"/>
      <c r="J130" s="224"/>
      <c r="K130" s="224"/>
      <c r="L130" s="224"/>
      <c r="M130" s="224"/>
    </row>
    <row r="131" spans="2:13" s="219" customFormat="1" ht="24.75" hidden="1" thickTop="1" x14ac:dyDescent="0.55000000000000004">
      <c r="B131" s="221"/>
      <c r="C131" s="222"/>
      <c r="G131" s="270"/>
      <c r="H131" s="215"/>
      <c r="I131" s="224"/>
      <c r="J131" s="224"/>
      <c r="K131" s="224"/>
      <c r="L131" s="224"/>
      <c r="M131" s="224"/>
    </row>
    <row r="132" spans="2:13" s="219" customFormat="1" ht="24.75" hidden="1" thickTop="1" x14ac:dyDescent="0.55000000000000004">
      <c r="B132" s="221"/>
      <c r="C132" s="222"/>
      <c r="G132" s="270"/>
      <c r="H132" s="215"/>
      <c r="I132" s="224"/>
      <c r="J132" s="224"/>
      <c r="K132" s="224"/>
      <c r="L132" s="224"/>
      <c r="M132" s="224"/>
    </row>
    <row r="133" spans="2:13" s="219" customFormat="1" ht="24.75" hidden="1" thickTop="1" x14ac:dyDescent="0.55000000000000004">
      <c r="B133" s="221"/>
      <c r="C133" s="222"/>
      <c r="G133" s="270"/>
      <c r="H133" s="215"/>
      <c r="I133" s="224"/>
      <c r="J133" s="224"/>
      <c r="K133" s="224"/>
      <c r="L133" s="224"/>
      <c r="M133" s="224"/>
    </row>
    <row r="134" spans="2:13" s="219" customFormat="1" ht="24.75" hidden="1" thickTop="1" x14ac:dyDescent="0.55000000000000004">
      <c r="B134" s="221"/>
      <c r="C134" s="222"/>
      <c r="G134" s="270"/>
      <c r="H134" s="215"/>
      <c r="I134" s="224"/>
      <c r="J134" s="224"/>
      <c r="K134" s="224"/>
      <c r="L134" s="224"/>
      <c r="M134" s="224"/>
    </row>
    <row r="135" spans="2:13" s="219" customFormat="1" ht="24.75" hidden="1" thickTop="1" x14ac:dyDescent="0.55000000000000004">
      <c r="B135" s="221"/>
      <c r="C135" s="222"/>
      <c r="G135" s="270"/>
      <c r="H135" s="215"/>
      <c r="I135" s="224"/>
      <c r="J135" s="224"/>
      <c r="K135" s="224"/>
      <c r="L135" s="224"/>
      <c r="M135" s="224"/>
    </row>
    <row r="136" spans="2:13" s="219" customFormat="1" ht="24.75" hidden="1" thickTop="1" x14ac:dyDescent="0.55000000000000004">
      <c r="B136" s="221"/>
      <c r="C136" s="222"/>
      <c r="G136" s="270"/>
      <c r="H136" s="215"/>
      <c r="I136" s="224"/>
      <c r="J136" s="224"/>
      <c r="K136" s="224"/>
      <c r="L136" s="224"/>
      <c r="M136" s="224"/>
    </row>
    <row r="137" spans="2:13" s="219" customFormat="1" ht="24.75" hidden="1" thickTop="1" x14ac:dyDescent="0.55000000000000004">
      <c r="B137" s="221"/>
      <c r="C137" s="222"/>
      <c r="G137" s="270"/>
      <c r="H137" s="215"/>
      <c r="I137" s="224"/>
      <c r="J137" s="224"/>
      <c r="K137" s="224"/>
      <c r="L137" s="224"/>
      <c r="M137" s="224"/>
    </row>
    <row r="138" spans="2:13" s="219" customFormat="1" ht="24.75" hidden="1" thickTop="1" x14ac:dyDescent="0.55000000000000004">
      <c r="B138" s="221"/>
      <c r="C138" s="222"/>
      <c r="G138" s="270"/>
      <c r="H138" s="215"/>
      <c r="I138" s="224"/>
      <c r="J138" s="224"/>
      <c r="K138" s="224"/>
      <c r="L138" s="224"/>
      <c r="M138" s="224"/>
    </row>
    <row r="139" spans="2:13" s="219" customFormat="1" ht="24.75" hidden="1" thickTop="1" x14ac:dyDescent="0.55000000000000004">
      <c r="B139" s="221"/>
      <c r="C139" s="222"/>
      <c r="G139" s="270"/>
      <c r="H139" s="215"/>
      <c r="I139" s="224"/>
      <c r="J139" s="224"/>
      <c r="K139" s="224"/>
      <c r="L139" s="224"/>
      <c r="M139" s="224"/>
    </row>
    <row r="140" spans="2:13" s="219" customFormat="1" ht="24.75" hidden="1" thickTop="1" x14ac:dyDescent="0.55000000000000004">
      <c r="B140" s="221"/>
      <c r="C140" s="222"/>
      <c r="G140" s="270"/>
      <c r="H140" s="215"/>
      <c r="I140" s="224"/>
      <c r="J140" s="224"/>
      <c r="K140" s="224"/>
      <c r="L140" s="224"/>
      <c r="M140" s="224"/>
    </row>
    <row r="141" spans="2:13" s="219" customFormat="1" ht="24.75" hidden="1" thickTop="1" x14ac:dyDescent="0.55000000000000004">
      <c r="B141" s="221"/>
      <c r="C141" s="222"/>
      <c r="G141" s="270"/>
      <c r="H141" s="215"/>
      <c r="I141" s="224"/>
      <c r="J141" s="224"/>
      <c r="K141" s="224"/>
      <c r="L141" s="224"/>
      <c r="M141" s="224"/>
    </row>
    <row r="142" spans="2:13" s="219" customFormat="1" ht="24.75" hidden="1" thickTop="1" x14ac:dyDescent="0.55000000000000004">
      <c r="B142" s="221"/>
      <c r="C142" s="222"/>
      <c r="G142" s="270"/>
      <c r="H142" s="215"/>
      <c r="I142" s="224"/>
      <c r="J142" s="224"/>
      <c r="K142" s="224"/>
      <c r="L142" s="224"/>
      <c r="M142" s="224"/>
    </row>
    <row r="143" spans="2:13" s="219" customFormat="1" ht="24.75" hidden="1" thickTop="1" x14ac:dyDescent="0.55000000000000004">
      <c r="B143" s="221"/>
      <c r="C143" s="222"/>
      <c r="G143" s="270"/>
      <c r="H143" s="215"/>
      <c r="I143" s="224"/>
      <c r="J143" s="224"/>
      <c r="K143" s="224"/>
      <c r="L143" s="224"/>
      <c r="M143" s="224"/>
    </row>
    <row r="144" spans="2:13" s="219" customFormat="1" ht="24.75" hidden="1" thickTop="1" x14ac:dyDescent="0.55000000000000004">
      <c r="B144" s="221"/>
      <c r="C144" s="222"/>
      <c r="G144" s="270"/>
      <c r="H144" s="215"/>
      <c r="I144" s="224"/>
      <c r="J144" s="224"/>
      <c r="K144" s="224"/>
      <c r="L144" s="224"/>
      <c r="M144" s="224"/>
    </row>
    <row r="145" spans="2:13" s="219" customFormat="1" ht="24.75" hidden="1" thickTop="1" x14ac:dyDescent="0.55000000000000004">
      <c r="B145" s="221"/>
      <c r="C145" s="222"/>
      <c r="G145" s="270"/>
      <c r="H145" s="215"/>
      <c r="I145" s="224"/>
      <c r="J145" s="224"/>
      <c r="K145" s="224"/>
      <c r="L145" s="224"/>
      <c r="M145" s="224"/>
    </row>
    <row r="146" spans="2:13" s="219" customFormat="1" ht="24.75" hidden="1" thickTop="1" x14ac:dyDescent="0.55000000000000004">
      <c r="B146" s="221"/>
      <c r="C146" s="222"/>
      <c r="G146" s="270"/>
      <c r="H146" s="215"/>
      <c r="I146" s="224"/>
      <c r="J146" s="224"/>
      <c r="K146" s="224"/>
      <c r="L146" s="224"/>
      <c r="M146" s="224"/>
    </row>
    <row r="147" spans="2:13" s="219" customFormat="1" ht="24.75" hidden="1" thickTop="1" x14ac:dyDescent="0.55000000000000004">
      <c r="B147" s="221"/>
      <c r="C147" s="222"/>
      <c r="G147" s="270"/>
      <c r="H147" s="215"/>
      <c r="I147" s="224"/>
      <c r="J147" s="224"/>
      <c r="K147" s="224"/>
      <c r="L147" s="224"/>
      <c r="M147" s="224"/>
    </row>
    <row r="148" spans="2:13" s="219" customFormat="1" ht="24.75" hidden="1" thickTop="1" x14ac:dyDescent="0.55000000000000004">
      <c r="B148" s="221"/>
      <c r="C148" s="222"/>
      <c r="G148" s="270"/>
      <c r="H148" s="215"/>
      <c r="I148" s="224"/>
      <c r="J148" s="224"/>
      <c r="K148" s="224"/>
      <c r="L148" s="224"/>
      <c r="M148" s="224"/>
    </row>
    <row r="149" spans="2:13" s="219" customFormat="1" ht="24.75" hidden="1" thickTop="1" x14ac:dyDescent="0.55000000000000004">
      <c r="B149" s="221"/>
      <c r="C149" s="222"/>
      <c r="G149" s="270"/>
      <c r="H149" s="215"/>
      <c r="I149" s="224"/>
      <c r="J149" s="224"/>
      <c r="K149" s="224"/>
      <c r="L149" s="224"/>
      <c r="M149" s="224"/>
    </row>
    <row r="150" spans="2:13" s="219" customFormat="1" ht="24.75" hidden="1" thickTop="1" x14ac:dyDescent="0.55000000000000004">
      <c r="B150" s="221"/>
      <c r="C150" s="222"/>
      <c r="G150" s="270"/>
      <c r="H150" s="215"/>
      <c r="I150" s="224"/>
      <c r="J150" s="224"/>
      <c r="K150" s="224"/>
      <c r="L150" s="224"/>
      <c r="M150" s="224"/>
    </row>
    <row r="151" spans="2:13" s="219" customFormat="1" ht="24.75" hidden="1" thickTop="1" x14ac:dyDescent="0.55000000000000004">
      <c r="B151" s="221"/>
      <c r="C151" s="222"/>
      <c r="G151" s="270"/>
      <c r="H151" s="215"/>
      <c r="I151" s="224"/>
      <c r="J151" s="224"/>
      <c r="K151" s="224"/>
      <c r="L151" s="224"/>
      <c r="M151" s="224"/>
    </row>
    <row r="152" spans="2:13" s="219" customFormat="1" ht="24.75" hidden="1" thickTop="1" x14ac:dyDescent="0.55000000000000004">
      <c r="B152" s="221"/>
      <c r="C152" s="222"/>
      <c r="G152" s="270"/>
      <c r="H152" s="215"/>
      <c r="I152" s="224"/>
      <c r="J152" s="224"/>
      <c r="K152" s="224"/>
      <c r="L152" s="224"/>
      <c r="M152" s="224"/>
    </row>
    <row r="153" spans="2:13" s="219" customFormat="1" ht="24.75" hidden="1" thickTop="1" x14ac:dyDescent="0.55000000000000004">
      <c r="B153" s="221"/>
      <c r="C153" s="222"/>
      <c r="G153" s="270"/>
      <c r="H153" s="215"/>
      <c r="I153" s="224"/>
      <c r="J153" s="224"/>
      <c r="K153" s="224"/>
      <c r="L153" s="224"/>
      <c r="M153" s="224"/>
    </row>
    <row r="154" spans="2:13" s="219" customFormat="1" ht="24.75" hidden="1" thickTop="1" x14ac:dyDescent="0.55000000000000004">
      <c r="B154" s="221"/>
      <c r="C154" s="222"/>
      <c r="G154" s="270"/>
      <c r="H154" s="215"/>
      <c r="I154" s="224"/>
      <c r="J154" s="224"/>
      <c r="K154" s="224"/>
      <c r="L154" s="224"/>
      <c r="M154" s="224"/>
    </row>
    <row r="155" spans="2:13" s="219" customFormat="1" ht="24.75" hidden="1" thickTop="1" x14ac:dyDescent="0.55000000000000004">
      <c r="B155" s="221"/>
      <c r="C155" s="222"/>
      <c r="G155" s="270"/>
      <c r="H155" s="215"/>
      <c r="I155" s="224"/>
      <c r="J155" s="224"/>
      <c r="K155" s="224"/>
      <c r="L155" s="224"/>
      <c r="M155" s="224"/>
    </row>
    <row r="156" spans="2:13" s="219" customFormat="1" ht="24.75" hidden="1" thickTop="1" x14ac:dyDescent="0.55000000000000004">
      <c r="B156" s="221"/>
      <c r="C156" s="222"/>
      <c r="G156" s="270"/>
      <c r="H156" s="215"/>
      <c r="I156" s="224"/>
      <c r="J156" s="224"/>
      <c r="K156" s="224"/>
      <c r="L156" s="224"/>
      <c r="M156" s="224"/>
    </row>
    <row r="157" spans="2:13" s="219" customFormat="1" ht="24.75" hidden="1" thickTop="1" x14ac:dyDescent="0.55000000000000004">
      <c r="B157" s="221"/>
      <c r="C157" s="222"/>
      <c r="G157" s="270"/>
      <c r="H157" s="215"/>
      <c r="I157" s="224"/>
      <c r="J157" s="224"/>
      <c r="K157" s="224"/>
      <c r="L157" s="224"/>
      <c r="M157" s="224"/>
    </row>
    <row r="158" spans="2:13" s="219" customFormat="1" ht="24.75" hidden="1" thickTop="1" x14ac:dyDescent="0.55000000000000004">
      <c r="B158" s="221"/>
      <c r="C158" s="222"/>
      <c r="G158" s="270"/>
      <c r="H158" s="215"/>
      <c r="I158" s="224"/>
      <c r="J158" s="224"/>
      <c r="K158" s="224"/>
      <c r="L158" s="224"/>
      <c r="M158" s="224"/>
    </row>
    <row r="159" spans="2:13" s="219" customFormat="1" ht="24.75" hidden="1" thickTop="1" x14ac:dyDescent="0.55000000000000004">
      <c r="B159" s="221"/>
      <c r="C159" s="222"/>
      <c r="G159" s="270"/>
      <c r="H159" s="215"/>
      <c r="I159" s="224"/>
      <c r="J159" s="224"/>
      <c r="K159" s="224"/>
      <c r="L159" s="224"/>
      <c r="M159" s="224"/>
    </row>
    <row r="160" spans="2:13" s="219" customFormat="1" ht="24.75" hidden="1" thickTop="1" x14ac:dyDescent="0.55000000000000004">
      <c r="B160" s="221"/>
      <c r="C160" s="222"/>
      <c r="G160" s="270"/>
      <c r="H160" s="215"/>
      <c r="I160" s="224"/>
      <c r="J160" s="224"/>
      <c r="K160" s="224"/>
      <c r="L160" s="224"/>
      <c r="M160" s="224"/>
    </row>
    <row r="161" spans="2:13" s="219" customFormat="1" ht="24.75" hidden="1" thickTop="1" x14ac:dyDescent="0.55000000000000004">
      <c r="B161" s="221"/>
      <c r="C161" s="222"/>
      <c r="G161" s="270"/>
      <c r="H161" s="215"/>
      <c r="I161" s="224"/>
      <c r="J161" s="224"/>
      <c r="K161" s="224"/>
      <c r="L161" s="224"/>
      <c r="M161" s="224"/>
    </row>
    <row r="162" spans="2:13" s="219" customFormat="1" ht="24.75" hidden="1" thickTop="1" x14ac:dyDescent="0.55000000000000004">
      <c r="B162" s="221"/>
      <c r="C162" s="222"/>
      <c r="G162" s="270"/>
      <c r="H162" s="215"/>
      <c r="I162" s="224"/>
      <c r="J162" s="224"/>
      <c r="K162" s="224"/>
      <c r="L162" s="224"/>
      <c r="M162" s="224"/>
    </row>
    <row r="163" spans="2:13" s="219" customFormat="1" ht="24.75" hidden="1" thickTop="1" x14ac:dyDescent="0.55000000000000004">
      <c r="B163" s="221"/>
      <c r="C163" s="222"/>
      <c r="G163" s="270"/>
      <c r="H163" s="215"/>
      <c r="I163" s="224"/>
      <c r="J163" s="224"/>
      <c r="K163" s="224"/>
      <c r="L163" s="224"/>
      <c r="M163" s="224"/>
    </row>
    <row r="164" spans="2:13" s="219" customFormat="1" ht="24.75" hidden="1" thickTop="1" x14ac:dyDescent="0.55000000000000004">
      <c r="B164" s="221"/>
      <c r="C164" s="222"/>
      <c r="G164" s="270"/>
      <c r="H164" s="215"/>
      <c r="I164" s="224"/>
      <c r="J164" s="224"/>
      <c r="K164" s="224"/>
      <c r="L164" s="224"/>
      <c r="M164" s="224"/>
    </row>
    <row r="165" spans="2:13" s="219" customFormat="1" ht="24.75" hidden="1" thickTop="1" x14ac:dyDescent="0.55000000000000004">
      <c r="B165" s="221"/>
      <c r="C165" s="222"/>
      <c r="G165" s="270"/>
      <c r="H165" s="215"/>
      <c r="I165" s="224"/>
      <c r="J165" s="224"/>
      <c r="K165" s="224"/>
      <c r="L165" s="224"/>
      <c r="M165" s="224"/>
    </row>
    <row r="166" spans="2:13" s="219" customFormat="1" ht="24.75" hidden="1" thickTop="1" x14ac:dyDescent="0.55000000000000004">
      <c r="B166" s="221"/>
      <c r="C166" s="222"/>
      <c r="G166" s="270"/>
      <c r="H166" s="215"/>
      <c r="I166" s="224"/>
      <c r="J166" s="224"/>
      <c r="K166" s="224"/>
      <c r="L166" s="224"/>
      <c r="M166" s="224"/>
    </row>
    <row r="167" spans="2:13" s="219" customFormat="1" ht="24.75" hidden="1" thickTop="1" x14ac:dyDescent="0.55000000000000004">
      <c r="B167" s="221"/>
      <c r="C167" s="222"/>
      <c r="G167" s="270"/>
      <c r="H167" s="215"/>
      <c r="I167" s="224"/>
      <c r="J167" s="224"/>
      <c r="K167" s="224"/>
      <c r="L167" s="224"/>
      <c r="M167" s="224"/>
    </row>
    <row r="168" spans="2:13" s="219" customFormat="1" ht="24.75" hidden="1" thickTop="1" x14ac:dyDescent="0.55000000000000004">
      <c r="B168" s="221"/>
      <c r="C168" s="222"/>
      <c r="G168" s="270"/>
      <c r="H168" s="215"/>
      <c r="I168" s="224"/>
      <c r="J168" s="224"/>
      <c r="K168" s="224"/>
      <c r="L168" s="224"/>
      <c r="M168" s="224"/>
    </row>
    <row r="169" spans="2:13" s="219" customFormat="1" ht="24.75" hidden="1" thickTop="1" x14ac:dyDescent="0.55000000000000004">
      <c r="B169" s="221"/>
      <c r="C169" s="222"/>
      <c r="G169" s="270"/>
      <c r="H169" s="215"/>
      <c r="I169" s="224"/>
      <c r="J169" s="224"/>
      <c r="K169" s="224"/>
      <c r="L169" s="224"/>
      <c r="M169" s="224"/>
    </row>
    <row r="170" spans="2:13" s="219" customFormat="1" ht="24.75" hidden="1" thickTop="1" x14ac:dyDescent="0.55000000000000004">
      <c r="B170" s="221"/>
      <c r="C170" s="222"/>
      <c r="G170" s="270"/>
      <c r="H170" s="215"/>
      <c r="I170" s="224"/>
      <c r="J170" s="224"/>
      <c r="K170" s="224"/>
      <c r="L170" s="224"/>
      <c r="M170" s="224"/>
    </row>
    <row r="171" spans="2:13" s="219" customFormat="1" ht="24.75" hidden="1" thickTop="1" x14ac:dyDescent="0.55000000000000004">
      <c r="B171" s="221"/>
      <c r="C171" s="222"/>
      <c r="G171" s="270"/>
      <c r="H171" s="215"/>
      <c r="I171" s="224"/>
      <c r="J171" s="224"/>
      <c r="K171" s="224"/>
      <c r="L171" s="224"/>
      <c r="M171" s="224"/>
    </row>
    <row r="172" spans="2:13" s="219" customFormat="1" ht="24.75" hidden="1" thickTop="1" x14ac:dyDescent="0.55000000000000004">
      <c r="B172" s="221"/>
      <c r="C172" s="222"/>
      <c r="G172" s="270"/>
      <c r="H172" s="215"/>
      <c r="I172" s="224"/>
      <c r="J172" s="224"/>
      <c r="K172" s="224"/>
      <c r="L172" s="224"/>
      <c r="M172" s="224"/>
    </row>
    <row r="173" spans="2:13" s="219" customFormat="1" ht="24.75" hidden="1" thickTop="1" x14ac:dyDescent="0.55000000000000004">
      <c r="B173" s="221"/>
      <c r="C173" s="222"/>
      <c r="G173" s="270"/>
      <c r="H173" s="215"/>
      <c r="I173" s="224"/>
      <c r="J173" s="224"/>
      <c r="K173" s="224"/>
      <c r="L173" s="224"/>
      <c r="M173" s="224"/>
    </row>
    <row r="174" spans="2:13" s="219" customFormat="1" ht="24.75" hidden="1" thickTop="1" x14ac:dyDescent="0.55000000000000004">
      <c r="B174" s="221"/>
      <c r="C174" s="222"/>
      <c r="G174" s="270"/>
      <c r="H174" s="215"/>
      <c r="I174" s="224"/>
      <c r="J174" s="224"/>
      <c r="K174" s="224"/>
      <c r="L174" s="224"/>
      <c r="M174" s="224"/>
    </row>
    <row r="175" spans="2:13" s="219" customFormat="1" ht="24.75" hidden="1" thickTop="1" x14ac:dyDescent="0.55000000000000004">
      <c r="B175" s="221"/>
      <c r="C175" s="222"/>
      <c r="G175" s="270"/>
      <c r="H175" s="215"/>
      <c r="I175" s="224"/>
      <c r="J175" s="224"/>
      <c r="K175" s="224"/>
      <c r="L175" s="224"/>
      <c r="M175" s="224"/>
    </row>
    <row r="176" spans="2:13" s="219" customFormat="1" ht="24.75" hidden="1" thickTop="1" x14ac:dyDescent="0.55000000000000004">
      <c r="B176" s="221"/>
      <c r="C176" s="222"/>
      <c r="G176" s="270"/>
      <c r="H176" s="215"/>
      <c r="I176" s="224"/>
      <c r="J176" s="224"/>
      <c r="K176" s="224"/>
      <c r="L176" s="224"/>
      <c r="M176" s="224"/>
    </row>
    <row r="177" spans="2:13" s="219" customFormat="1" ht="24.75" hidden="1" thickTop="1" x14ac:dyDescent="0.55000000000000004">
      <c r="B177" s="221"/>
      <c r="C177" s="222"/>
      <c r="G177" s="270"/>
      <c r="H177" s="215"/>
      <c r="I177" s="224"/>
      <c r="J177" s="224"/>
      <c r="K177" s="224"/>
      <c r="L177" s="224"/>
      <c r="M177" s="224"/>
    </row>
    <row r="178" spans="2:13" s="219" customFormat="1" ht="24.75" hidden="1" thickTop="1" x14ac:dyDescent="0.55000000000000004">
      <c r="B178" s="221"/>
      <c r="C178" s="222"/>
      <c r="G178" s="270"/>
      <c r="H178" s="215"/>
      <c r="I178" s="224"/>
      <c r="J178" s="224"/>
      <c r="K178" s="224"/>
      <c r="L178" s="224"/>
      <c r="M178" s="224"/>
    </row>
    <row r="179" spans="2:13" s="219" customFormat="1" ht="24.75" hidden="1" thickTop="1" x14ac:dyDescent="0.55000000000000004">
      <c r="B179" s="221"/>
      <c r="C179" s="222"/>
      <c r="G179" s="270"/>
      <c r="H179" s="215"/>
      <c r="I179" s="224"/>
      <c r="J179" s="224"/>
      <c r="K179" s="224"/>
      <c r="L179" s="224"/>
      <c r="M179" s="224"/>
    </row>
    <row r="180" spans="2:13" s="219" customFormat="1" ht="24.75" hidden="1" thickTop="1" x14ac:dyDescent="0.55000000000000004">
      <c r="B180" s="221"/>
      <c r="C180" s="222"/>
      <c r="G180" s="270"/>
      <c r="H180" s="215"/>
      <c r="I180" s="224"/>
      <c r="J180" s="224"/>
      <c r="K180" s="224"/>
      <c r="L180" s="224"/>
      <c r="M180" s="224"/>
    </row>
    <row r="181" spans="2:13" s="219" customFormat="1" ht="24.75" hidden="1" thickTop="1" x14ac:dyDescent="0.55000000000000004">
      <c r="B181" s="221"/>
      <c r="C181" s="222"/>
      <c r="G181" s="270"/>
      <c r="H181" s="215"/>
      <c r="I181" s="224"/>
      <c r="J181" s="224"/>
      <c r="K181" s="224"/>
      <c r="L181" s="224"/>
      <c r="M181" s="224"/>
    </row>
    <row r="182" spans="2:13" s="219" customFormat="1" ht="24.75" hidden="1" thickTop="1" x14ac:dyDescent="0.55000000000000004">
      <c r="B182" s="221"/>
      <c r="C182" s="222"/>
      <c r="G182" s="270"/>
      <c r="H182" s="215"/>
      <c r="I182" s="224"/>
      <c r="J182" s="224"/>
      <c r="K182" s="224"/>
      <c r="L182" s="224"/>
      <c r="M182" s="224"/>
    </row>
    <row r="183" spans="2:13" s="219" customFormat="1" ht="24.75" hidden="1" thickTop="1" x14ac:dyDescent="0.55000000000000004">
      <c r="B183" s="221"/>
      <c r="C183" s="222"/>
      <c r="G183" s="270"/>
      <c r="H183" s="215"/>
      <c r="I183" s="224"/>
      <c r="J183" s="224"/>
      <c r="K183" s="224"/>
      <c r="L183" s="224"/>
      <c r="M183" s="224"/>
    </row>
    <row r="184" spans="2:13" s="219" customFormat="1" ht="24.75" hidden="1" thickTop="1" x14ac:dyDescent="0.55000000000000004">
      <c r="B184" s="221"/>
      <c r="C184" s="222"/>
      <c r="G184" s="270"/>
      <c r="H184" s="215"/>
      <c r="I184" s="224"/>
      <c r="J184" s="224"/>
      <c r="K184" s="224"/>
      <c r="L184" s="224"/>
      <c r="M184" s="224"/>
    </row>
    <row r="185" spans="2:13" s="219" customFormat="1" ht="24.75" hidden="1" thickTop="1" x14ac:dyDescent="0.55000000000000004">
      <c r="B185" s="221"/>
      <c r="C185" s="222"/>
      <c r="G185" s="270"/>
      <c r="H185" s="215"/>
      <c r="I185" s="224"/>
      <c r="J185" s="224"/>
      <c r="K185" s="224"/>
      <c r="L185" s="224"/>
      <c r="M185" s="224"/>
    </row>
    <row r="186" spans="2:13" s="219" customFormat="1" ht="24.75" hidden="1" thickTop="1" x14ac:dyDescent="0.55000000000000004">
      <c r="B186" s="221"/>
      <c r="C186" s="222"/>
      <c r="G186" s="270"/>
      <c r="H186" s="215"/>
      <c r="I186" s="224"/>
      <c r="J186" s="224"/>
      <c r="K186" s="224"/>
      <c r="L186" s="224"/>
      <c r="M186" s="224"/>
    </row>
    <row r="187" spans="2:13" s="219" customFormat="1" ht="24.75" hidden="1" thickTop="1" x14ac:dyDescent="0.55000000000000004">
      <c r="B187" s="221"/>
      <c r="C187" s="222"/>
      <c r="G187" s="270"/>
      <c r="H187" s="215"/>
      <c r="I187" s="224"/>
      <c r="J187" s="224"/>
      <c r="K187" s="224"/>
      <c r="L187" s="224"/>
      <c r="M187" s="224"/>
    </row>
    <row r="188" spans="2:13" s="219" customFormat="1" ht="24.75" hidden="1" thickTop="1" x14ac:dyDescent="0.55000000000000004">
      <c r="B188" s="221"/>
      <c r="C188" s="222"/>
      <c r="G188" s="270"/>
      <c r="H188" s="215"/>
      <c r="I188" s="224"/>
      <c r="J188" s="224"/>
      <c r="K188" s="224"/>
      <c r="L188" s="224"/>
      <c r="M188" s="224"/>
    </row>
    <row r="189" spans="2:13" s="219" customFormat="1" ht="24.75" hidden="1" thickTop="1" x14ac:dyDescent="0.55000000000000004">
      <c r="B189" s="221"/>
      <c r="C189" s="222"/>
      <c r="G189" s="270"/>
      <c r="H189" s="215"/>
      <c r="I189" s="224"/>
      <c r="J189" s="224"/>
      <c r="K189" s="224"/>
      <c r="L189" s="224"/>
      <c r="M189" s="224"/>
    </row>
    <row r="190" spans="2:13" s="219" customFormat="1" ht="24.75" hidden="1" thickTop="1" x14ac:dyDescent="0.55000000000000004">
      <c r="B190" s="221"/>
      <c r="C190" s="222"/>
      <c r="G190" s="270"/>
      <c r="H190" s="215"/>
      <c r="I190" s="224"/>
      <c r="J190" s="224"/>
      <c r="K190" s="224"/>
      <c r="L190" s="224"/>
      <c r="M190" s="224"/>
    </row>
    <row r="191" spans="2:13" s="219" customFormat="1" ht="24.75" hidden="1" thickTop="1" x14ac:dyDescent="0.55000000000000004">
      <c r="B191" s="221"/>
      <c r="C191" s="222"/>
      <c r="G191" s="270"/>
      <c r="H191" s="215"/>
      <c r="I191" s="224"/>
      <c r="J191" s="224"/>
      <c r="K191" s="224"/>
      <c r="L191" s="224"/>
      <c r="M191" s="224"/>
    </row>
    <row r="192" spans="2:13" s="219" customFormat="1" ht="24.75" hidden="1" thickTop="1" x14ac:dyDescent="0.55000000000000004">
      <c r="B192" s="221"/>
      <c r="C192" s="222"/>
      <c r="G192" s="270"/>
      <c r="H192" s="215"/>
      <c r="I192" s="224"/>
      <c r="J192" s="224"/>
      <c r="K192" s="224"/>
      <c r="L192" s="224"/>
      <c r="M192" s="224"/>
    </row>
    <row r="193" spans="2:13" s="219" customFormat="1" ht="24.75" hidden="1" thickTop="1" x14ac:dyDescent="0.55000000000000004">
      <c r="B193" s="221"/>
      <c r="C193" s="222"/>
      <c r="G193" s="270"/>
      <c r="H193" s="215"/>
      <c r="I193" s="224"/>
      <c r="J193" s="224"/>
      <c r="K193" s="224"/>
      <c r="L193" s="224"/>
      <c r="M193" s="224"/>
    </row>
    <row r="194" spans="2:13" s="219" customFormat="1" ht="24.75" hidden="1" thickTop="1" x14ac:dyDescent="0.55000000000000004">
      <c r="B194" s="221"/>
      <c r="C194" s="222"/>
      <c r="G194" s="270"/>
      <c r="H194" s="215"/>
      <c r="I194" s="224"/>
      <c r="J194" s="224"/>
      <c r="K194" s="224"/>
      <c r="L194" s="224"/>
      <c r="M194" s="224"/>
    </row>
    <row r="195" spans="2:13" s="219" customFormat="1" ht="24.75" hidden="1" thickTop="1" x14ac:dyDescent="0.55000000000000004">
      <c r="B195" s="221"/>
      <c r="C195" s="222"/>
      <c r="G195" s="270"/>
      <c r="H195" s="215"/>
      <c r="I195" s="224"/>
      <c r="J195" s="224"/>
      <c r="K195" s="224"/>
      <c r="L195" s="224"/>
      <c r="M195" s="224"/>
    </row>
    <row r="196" spans="2:13" s="219" customFormat="1" ht="24.75" hidden="1" thickTop="1" x14ac:dyDescent="0.55000000000000004">
      <c r="B196" s="221"/>
      <c r="C196" s="222"/>
      <c r="G196" s="270"/>
      <c r="H196" s="215"/>
      <c r="I196" s="224"/>
      <c r="J196" s="224"/>
      <c r="K196" s="224"/>
      <c r="L196" s="224"/>
      <c r="M196" s="224"/>
    </row>
    <row r="197" spans="2:13" s="219" customFormat="1" ht="24.75" hidden="1" thickTop="1" x14ac:dyDescent="0.55000000000000004">
      <c r="B197" s="221"/>
      <c r="C197" s="222"/>
      <c r="G197" s="270"/>
      <c r="H197" s="215"/>
      <c r="I197" s="224"/>
      <c r="J197" s="224"/>
      <c r="K197" s="224"/>
      <c r="L197" s="224"/>
      <c r="M197" s="224"/>
    </row>
    <row r="198" spans="2:13" s="219" customFormat="1" ht="24.75" hidden="1" thickTop="1" x14ac:dyDescent="0.55000000000000004">
      <c r="B198" s="221"/>
      <c r="C198" s="222"/>
      <c r="G198" s="270"/>
      <c r="H198" s="215"/>
      <c r="I198" s="224"/>
      <c r="J198" s="224"/>
      <c r="K198" s="224"/>
      <c r="L198" s="224"/>
      <c r="M198" s="224"/>
    </row>
    <row r="199" spans="2:13" s="219" customFormat="1" ht="24.75" hidden="1" thickTop="1" x14ac:dyDescent="0.55000000000000004">
      <c r="B199" s="221"/>
      <c r="C199" s="222"/>
      <c r="G199" s="270"/>
      <c r="H199" s="215"/>
      <c r="I199" s="224"/>
      <c r="J199" s="224"/>
      <c r="K199" s="224"/>
      <c r="L199" s="224"/>
      <c r="M199" s="224"/>
    </row>
    <row r="200" spans="2:13" s="219" customFormat="1" ht="24.75" hidden="1" thickTop="1" x14ac:dyDescent="0.55000000000000004">
      <c r="B200" s="221"/>
      <c r="C200" s="222"/>
      <c r="G200" s="270"/>
      <c r="H200" s="215"/>
      <c r="I200" s="224"/>
      <c r="J200" s="224"/>
      <c r="K200" s="224"/>
      <c r="L200" s="224"/>
      <c r="M200" s="224"/>
    </row>
    <row r="201" spans="2:13" s="219" customFormat="1" ht="24.75" hidden="1" thickTop="1" x14ac:dyDescent="0.55000000000000004">
      <c r="B201" s="221"/>
      <c r="C201" s="222"/>
      <c r="G201" s="270"/>
      <c r="H201" s="215"/>
      <c r="I201" s="224"/>
      <c r="J201" s="224"/>
      <c r="K201" s="224"/>
      <c r="L201" s="224"/>
      <c r="M201" s="224"/>
    </row>
    <row r="202" spans="2:13" s="219" customFormat="1" ht="24.75" hidden="1" thickTop="1" x14ac:dyDescent="0.55000000000000004">
      <c r="B202" s="221"/>
      <c r="C202" s="222"/>
      <c r="G202" s="270"/>
      <c r="H202" s="215"/>
      <c r="I202" s="224"/>
      <c r="J202" s="224"/>
      <c r="K202" s="224"/>
      <c r="L202" s="224"/>
      <c r="M202" s="224"/>
    </row>
    <row r="203" spans="2:13" s="219" customFormat="1" ht="24.75" hidden="1" thickTop="1" x14ac:dyDescent="0.55000000000000004">
      <c r="B203" s="221"/>
      <c r="C203" s="222"/>
      <c r="G203" s="270"/>
      <c r="H203" s="215"/>
      <c r="I203" s="224"/>
      <c r="J203" s="224"/>
      <c r="K203" s="224"/>
      <c r="L203" s="224"/>
      <c r="M203" s="224"/>
    </row>
    <row r="204" spans="2:13" s="219" customFormat="1" ht="24.75" hidden="1" thickTop="1" x14ac:dyDescent="0.55000000000000004">
      <c r="B204" s="221"/>
      <c r="C204" s="222"/>
      <c r="G204" s="270"/>
      <c r="H204" s="215"/>
      <c r="I204" s="224"/>
      <c r="J204" s="224"/>
      <c r="K204" s="224"/>
      <c r="L204" s="224"/>
      <c r="M204" s="224"/>
    </row>
    <row r="205" spans="2:13" s="219" customFormat="1" ht="24.75" hidden="1" thickTop="1" x14ac:dyDescent="0.55000000000000004">
      <c r="B205" s="221"/>
      <c r="C205" s="222"/>
      <c r="G205" s="270"/>
      <c r="H205" s="215"/>
      <c r="I205" s="224"/>
      <c r="J205" s="224"/>
      <c r="K205" s="224"/>
      <c r="L205" s="224"/>
      <c r="M205" s="224"/>
    </row>
    <row r="206" spans="2:13" s="219" customFormat="1" ht="24.75" hidden="1" thickTop="1" x14ac:dyDescent="0.55000000000000004">
      <c r="B206" s="221"/>
      <c r="C206" s="222"/>
      <c r="G206" s="270"/>
      <c r="H206" s="215"/>
      <c r="I206" s="224"/>
      <c r="J206" s="224"/>
      <c r="K206" s="224"/>
      <c r="L206" s="224"/>
      <c r="M206" s="224"/>
    </row>
    <row r="207" spans="2:13" s="219" customFormat="1" ht="24.75" hidden="1" thickTop="1" x14ac:dyDescent="0.55000000000000004">
      <c r="B207" s="221"/>
      <c r="C207" s="222"/>
      <c r="G207" s="270"/>
      <c r="H207" s="215"/>
      <c r="I207" s="224"/>
      <c r="J207" s="224"/>
      <c r="K207" s="224"/>
      <c r="L207" s="224"/>
      <c r="M207" s="224"/>
    </row>
    <row r="208" spans="2:13" s="219" customFormat="1" ht="24.75" hidden="1" thickTop="1" x14ac:dyDescent="0.55000000000000004">
      <c r="B208" s="221"/>
      <c r="C208" s="222"/>
      <c r="G208" s="270"/>
      <c r="H208" s="215"/>
      <c r="I208" s="224"/>
      <c r="J208" s="224"/>
      <c r="K208" s="224"/>
      <c r="L208" s="224"/>
      <c r="M208" s="224"/>
    </row>
    <row r="209" spans="1:13" s="219" customFormat="1" ht="24.75" hidden="1" thickTop="1" x14ac:dyDescent="0.55000000000000004">
      <c r="B209" s="221"/>
      <c r="C209" s="222"/>
      <c r="G209" s="270"/>
      <c r="H209" s="215"/>
      <c r="I209" s="224"/>
      <c r="J209" s="224"/>
      <c r="K209" s="224"/>
      <c r="L209" s="224"/>
      <c r="M209" s="224"/>
    </row>
    <row r="210" spans="1:13" s="219" customFormat="1" ht="24.75" hidden="1" thickTop="1" x14ac:dyDescent="0.55000000000000004">
      <c r="B210" s="221"/>
      <c r="C210" s="222"/>
      <c r="G210" s="270"/>
      <c r="H210" s="215"/>
      <c r="I210" s="224"/>
      <c r="J210" s="224"/>
      <c r="K210" s="224"/>
      <c r="L210" s="224"/>
      <c r="M210" s="224"/>
    </row>
    <row r="211" spans="1:13" s="219" customFormat="1" ht="24.75" hidden="1" thickTop="1" x14ac:dyDescent="0.55000000000000004">
      <c r="B211" s="221"/>
      <c r="C211" s="222"/>
      <c r="G211" s="270"/>
      <c r="H211" s="215"/>
      <c r="I211" s="224"/>
      <c r="J211" s="224"/>
      <c r="K211" s="224"/>
      <c r="L211" s="224"/>
      <c r="M211" s="224"/>
    </row>
    <row r="212" spans="1:13" s="219" customFormat="1" ht="24.75" hidden="1" thickTop="1" x14ac:dyDescent="0.55000000000000004">
      <c r="B212" s="221"/>
      <c r="C212" s="222"/>
      <c r="G212" s="270"/>
      <c r="H212" s="215"/>
      <c r="I212" s="224"/>
      <c r="J212" s="224"/>
      <c r="K212" s="224"/>
      <c r="L212" s="224"/>
      <c r="M212" s="224"/>
    </row>
    <row r="213" spans="1:13" s="219" customFormat="1" ht="24.75" hidden="1" thickTop="1" x14ac:dyDescent="0.55000000000000004">
      <c r="B213" s="221"/>
      <c r="C213" s="222"/>
      <c r="G213" s="270"/>
      <c r="H213" s="215"/>
      <c r="I213" s="224"/>
      <c r="J213" s="224"/>
      <c r="K213" s="224"/>
      <c r="L213" s="224"/>
      <c r="M213" s="224"/>
    </row>
    <row r="214" spans="1:13" s="219" customFormat="1" ht="24.75" hidden="1" thickTop="1" x14ac:dyDescent="0.55000000000000004">
      <c r="B214" s="221"/>
      <c r="C214" s="222"/>
      <c r="G214" s="270"/>
      <c r="H214" s="215"/>
      <c r="I214" s="224"/>
      <c r="J214" s="224"/>
      <c r="K214" s="224"/>
      <c r="L214" s="224"/>
      <c r="M214" s="224"/>
    </row>
    <row r="215" spans="1:13" s="219" customFormat="1" ht="24.75" hidden="1" thickTop="1" x14ac:dyDescent="0.55000000000000004">
      <c r="B215" s="221"/>
      <c r="C215" s="222"/>
      <c r="G215" s="270"/>
      <c r="H215" s="215"/>
      <c r="I215" s="224"/>
      <c r="J215" s="224"/>
      <c r="K215" s="224"/>
      <c r="L215" s="224"/>
      <c r="M215" s="224"/>
    </row>
    <row r="216" spans="1:13" s="219" customFormat="1" ht="24.75" hidden="1" thickTop="1" x14ac:dyDescent="0.55000000000000004">
      <c r="B216" s="221"/>
      <c r="C216" s="222"/>
      <c r="G216" s="270"/>
      <c r="H216" s="215"/>
      <c r="I216" s="224"/>
      <c r="J216" s="224"/>
      <c r="K216" s="224"/>
      <c r="L216" s="224"/>
      <c r="M216" s="224"/>
    </row>
    <row r="217" spans="1:13" s="219" customFormat="1" ht="24.75" hidden="1" thickTop="1" x14ac:dyDescent="0.55000000000000004">
      <c r="B217" s="221"/>
      <c r="C217" s="222"/>
      <c r="G217" s="270"/>
      <c r="H217" s="215"/>
      <c r="I217" s="224"/>
      <c r="J217" s="224"/>
      <c r="K217" s="224"/>
      <c r="L217" s="224"/>
      <c r="M217" s="224"/>
    </row>
    <row r="218" spans="1:13" s="219" customFormat="1" ht="24.75" hidden="1" thickTop="1" x14ac:dyDescent="0.55000000000000004">
      <c r="B218" s="221"/>
      <c r="C218" s="222"/>
      <c r="G218" s="270"/>
      <c r="H218" s="215"/>
      <c r="I218" s="224"/>
      <c r="J218" s="224"/>
      <c r="K218" s="224"/>
      <c r="L218" s="224"/>
      <c r="M218" s="224"/>
    </row>
    <row r="219" spans="1:13" s="219" customFormat="1" ht="24.75" hidden="1" thickTop="1" x14ac:dyDescent="0.55000000000000004">
      <c r="B219" s="221"/>
      <c r="C219" s="222"/>
      <c r="G219" s="270"/>
      <c r="H219" s="215"/>
      <c r="I219" s="224"/>
      <c r="J219" s="224"/>
      <c r="K219" s="224"/>
      <c r="L219" s="224"/>
      <c r="M219" s="224"/>
    </row>
    <row r="220" spans="1:13" s="219" customFormat="1" ht="24.75" hidden="1" thickTop="1" x14ac:dyDescent="0.55000000000000004">
      <c r="B220" s="221"/>
      <c r="C220" s="222"/>
      <c r="G220" s="270"/>
      <c r="H220" s="215"/>
      <c r="I220" s="224"/>
      <c r="J220" s="224"/>
      <c r="K220" s="224"/>
      <c r="L220" s="224"/>
      <c r="M220" s="224"/>
    </row>
    <row r="221" spans="1:13" s="219" customFormat="1" ht="24.75" hidden="1" thickTop="1" x14ac:dyDescent="0.55000000000000004">
      <c r="B221" s="221"/>
      <c r="C221" s="222"/>
      <c r="G221" s="270"/>
      <c r="H221" s="215"/>
      <c r="I221" s="224"/>
      <c r="J221" s="224"/>
      <c r="K221" s="224"/>
      <c r="L221" s="224"/>
      <c r="M221" s="224"/>
    </row>
    <row r="222" spans="1:13" s="219" customFormat="1" ht="24.75" hidden="1" thickTop="1" x14ac:dyDescent="0.55000000000000004">
      <c r="B222" s="221"/>
      <c r="C222" s="222"/>
      <c r="G222" s="270"/>
      <c r="H222" s="215"/>
      <c r="I222" s="224"/>
      <c r="J222" s="224"/>
      <c r="K222" s="224"/>
      <c r="L222" s="224"/>
      <c r="M222" s="224"/>
    </row>
    <row r="223" spans="1:13" s="219" customFormat="1" ht="24" x14ac:dyDescent="0.55000000000000004">
      <c r="A223" s="225" t="s">
        <v>160</v>
      </c>
      <c r="B223" s="682"/>
      <c r="C223" s="225" t="s">
        <v>690</v>
      </c>
      <c r="G223" s="270"/>
      <c r="H223" s="215"/>
      <c r="I223" s="224"/>
      <c r="J223" s="224"/>
      <c r="K223" s="224"/>
      <c r="L223" s="224"/>
      <c r="M223" s="224"/>
    </row>
    <row r="224" spans="1:13" hidden="1" x14ac:dyDescent="0.65">
      <c r="D224" s="484">
        <v>1397262100</v>
      </c>
    </row>
    <row r="225" spans="4:6" hidden="1" x14ac:dyDescent="0.65">
      <c r="D225" s="484">
        <v>1397262100</v>
      </c>
    </row>
    <row r="226" spans="4:6" hidden="1" x14ac:dyDescent="0.65">
      <c r="D226" s="487">
        <f>+D225-D104</f>
        <v>702236100</v>
      </c>
    </row>
    <row r="227" spans="4:6" hidden="1" x14ac:dyDescent="0.65">
      <c r="D227" s="484">
        <v>349315600</v>
      </c>
    </row>
    <row r="228" spans="4:6" hidden="1" x14ac:dyDescent="0.65">
      <c r="F228" s="484">
        <v>806824300.38999999</v>
      </c>
    </row>
    <row r="229" spans="4:6" hidden="1" x14ac:dyDescent="0.65">
      <c r="F229" s="487">
        <f>+F228-F104</f>
        <v>350846076.12000006</v>
      </c>
    </row>
    <row r="230" spans="4:6" hidden="1" x14ac:dyDescent="0.65">
      <c r="D230" s="670">
        <f>+D103+D14</f>
        <v>6867808</v>
      </c>
    </row>
  </sheetData>
  <mergeCells count="8">
    <mergeCell ref="A104:C104"/>
    <mergeCell ref="A1:H1"/>
    <mergeCell ref="A2:H2"/>
    <mergeCell ref="A3:H3"/>
    <mergeCell ref="A4:H4"/>
    <mergeCell ref="A5:H5"/>
    <mergeCell ref="A6:A7"/>
    <mergeCell ref="B6:C7"/>
  </mergeCells>
  <pageMargins left="0.31496062992125984" right="0" top="0.74803149606299213" bottom="0.74803149606299213" header="0.31496062992125984" footer="0.31496062992125984"/>
  <pageSetup paperSize="9" scale="98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0"/>
  <sheetViews>
    <sheetView zoomScaleNormal="100" workbookViewId="0">
      <selection activeCell="F9" sqref="F9"/>
    </sheetView>
  </sheetViews>
  <sheetFormatPr defaultRowHeight="27.75" x14ac:dyDescent="0.65"/>
  <cols>
    <col min="1" max="1" width="6.85546875" style="484" customWidth="1"/>
    <col min="2" max="2" width="4.7109375" style="485" customWidth="1"/>
    <col min="3" max="3" width="14.85546875" style="486" customWidth="1"/>
    <col min="4" max="4" width="17.140625" style="484" customWidth="1"/>
    <col min="5" max="5" width="19.28515625" style="483" customWidth="1"/>
    <col min="6" max="6" width="19.28515625" style="484" customWidth="1"/>
    <col min="7" max="7" width="19.28515625" style="488" customWidth="1"/>
    <col min="8" max="9" width="14.28515625" style="477" customWidth="1"/>
    <col min="10" max="10" width="16.140625" style="484" hidden="1" customWidth="1"/>
    <col min="11" max="16384" width="9.140625" style="484"/>
  </cols>
  <sheetData>
    <row r="1" spans="1:10" s="477" customFormat="1" x14ac:dyDescent="0.65">
      <c r="A1" s="1251" t="s">
        <v>57</v>
      </c>
      <c r="B1" s="1251"/>
      <c r="C1" s="1251"/>
      <c r="D1" s="1251"/>
      <c r="E1" s="1251"/>
      <c r="F1" s="1251"/>
      <c r="G1" s="1251"/>
      <c r="H1" s="1251"/>
      <c r="I1" s="1251"/>
    </row>
    <row r="2" spans="1:10" s="477" customFormat="1" x14ac:dyDescent="0.65">
      <c r="A2" s="1252" t="str">
        <f>+'3.งบบุคลากร (GF)'!A2:H2</f>
        <v xml:space="preserve">สรุปสถานะการใช้จ่ายเงินงบประมาณประจำปีงบประมาณ พ.ศ. 2565 ในระบบ GFMIS     </v>
      </c>
      <c r="B2" s="1252"/>
      <c r="C2" s="1252"/>
      <c r="D2" s="1252"/>
      <c r="E2" s="1252"/>
      <c r="F2" s="1252"/>
      <c r="G2" s="1252"/>
      <c r="H2" s="1252"/>
      <c r="I2" s="1252"/>
    </row>
    <row r="3" spans="1:10" s="477" customFormat="1" ht="29.25" hidden="1" customHeight="1" x14ac:dyDescent="0.65">
      <c r="A3" s="1252" t="s">
        <v>241</v>
      </c>
      <c r="B3" s="1252"/>
      <c r="C3" s="1252"/>
      <c r="D3" s="1252"/>
      <c r="E3" s="1252"/>
      <c r="F3" s="1252"/>
      <c r="G3" s="1252"/>
      <c r="H3" s="1252"/>
    </row>
    <row r="4" spans="1:10" s="477" customFormat="1" x14ac:dyDescent="0.65">
      <c r="A4" s="1252" t="s">
        <v>265</v>
      </c>
      <c r="B4" s="1252"/>
      <c r="C4" s="1252"/>
      <c r="D4" s="1252"/>
      <c r="E4" s="1252"/>
      <c r="F4" s="1252"/>
      <c r="G4" s="1252"/>
      <c r="H4" s="1252"/>
      <c r="I4" s="1252"/>
    </row>
    <row r="5" spans="1:10" s="477" customFormat="1" x14ac:dyDescent="0.65">
      <c r="A5" s="1277" t="str">
        <f>+รายจ่ายจริง!A3:P3</f>
        <v>ตั้งแต่วันที่ 1  ตุลาคม 2564 ถึงวันที่ 31 มกราคม 2565</v>
      </c>
      <c r="B5" s="1277"/>
      <c r="C5" s="1277"/>
      <c r="D5" s="1277"/>
      <c r="E5" s="1277"/>
      <c r="F5" s="1277"/>
      <c r="G5" s="1277"/>
      <c r="H5" s="1277"/>
      <c r="I5" s="1277"/>
    </row>
    <row r="6" spans="1:10" s="514" customFormat="1" x14ac:dyDescent="0.65">
      <c r="A6" s="1281" t="s">
        <v>0</v>
      </c>
      <c r="B6" s="1283" t="s">
        <v>1</v>
      </c>
      <c r="C6" s="1284"/>
      <c r="D6" s="478" t="s">
        <v>66</v>
      </c>
      <c r="E6" s="489" t="s">
        <v>104</v>
      </c>
      <c r="F6" s="478" t="s">
        <v>105</v>
      </c>
      <c r="G6" s="478" t="s">
        <v>60</v>
      </c>
      <c r="H6" s="490" t="s">
        <v>65</v>
      </c>
      <c r="I6" s="490" t="s">
        <v>65</v>
      </c>
    </row>
    <row r="7" spans="1:10" s="477" customFormat="1" x14ac:dyDescent="0.65">
      <c r="A7" s="1282"/>
      <c r="B7" s="1285"/>
      <c r="C7" s="1286"/>
      <c r="D7" s="481" t="s">
        <v>2</v>
      </c>
      <c r="E7" s="482" t="s">
        <v>2</v>
      </c>
      <c r="F7" s="481" t="s">
        <v>2</v>
      </c>
      <c r="G7" s="481" t="s">
        <v>2</v>
      </c>
      <c r="H7" s="492" t="s">
        <v>106</v>
      </c>
      <c r="I7" s="492" t="s">
        <v>629</v>
      </c>
    </row>
    <row r="8" spans="1:10" s="219" customFormat="1" ht="24" x14ac:dyDescent="0.55000000000000004">
      <c r="A8" s="216">
        <v>1</v>
      </c>
      <c r="B8" s="48" t="s">
        <v>107</v>
      </c>
      <c r="C8" s="217"/>
      <c r="D8" s="305">
        <v>28664711.760000002</v>
      </c>
      <c r="E8" s="299">
        <v>14086479.560000001</v>
      </c>
      <c r="F8" s="305">
        <v>6993356.9299999997</v>
      </c>
      <c r="G8" s="231">
        <f>+D8-E8-F8</f>
        <v>7584875.2700000014</v>
      </c>
      <c r="H8" s="230">
        <f>F8*100/D8</f>
        <v>24.397094896864925</v>
      </c>
      <c r="I8" s="230">
        <f>+J8*100/D8</f>
        <v>73.539328308947916</v>
      </c>
      <c r="J8" s="515">
        <f>+E8+F8</f>
        <v>21079836.490000002</v>
      </c>
    </row>
    <row r="9" spans="1:10" s="219" customFormat="1" ht="24" x14ac:dyDescent="0.55000000000000004">
      <c r="A9" s="216">
        <v>2</v>
      </c>
      <c r="B9" s="48" t="s">
        <v>108</v>
      </c>
      <c r="C9" s="217" t="s">
        <v>109</v>
      </c>
      <c r="D9" s="305">
        <v>5137708</v>
      </c>
      <c r="E9" s="305">
        <v>375400</v>
      </c>
      <c r="F9" s="305">
        <v>4187413.94</v>
      </c>
      <c r="G9" s="231">
        <f t="shared" ref="G9:G72" si="0">+D9-E9-F9</f>
        <v>574894.06000000006</v>
      </c>
      <c r="H9" s="230">
        <f t="shared" ref="H9:H72" si="1">F9*100/D9</f>
        <v>81.50354087853961</v>
      </c>
      <c r="I9" s="230">
        <f t="shared" ref="I9:I72" si="2">+J9*100/D9</f>
        <v>88.81030101360372</v>
      </c>
      <c r="J9" s="515">
        <f t="shared" ref="J9:J72" si="3">+E9+F9</f>
        <v>4562813.9399999995</v>
      </c>
    </row>
    <row r="10" spans="1:10" s="219" customFormat="1" ht="24" x14ac:dyDescent="0.55000000000000004">
      <c r="A10" s="216">
        <v>3</v>
      </c>
      <c r="B10" s="48" t="s">
        <v>110</v>
      </c>
      <c r="C10" s="217" t="s">
        <v>18</v>
      </c>
      <c r="D10" s="305">
        <v>4533907</v>
      </c>
      <c r="E10" s="305">
        <v>556955.31999999995</v>
      </c>
      <c r="F10" s="305">
        <v>2872985.88</v>
      </c>
      <c r="G10" s="231">
        <f t="shared" si="0"/>
        <v>1103965.8000000003</v>
      </c>
      <c r="H10" s="230">
        <f t="shared" si="1"/>
        <v>63.366669850087355</v>
      </c>
      <c r="I10" s="230">
        <f t="shared" si="2"/>
        <v>75.65089447136873</v>
      </c>
      <c r="J10" s="515">
        <f t="shared" si="3"/>
        <v>3429941.1999999997</v>
      </c>
    </row>
    <row r="11" spans="1:10" s="219" customFormat="1" ht="24" x14ac:dyDescent="0.55000000000000004">
      <c r="A11" s="216">
        <v>4</v>
      </c>
      <c r="B11" s="48" t="s">
        <v>110</v>
      </c>
      <c r="C11" s="217" t="s">
        <v>75</v>
      </c>
      <c r="D11" s="305">
        <v>2011621</v>
      </c>
      <c r="E11" s="305">
        <v>249980.3</v>
      </c>
      <c r="F11" s="305">
        <v>747004.9</v>
      </c>
      <c r="G11" s="231">
        <f t="shared" si="0"/>
        <v>1014635.7999999999</v>
      </c>
      <c r="H11" s="230">
        <f t="shared" si="1"/>
        <v>37.134475132244098</v>
      </c>
      <c r="I11" s="230">
        <f t="shared" si="2"/>
        <v>49.561284158397633</v>
      </c>
      <c r="J11" s="515">
        <f t="shared" si="3"/>
        <v>996985.2</v>
      </c>
    </row>
    <row r="12" spans="1:10" s="219" customFormat="1" ht="24" x14ac:dyDescent="0.55000000000000004">
      <c r="A12" s="216">
        <v>5</v>
      </c>
      <c r="B12" s="48" t="s">
        <v>110</v>
      </c>
      <c r="C12" s="217" t="s">
        <v>111</v>
      </c>
      <c r="D12" s="305">
        <v>2078880</v>
      </c>
      <c r="E12" s="305">
        <v>401913.8</v>
      </c>
      <c r="F12" s="305">
        <v>1332368.44</v>
      </c>
      <c r="G12" s="231">
        <f t="shared" si="0"/>
        <v>344597.76000000001</v>
      </c>
      <c r="H12" s="230">
        <f t="shared" si="1"/>
        <v>64.090685369044877</v>
      </c>
      <c r="I12" s="230">
        <f t="shared" si="2"/>
        <v>83.423874393904413</v>
      </c>
      <c r="J12" s="515">
        <f t="shared" si="3"/>
        <v>1734282.24</v>
      </c>
    </row>
    <row r="13" spans="1:10" s="219" customFormat="1" ht="24" x14ac:dyDescent="0.55000000000000004">
      <c r="A13" s="216">
        <v>6</v>
      </c>
      <c r="B13" s="48" t="s">
        <v>110</v>
      </c>
      <c r="C13" s="217" t="s">
        <v>72</v>
      </c>
      <c r="D13" s="305">
        <v>1829022</v>
      </c>
      <c r="E13" s="305">
        <v>212233.8</v>
      </c>
      <c r="F13" s="305">
        <v>992436.17</v>
      </c>
      <c r="G13" s="231">
        <f t="shared" si="0"/>
        <v>624352.02999999991</v>
      </c>
      <c r="H13" s="230">
        <f t="shared" si="1"/>
        <v>54.260482924754321</v>
      </c>
      <c r="I13" s="230">
        <f t="shared" si="2"/>
        <v>65.864159643787772</v>
      </c>
      <c r="J13" s="515">
        <f t="shared" si="3"/>
        <v>1204669.97</v>
      </c>
    </row>
    <row r="14" spans="1:10" s="219" customFormat="1" ht="24" x14ac:dyDescent="0.55000000000000004">
      <c r="A14" s="216">
        <v>7</v>
      </c>
      <c r="B14" s="48" t="s">
        <v>110</v>
      </c>
      <c r="C14" s="217" t="s">
        <v>101</v>
      </c>
      <c r="D14" s="305">
        <f>2839267-37116</f>
        <v>2802151</v>
      </c>
      <c r="E14" s="305">
        <v>806098.41</v>
      </c>
      <c r="F14" s="305">
        <v>1810578.72</v>
      </c>
      <c r="G14" s="231">
        <f t="shared" si="0"/>
        <v>185473.86999999988</v>
      </c>
      <c r="H14" s="230">
        <f t="shared" si="1"/>
        <v>64.613888402159631</v>
      </c>
      <c r="I14" s="230">
        <f t="shared" si="2"/>
        <v>93.381018010806699</v>
      </c>
      <c r="J14" s="515">
        <f t="shared" si="3"/>
        <v>2616677.13</v>
      </c>
    </row>
    <row r="15" spans="1:10" s="219" customFormat="1" ht="24" x14ac:dyDescent="0.55000000000000004">
      <c r="A15" s="216">
        <v>8</v>
      </c>
      <c r="B15" s="48" t="s">
        <v>110</v>
      </c>
      <c r="C15" s="217" t="s">
        <v>112</v>
      </c>
      <c r="D15" s="305">
        <v>3392417</v>
      </c>
      <c r="E15" s="305">
        <v>758722.76</v>
      </c>
      <c r="F15" s="305">
        <v>1271933.19</v>
      </c>
      <c r="G15" s="231">
        <f t="shared" si="0"/>
        <v>1361761.0500000003</v>
      </c>
      <c r="H15" s="230">
        <f t="shared" si="1"/>
        <v>37.493421062328125</v>
      </c>
      <c r="I15" s="230">
        <f t="shared" si="2"/>
        <v>59.85867745622074</v>
      </c>
      <c r="J15" s="515">
        <f t="shared" si="3"/>
        <v>2030655.95</v>
      </c>
    </row>
    <row r="16" spans="1:10" s="219" customFormat="1" ht="24" x14ac:dyDescent="0.55000000000000004">
      <c r="A16" s="216">
        <v>9</v>
      </c>
      <c r="B16" s="48" t="s">
        <v>110</v>
      </c>
      <c r="C16" s="217" t="s">
        <v>113</v>
      </c>
      <c r="D16" s="305">
        <v>3799735</v>
      </c>
      <c r="E16" s="305">
        <v>1631981.4</v>
      </c>
      <c r="F16" s="305">
        <v>1698901.82</v>
      </c>
      <c r="G16" s="231">
        <f t="shared" si="0"/>
        <v>468851.78</v>
      </c>
      <c r="H16" s="230">
        <f t="shared" si="1"/>
        <v>44.711060639755139</v>
      </c>
      <c r="I16" s="230">
        <f t="shared" si="2"/>
        <v>87.660934775714622</v>
      </c>
      <c r="J16" s="515">
        <f t="shared" si="3"/>
        <v>3330883.2199999997</v>
      </c>
    </row>
    <row r="17" spans="1:10" s="219" customFormat="1" ht="24" x14ac:dyDescent="0.55000000000000004">
      <c r="A17" s="216">
        <v>10</v>
      </c>
      <c r="B17" s="48" t="s">
        <v>110</v>
      </c>
      <c r="C17" s="217" t="s">
        <v>114</v>
      </c>
      <c r="D17" s="305">
        <v>6717494</v>
      </c>
      <c r="E17" s="305">
        <v>1800810.65</v>
      </c>
      <c r="F17" s="305">
        <v>3031322.71</v>
      </c>
      <c r="G17" s="231">
        <f t="shared" si="0"/>
        <v>1885360.6399999997</v>
      </c>
      <c r="H17" s="230">
        <f t="shared" si="1"/>
        <v>45.125797060630049</v>
      </c>
      <c r="I17" s="230">
        <f t="shared" si="2"/>
        <v>71.933571656334934</v>
      </c>
      <c r="J17" s="515">
        <f t="shared" si="3"/>
        <v>4832133.3599999994</v>
      </c>
    </row>
    <row r="18" spans="1:10" s="219" customFormat="1" ht="24" x14ac:dyDescent="0.55000000000000004">
      <c r="A18" s="216">
        <v>11</v>
      </c>
      <c r="B18" s="48" t="s">
        <v>110</v>
      </c>
      <c r="C18" s="217" t="s">
        <v>115</v>
      </c>
      <c r="D18" s="305">
        <v>7620884</v>
      </c>
      <c r="E18" s="305">
        <v>3334499.35</v>
      </c>
      <c r="F18" s="305">
        <v>3406212.68</v>
      </c>
      <c r="G18" s="231">
        <f t="shared" si="0"/>
        <v>880171.9700000002</v>
      </c>
      <c r="H18" s="230">
        <f t="shared" si="1"/>
        <v>44.69576862736659</v>
      </c>
      <c r="I18" s="230">
        <f t="shared" si="2"/>
        <v>88.450526605574893</v>
      </c>
      <c r="J18" s="515">
        <f t="shared" si="3"/>
        <v>6740712.0300000003</v>
      </c>
    </row>
    <row r="19" spans="1:10" s="219" customFormat="1" ht="24" x14ac:dyDescent="0.55000000000000004">
      <c r="A19" s="216">
        <v>12</v>
      </c>
      <c r="B19" s="48" t="s">
        <v>110</v>
      </c>
      <c r="C19" s="217" t="s">
        <v>116</v>
      </c>
      <c r="D19" s="305">
        <v>8111654</v>
      </c>
      <c r="E19" s="305">
        <v>5260105.18</v>
      </c>
      <c r="F19" s="305">
        <v>2128577.89</v>
      </c>
      <c r="G19" s="231">
        <f t="shared" si="0"/>
        <v>722970.93000000017</v>
      </c>
      <c r="H19" s="230">
        <f t="shared" si="1"/>
        <v>26.240984760937781</v>
      </c>
      <c r="I19" s="230">
        <f t="shared" si="2"/>
        <v>91.087256310488584</v>
      </c>
      <c r="J19" s="515">
        <f t="shared" si="3"/>
        <v>7388683.0700000003</v>
      </c>
    </row>
    <row r="20" spans="1:10" s="219" customFormat="1" ht="24" x14ac:dyDescent="0.55000000000000004">
      <c r="A20" s="216">
        <v>13</v>
      </c>
      <c r="B20" s="48" t="s">
        <v>110</v>
      </c>
      <c r="C20" s="217" t="s">
        <v>117</v>
      </c>
      <c r="D20" s="305">
        <v>5060566</v>
      </c>
      <c r="E20" s="305">
        <v>999581.05</v>
      </c>
      <c r="F20" s="305">
        <v>2821270.41</v>
      </c>
      <c r="G20" s="231">
        <f t="shared" si="0"/>
        <v>1239714.54</v>
      </c>
      <c r="H20" s="230">
        <f t="shared" si="1"/>
        <v>55.75009613549156</v>
      </c>
      <c r="I20" s="230">
        <f t="shared" si="2"/>
        <v>75.502452887680946</v>
      </c>
      <c r="J20" s="515">
        <f t="shared" si="3"/>
        <v>3820851.46</v>
      </c>
    </row>
    <row r="21" spans="1:10" s="219" customFormat="1" ht="24" x14ac:dyDescent="0.55000000000000004">
      <c r="A21" s="216">
        <v>14</v>
      </c>
      <c r="B21" s="48" t="s">
        <v>110</v>
      </c>
      <c r="C21" s="217" t="s">
        <v>118</v>
      </c>
      <c r="D21" s="305">
        <v>6707830</v>
      </c>
      <c r="E21" s="305">
        <v>2312255.4</v>
      </c>
      <c r="F21" s="305">
        <v>3673042.67</v>
      </c>
      <c r="G21" s="231">
        <f t="shared" si="0"/>
        <v>722531.9299999997</v>
      </c>
      <c r="H21" s="230">
        <f t="shared" si="1"/>
        <v>54.757539621606391</v>
      </c>
      <c r="I21" s="230">
        <f t="shared" si="2"/>
        <v>89.228529494635367</v>
      </c>
      <c r="J21" s="515">
        <f t="shared" si="3"/>
        <v>5985298.0700000003</v>
      </c>
    </row>
    <row r="22" spans="1:10" s="219" customFormat="1" ht="24" x14ac:dyDescent="0.55000000000000004">
      <c r="A22" s="216">
        <v>15</v>
      </c>
      <c r="B22" s="48" t="s">
        <v>110</v>
      </c>
      <c r="C22" s="217" t="s">
        <v>119</v>
      </c>
      <c r="D22" s="305">
        <v>4472637</v>
      </c>
      <c r="E22" s="305">
        <v>79290</v>
      </c>
      <c r="F22" s="305">
        <v>2448020.89</v>
      </c>
      <c r="G22" s="231">
        <f t="shared" si="0"/>
        <v>1945326.1099999999</v>
      </c>
      <c r="H22" s="230">
        <f t="shared" si="1"/>
        <v>54.733279047684846</v>
      </c>
      <c r="I22" s="230">
        <f t="shared" si="2"/>
        <v>56.50605873000648</v>
      </c>
      <c r="J22" s="515">
        <f t="shared" si="3"/>
        <v>2527310.89</v>
      </c>
    </row>
    <row r="23" spans="1:10" s="219" customFormat="1" ht="24" x14ac:dyDescent="0.55000000000000004">
      <c r="A23" s="216">
        <v>16</v>
      </c>
      <c r="B23" s="48" t="s">
        <v>110</v>
      </c>
      <c r="C23" s="217" t="s">
        <v>120</v>
      </c>
      <c r="D23" s="305">
        <v>3587535.03</v>
      </c>
      <c r="E23" s="305">
        <v>478123</v>
      </c>
      <c r="F23" s="305">
        <v>2723579.27</v>
      </c>
      <c r="G23" s="231">
        <f t="shared" si="0"/>
        <v>385832.75999999978</v>
      </c>
      <c r="H23" s="230">
        <f t="shared" si="1"/>
        <v>75.917844626593094</v>
      </c>
      <c r="I23" s="230">
        <f t="shared" si="2"/>
        <v>89.245184875588521</v>
      </c>
      <c r="J23" s="515">
        <f t="shared" si="3"/>
        <v>3201702.27</v>
      </c>
    </row>
    <row r="24" spans="1:10" s="219" customFormat="1" ht="24" x14ac:dyDescent="0.55000000000000004">
      <c r="A24" s="216">
        <v>17</v>
      </c>
      <c r="B24" s="48" t="s">
        <v>108</v>
      </c>
      <c r="C24" s="217" t="s">
        <v>121</v>
      </c>
      <c r="D24" s="305">
        <v>2707041</v>
      </c>
      <c r="E24" s="930"/>
      <c r="F24" s="305">
        <v>1705818.69</v>
      </c>
      <c r="G24" s="231">
        <f t="shared" si="0"/>
        <v>1001222.31</v>
      </c>
      <c r="H24" s="230">
        <f t="shared" si="1"/>
        <v>63.014143117891457</v>
      </c>
      <c r="I24" s="230">
        <f t="shared" si="2"/>
        <v>63.014143117891457</v>
      </c>
      <c r="J24" s="515">
        <f t="shared" si="3"/>
        <v>1705818.69</v>
      </c>
    </row>
    <row r="25" spans="1:10" s="219" customFormat="1" ht="24" x14ac:dyDescent="0.55000000000000004">
      <c r="A25" s="216">
        <v>18</v>
      </c>
      <c r="B25" s="48" t="s">
        <v>108</v>
      </c>
      <c r="C25" s="217" t="s">
        <v>122</v>
      </c>
      <c r="D25" s="305">
        <v>1426473</v>
      </c>
      <c r="E25" s="930"/>
      <c r="F25" s="305">
        <v>777097.14</v>
      </c>
      <c r="G25" s="231">
        <f t="shared" si="0"/>
        <v>649375.86</v>
      </c>
      <c r="H25" s="230">
        <f t="shared" si="1"/>
        <v>54.476820802076169</v>
      </c>
      <c r="I25" s="230">
        <f t="shared" si="2"/>
        <v>54.476820802076169</v>
      </c>
      <c r="J25" s="515">
        <f t="shared" si="3"/>
        <v>777097.14</v>
      </c>
    </row>
    <row r="26" spans="1:10" s="219" customFormat="1" ht="24" x14ac:dyDescent="0.55000000000000004">
      <c r="A26" s="216">
        <v>19</v>
      </c>
      <c r="B26" s="48" t="s">
        <v>108</v>
      </c>
      <c r="C26" s="217" t="s">
        <v>19</v>
      </c>
      <c r="D26" s="305">
        <v>1549796</v>
      </c>
      <c r="E26" s="305">
        <v>2419.1999999999998</v>
      </c>
      <c r="F26" s="305">
        <v>975768.99</v>
      </c>
      <c r="G26" s="231">
        <f t="shared" si="0"/>
        <v>571607.81000000006</v>
      </c>
      <c r="H26" s="230">
        <f t="shared" si="1"/>
        <v>62.961124560909951</v>
      </c>
      <c r="I26" s="230">
        <f t="shared" si="2"/>
        <v>63.117222524771002</v>
      </c>
      <c r="J26" s="515">
        <f t="shared" si="3"/>
        <v>978188.19</v>
      </c>
    </row>
    <row r="27" spans="1:10" s="219" customFormat="1" ht="24" x14ac:dyDescent="0.55000000000000004">
      <c r="A27" s="216">
        <v>20</v>
      </c>
      <c r="B27" s="48" t="s">
        <v>108</v>
      </c>
      <c r="C27" s="217" t="s">
        <v>20</v>
      </c>
      <c r="D27" s="305">
        <v>1647950</v>
      </c>
      <c r="E27" s="930"/>
      <c r="F27" s="305">
        <v>1128584.8700000001</v>
      </c>
      <c r="G27" s="231">
        <f t="shared" si="0"/>
        <v>519365.12999999989</v>
      </c>
      <c r="H27" s="230">
        <f t="shared" si="1"/>
        <v>68.484169422615992</v>
      </c>
      <c r="I27" s="230">
        <f t="shared" si="2"/>
        <v>68.484169422615992</v>
      </c>
      <c r="J27" s="515">
        <f t="shared" si="3"/>
        <v>1128584.8700000001</v>
      </c>
    </row>
    <row r="28" spans="1:10" s="219" customFormat="1" ht="24" x14ac:dyDescent="0.55000000000000004">
      <c r="A28" s="216">
        <v>21</v>
      </c>
      <c r="B28" s="48" t="s">
        <v>108</v>
      </c>
      <c r="C28" s="217" t="s">
        <v>123</v>
      </c>
      <c r="D28" s="305">
        <v>602165</v>
      </c>
      <c r="E28" s="305">
        <v>26800</v>
      </c>
      <c r="F28" s="305">
        <v>299903.09999999998</v>
      </c>
      <c r="G28" s="231">
        <f t="shared" si="0"/>
        <v>275461.90000000002</v>
      </c>
      <c r="H28" s="230">
        <f t="shared" si="1"/>
        <v>49.804140061278879</v>
      </c>
      <c r="I28" s="230">
        <f t="shared" si="2"/>
        <v>54.254747452940634</v>
      </c>
      <c r="J28" s="515">
        <f t="shared" si="3"/>
        <v>326703.09999999998</v>
      </c>
    </row>
    <row r="29" spans="1:10" s="219" customFormat="1" ht="24" x14ac:dyDescent="0.55000000000000004">
      <c r="A29" s="216">
        <v>22</v>
      </c>
      <c r="B29" s="48" t="s">
        <v>108</v>
      </c>
      <c r="C29" s="217" t="s">
        <v>124</v>
      </c>
      <c r="D29" s="305">
        <v>619520</v>
      </c>
      <c r="E29" s="930"/>
      <c r="F29" s="305">
        <v>408010.18</v>
      </c>
      <c r="G29" s="231">
        <f t="shared" si="0"/>
        <v>211509.82</v>
      </c>
      <c r="H29" s="230">
        <f t="shared" si="1"/>
        <v>65.859081224173551</v>
      </c>
      <c r="I29" s="230">
        <f t="shared" si="2"/>
        <v>65.859081224173551</v>
      </c>
      <c r="J29" s="515">
        <f t="shared" si="3"/>
        <v>408010.18</v>
      </c>
    </row>
    <row r="30" spans="1:10" s="219" customFormat="1" ht="24" x14ac:dyDescent="0.55000000000000004">
      <c r="A30" s="216">
        <v>23</v>
      </c>
      <c r="B30" s="48" t="s">
        <v>108</v>
      </c>
      <c r="C30" s="217" t="s">
        <v>125</v>
      </c>
      <c r="D30" s="305">
        <v>1989950</v>
      </c>
      <c r="E30" s="305">
        <v>188431</v>
      </c>
      <c r="F30" s="305">
        <v>1110775.9099999999</v>
      </c>
      <c r="G30" s="231">
        <f t="shared" si="0"/>
        <v>690743.09000000008</v>
      </c>
      <c r="H30" s="230">
        <f t="shared" si="1"/>
        <v>55.819287419281885</v>
      </c>
      <c r="I30" s="230">
        <f t="shared" si="2"/>
        <v>65.288419809542944</v>
      </c>
      <c r="J30" s="515">
        <f t="shared" si="3"/>
        <v>1299206.9099999999</v>
      </c>
    </row>
    <row r="31" spans="1:10" s="219" customFormat="1" ht="24" x14ac:dyDescent="0.55000000000000004">
      <c r="A31" s="216">
        <v>24</v>
      </c>
      <c r="B31" s="48" t="s">
        <v>108</v>
      </c>
      <c r="C31" s="217" t="s">
        <v>21</v>
      </c>
      <c r="D31" s="305">
        <v>1740175</v>
      </c>
      <c r="E31" s="305">
        <v>28095.8</v>
      </c>
      <c r="F31" s="305">
        <v>801014.51</v>
      </c>
      <c r="G31" s="231">
        <f t="shared" si="0"/>
        <v>911064.69</v>
      </c>
      <c r="H31" s="230">
        <f t="shared" si="1"/>
        <v>46.030687143534415</v>
      </c>
      <c r="I31" s="230">
        <f t="shared" si="2"/>
        <v>47.64522591118709</v>
      </c>
      <c r="J31" s="515">
        <f t="shared" si="3"/>
        <v>829110.31</v>
      </c>
    </row>
    <row r="32" spans="1:10" s="219" customFormat="1" ht="24" x14ac:dyDescent="0.55000000000000004">
      <c r="A32" s="216">
        <v>25</v>
      </c>
      <c r="B32" s="48" t="s">
        <v>108</v>
      </c>
      <c r="C32" s="217" t="s">
        <v>22</v>
      </c>
      <c r="D32" s="305">
        <v>1748452</v>
      </c>
      <c r="E32" s="305">
        <v>133044.21</v>
      </c>
      <c r="F32" s="305">
        <v>1285735.47</v>
      </c>
      <c r="G32" s="231">
        <f t="shared" si="0"/>
        <v>329672.32000000007</v>
      </c>
      <c r="H32" s="230">
        <f t="shared" si="1"/>
        <v>73.535645816985536</v>
      </c>
      <c r="I32" s="230">
        <f t="shared" si="2"/>
        <v>81.144903034226843</v>
      </c>
      <c r="J32" s="515">
        <f t="shared" si="3"/>
        <v>1418779.68</v>
      </c>
    </row>
    <row r="33" spans="1:10" s="219" customFormat="1" ht="24" x14ac:dyDescent="0.55000000000000004">
      <c r="A33" s="216">
        <v>26</v>
      </c>
      <c r="B33" s="48" t="s">
        <v>108</v>
      </c>
      <c r="C33" s="217" t="s">
        <v>126</v>
      </c>
      <c r="D33" s="305">
        <v>1485621</v>
      </c>
      <c r="E33" s="305">
        <v>240618</v>
      </c>
      <c r="F33" s="305">
        <v>733927.88</v>
      </c>
      <c r="G33" s="231">
        <f t="shared" si="0"/>
        <v>511075.12</v>
      </c>
      <c r="H33" s="230">
        <f t="shared" si="1"/>
        <v>49.402093804543689</v>
      </c>
      <c r="I33" s="230">
        <f t="shared" si="2"/>
        <v>65.598553062995208</v>
      </c>
      <c r="J33" s="515">
        <f t="shared" si="3"/>
        <v>974545.88</v>
      </c>
    </row>
    <row r="34" spans="1:10" s="219" customFormat="1" ht="24" x14ac:dyDescent="0.55000000000000004">
      <c r="A34" s="216">
        <v>27</v>
      </c>
      <c r="B34" s="48" t="s">
        <v>108</v>
      </c>
      <c r="C34" s="217" t="s">
        <v>127</v>
      </c>
      <c r="D34" s="305">
        <v>1142461</v>
      </c>
      <c r="E34" s="930"/>
      <c r="F34" s="305">
        <v>461630.2</v>
      </c>
      <c r="G34" s="231">
        <f t="shared" si="0"/>
        <v>680830.8</v>
      </c>
      <c r="H34" s="230">
        <f t="shared" si="1"/>
        <v>40.40664845452055</v>
      </c>
      <c r="I34" s="230">
        <f t="shared" si="2"/>
        <v>40.40664845452055</v>
      </c>
      <c r="J34" s="515">
        <f t="shared" si="3"/>
        <v>461630.2</v>
      </c>
    </row>
    <row r="35" spans="1:10" s="219" customFormat="1" ht="24" x14ac:dyDescent="0.55000000000000004">
      <c r="A35" s="216">
        <v>28</v>
      </c>
      <c r="B35" s="48" t="s">
        <v>108</v>
      </c>
      <c r="C35" s="217" t="s">
        <v>23</v>
      </c>
      <c r="D35" s="305">
        <v>1717562</v>
      </c>
      <c r="E35" s="930"/>
      <c r="F35" s="305">
        <v>1225294.81</v>
      </c>
      <c r="G35" s="231">
        <f t="shared" si="0"/>
        <v>492267.18999999994</v>
      </c>
      <c r="H35" s="230">
        <f t="shared" si="1"/>
        <v>71.339189502329461</v>
      </c>
      <c r="I35" s="230">
        <f t="shared" si="2"/>
        <v>71.339189502329461</v>
      </c>
      <c r="J35" s="515">
        <f t="shared" si="3"/>
        <v>1225294.81</v>
      </c>
    </row>
    <row r="36" spans="1:10" s="219" customFormat="1" ht="24" x14ac:dyDescent="0.55000000000000004">
      <c r="A36" s="216">
        <v>29</v>
      </c>
      <c r="B36" s="48" t="s">
        <v>108</v>
      </c>
      <c r="C36" s="217" t="s">
        <v>24</v>
      </c>
      <c r="D36" s="305">
        <v>2942693</v>
      </c>
      <c r="E36" s="305">
        <v>930064</v>
      </c>
      <c r="F36" s="305">
        <v>1483422.55</v>
      </c>
      <c r="G36" s="231">
        <f t="shared" si="0"/>
        <v>529206.44999999995</v>
      </c>
      <c r="H36" s="230">
        <f t="shared" si="1"/>
        <v>50.41037410290506</v>
      </c>
      <c r="I36" s="230">
        <f t="shared" si="2"/>
        <v>82.01625347938095</v>
      </c>
      <c r="J36" s="515">
        <f t="shared" si="3"/>
        <v>2413486.5499999998</v>
      </c>
    </row>
    <row r="37" spans="1:10" s="219" customFormat="1" ht="24" x14ac:dyDescent="0.55000000000000004">
      <c r="A37" s="216">
        <v>30</v>
      </c>
      <c r="B37" s="48" t="s">
        <v>108</v>
      </c>
      <c r="C37" s="217" t="s">
        <v>25</v>
      </c>
      <c r="D37" s="305">
        <v>916208</v>
      </c>
      <c r="E37" s="930"/>
      <c r="F37" s="305">
        <v>444035.55</v>
      </c>
      <c r="G37" s="231">
        <f t="shared" si="0"/>
        <v>472172.45</v>
      </c>
      <c r="H37" s="230">
        <f t="shared" si="1"/>
        <v>48.464491687477079</v>
      </c>
      <c r="I37" s="230">
        <f t="shared" si="2"/>
        <v>48.464491687477079</v>
      </c>
      <c r="J37" s="515">
        <f t="shared" si="3"/>
        <v>444035.55</v>
      </c>
    </row>
    <row r="38" spans="1:10" s="219" customFormat="1" ht="24" x14ac:dyDescent="0.55000000000000004">
      <c r="A38" s="216">
        <v>31</v>
      </c>
      <c r="B38" s="48" t="s">
        <v>108</v>
      </c>
      <c r="C38" s="217" t="s">
        <v>173</v>
      </c>
      <c r="D38" s="305">
        <v>1197480</v>
      </c>
      <c r="E38" s="305">
        <v>144000</v>
      </c>
      <c r="F38" s="305">
        <v>783538.27</v>
      </c>
      <c r="G38" s="231">
        <f t="shared" si="0"/>
        <v>269941.73</v>
      </c>
      <c r="H38" s="230">
        <f t="shared" si="1"/>
        <v>65.432263586865758</v>
      </c>
      <c r="I38" s="230">
        <f t="shared" si="2"/>
        <v>77.457516618231622</v>
      </c>
      <c r="J38" s="515">
        <f t="shared" si="3"/>
        <v>927538.27</v>
      </c>
    </row>
    <row r="39" spans="1:10" s="219" customFormat="1" ht="24" x14ac:dyDescent="0.55000000000000004">
      <c r="A39" s="216">
        <v>32</v>
      </c>
      <c r="B39" s="48" t="s">
        <v>108</v>
      </c>
      <c r="C39" s="217" t="s">
        <v>26</v>
      </c>
      <c r="D39" s="305">
        <v>4735065</v>
      </c>
      <c r="E39" s="305">
        <v>297896.24</v>
      </c>
      <c r="F39" s="305">
        <v>1643039.53</v>
      </c>
      <c r="G39" s="231">
        <f t="shared" si="0"/>
        <v>2794129.2299999995</v>
      </c>
      <c r="H39" s="230">
        <f t="shared" si="1"/>
        <v>34.699408139064616</v>
      </c>
      <c r="I39" s="230">
        <f t="shared" si="2"/>
        <v>40.990689040171574</v>
      </c>
      <c r="J39" s="515">
        <f t="shared" si="3"/>
        <v>1940935.77</v>
      </c>
    </row>
    <row r="40" spans="1:10" s="219" customFormat="1" ht="24" x14ac:dyDescent="0.55000000000000004">
      <c r="A40" s="216">
        <v>33</v>
      </c>
      <c r="B40" s="48" t="s">
        <v>108</v>
      </c>
      <c r="C40" s="217" t="s">
        <v>27</v>
      </c>
      <c r="D40" s="305">
        <v>430446</v>
      </c>
      <c r="E40" s="930"/>
      <c r="F40" s="305">
        <v>293073.42</v>
      </c>
      <c r="G40" s="231">
        <f t="shared" si="0"/>
        <v>137372.58000000002</v>
      </c>
      <c r="H40" s="230">
        <f t="shared" si="1"/>
        <v>68.085989880263725</v>
      </c>
      <c r="I40" s="230">
        <f t="shared" si="2"/>
        <v>68.085989880263725</v>
      </c>
      <c r="J40" s="515">
        <f t="shared" si="3"/>
        <v>293073.42</v>
      </c>
    </row>
    <row r="41" spans="1:10" s="219" customFormat="1" ht="24" x14ac:dyDescent="0.55000000000000004">
      <c r="A41" s="216">
        <v>34</v>
      </c>
      <c r="B41" s="48" t="s">
        <v>108</v>
      </c>
      <c r="C41" s="217" t="s">
        <v>28</v>
      </c>
      <c r="D41" s="305">
        <v>2789040</v>
      </c>
      <c r="E41" s="930"/>
      <c r="F41" s="305">
        <v>1447522.54</v>
      </c>
      <c r="G41" s="231">
        <f t="shared" si="0"/>
        <v>1341517.46</v>
      </c>
      <c r="H41" s="230">
        <f t="shared" si="1"/>
        <v>51.900386512922012</v>
      </c>
      <c r="I41" s="230">
        <f t="shared" si="2"/>
        <v>51.900386512922012</v>
      </c>
      <c r="J41" s="515">
        <f t="shared" si="3"/>
        <v>1447522.54</v>
      </c>
    </row>
    <row r="42" spans="1:10" s="219" customFormat="1" ht="24" x14ac:dyDescent="0.55000000000000004">
      <c r="A42" s="216">
        <v>35</v>
      </c>
      <c r="B42" s="48" t="s">
        <v>108</v>
      </c>
      <c r="C42" s="217" t="s">
        <v>128</v>
      </c>
      <c r="D42" s="305">
        <v>4071349</v>
      </c>
      <c r="E42" s="305">
        <v>503626.51</v>
      </c>
      <c r="F42" s="305">
        <v>1564425.87</v>
      </c>
      <c r="G42" s="231">
        <f t="shared" si="0"/>
        <v>2003296.62</v>
      </c>
      <c r="H42" s="230">
        <f t="shared" si="1"/>
        <v>38.425246030246974</v>
      </c>
      <c r="I42" s="230">
        <f t="shared" si="2"/>
        <v>50.795261717921996</v>
      </c>
      <c r="J42" s="515">
        <f t="shared" si="3"/>
        <v>2068052.3800000001</v>
      </c>
    </row>
    <row r="43" spans="1:10" s="219" customFormat="1" ht="24" x14ac:dyDescent="0.55000000000000004">
      <c r="A43" s="216">
        <v>36</v>
      </c>
      <c r="B43" s="48" t="s">
        <v>108</v>
      </c>
      <c r="C43" s="217" t="s">
        <v>29</v>
      </c>
      <c r="D43" s="305">
        <v>2186889</v>
      </c>
      <c r="E43" s="930"/>
      <c r="F43" s="305">
        <v>1057031.81</v>
      </c>
      <c r="G43" s="231">
        <f t="shared" si="0"/>
        <v>1129857.19</v>
      </c>
      <c r="H43" s="230">
        <f t="shared" si="1"/>
        <v>48.334954814807702</v>
      </c>
      <c r="I43" s="230">
        <f t="shared" si="2"/>
        <v>48.334954814807702</v>
      </c>
      <c r="J43" s="515">
        <f t="shared" si="3"/>
        <v>1057031.81</v>
      </c>
    </row>
    <row r="44" spans="1:10" s="219" customFormat="1" ht="24" x14ac:dyDescent="0.55000000000000004">
      <c r="A44" s="216">
        <v>37</v>
      </c>
      <c r="B44" s="48" t="s">
        <v>108</v>
      </c>
      <c r="C44" s="217" t="s">
        <v>30</v>
      </c>
      <c r="D44" s="305">
        <v>2760592</v>
      </c>
      <c r="E44" s="305">
        <v>657681.14</v>
      </c>
      <c r="F44" s="305">
        <v>1508579.71</v>
      </c>
      <c r="G44" s="231">
        <f t="shared" si="0"/>
        <v>594331.14999999991</v>
      </c>
      <c r="H44" s="230">
        <f t="shared" si="1"/>
        <v>54.646963767191963</v>
      </c>
      <c r="I44" s="230">
        <f t="shared" si="2"/>
        <v>78.470880521279497</v>
      </c>
      <c r="J44" s="515">
        <f t="shared" si="3"/>
        <v>2166260.85</v>
      </c>
    </row>
    <row r="45" spans="1:10" s="219" customFormat="1" ht="24" x14ac:dyDescent="0.55000000000000004">
      <c r="A45" s="216">
        <v>38</v>
      </c>
      <c r="B45" s="48" t="s">
        <v>108</v>
      </c>
      <c r="C45" s="217" t="s">
        <v>31</v>
      </c>
      <c r="D45" s="305">
        <v>1496826</v>
      </c>
      <c r="E45" s="305">
        <v>68784.2</v>
      </c>
      <c r="F45" s="305">
        <v>1310780.8</v>
      </c>
      <c r="G45" s="231">
        <f t="shared" si="0"/>
        <v>117261</v>
      </c>
      <c r="H45" s="230">
        <f t="shared" si="1"/>
        <v>87.570686238747854</v>
      </c>
      <c r="I45" s="230">
        <f t="shared" si="2"/>
        <v>92.166023305314042</v>
      </c>
      <c r="J45" s="515">
        <f t="shared" si="3"/>
        <v>1379565</v>
      </c>
    </row>
    <row r="46" spans="1:10" s="219" customFormat="1" ht="24" x14ac:dyDescent="0.55000000000000004">
      <c r="A46" s="216">
        <v>39</v>
      </c>
      <c r="B46" s="48" t="s">
        <v>108</v>
      </c>
      <c r="C46" s="217" t="s">
        <v>129</v>
      </c>
      <c r="D46" s="305">
        <v>603009</v>
      </c>
      <c r="E46" s="305">
        <v>18000</v>
      </c>
      <c r="F46" s="305">
        <v>345608.88</v>
      </c>
      <c r="G46" s="231">
        <f t="shared" si="0"/>
        <v>239400.12</v>
      </c>
      <c r="H46" s="230">
        <f t="shared" si="1"/>
        <v>57.314050039054145</v>
      </c>
      <c r="I46" s="230">
        <f t="shared" si="2"/>
        <v>60.299080113232144</v>
      </c>
      <c r="J46" s="515">
        <f t="shared" si="3"/>
        <v>363608.88</v>
      </c>
    </row>
    <row r="47" spans="1:10" s="219" customFormat="1" ht="24" x14ac:dyDescent="0.55000000000000004">
      <c r="A47" s="216">
        <v>40</v>
      </c>
      <c r="B47" s="48" t="s">
        <v>108</v>
      </c>
      <c r="C47" s="217" t="s">
        <v>32</v>
      </c>
      <c r="D47" s="305">
        <v>1889495</v>
      </c>
      <c r="E47" s="305">
        <v>256304.02</v>
      </c>
      <c r="F47" s="305">
        <v>1233460.72</v>
      </c>
      <c r="G47" s="231">
        <f t="shared" si="0"/>
        <v>399730.26</v>
      </c>
      <c r="H47" s="230">
        <f t="shared" si="1"/>
        <v>65.279914474502448</v>
      </c>
      <c r="I47" s="230">
        <f t="shared" si="2"/>
        <v>78.844598159825779</v>
      </c>
      <c r="J47" s="515">
        <f t="shared" si="3"/>
        <v>1489764.74</v>
      </c>
    </row>
    <row r="48" spans="1:10" s="219" customFormat="1" ht="24" x14ac:dyDescent="0.55000000000000004">
      <c r="A48" s="216">
        <v>41</v>
      </c>
      <c r="B48" s="48" t="s">
        <v>108</v>
      </c>
      <c r="C48" s="217" t="s">
        <v>33</v>
      </c>
      <c r="D48" s="305">
        <v>2272278</v>
      </c>
      <c r="E48" s="305">
        <v>541413.34</v>
      </c>
      <c r="F48" s="305">
        <v>1236872.6499999999</v>
      </c>
      <c r="G48" s="231">
        <f t="shared" si="0"/>
        <v>493992.01000000024</v>
      </c>
      <c r="H48" s="230">
        <f t="shared" si="1"/>
        <v>54.433156946465168</v>
      </c>
      <c r="I48" s="230">
        <f t="shared" si="2"/>
        <v>78.260054007476185</v>
      </c>
      <c r="J48" s="515">
        <f t="shared" si="3"/>
        <v>1778285.9899999998</v>
      </c>
    </row>
    <row r="49" spans="1:10" s="219" customFormat="1" ht="24" x14ac:dyDescent="0.55000000000000004">
      <c r="A49" s="216">
        <v>42</v>
      </c>
      <c r="B49" s="48" t="s">
        <v>108</v>
      </c>
      <c r="C49" s="217" t="s">
        <v>34</v>
      </c>
      <c r="D49" s="305">
        <v>496451</v>
      </c>
      <c r="E49" s="930"/>
      <c r="F49" s="305">
        <v>318965.48</v>
      </c>
      <c r="G49" s="231">
        <f t="shared" si="0"/>
        <v>177485.52000000002</v>
      </c>
      <c r="H49" s="230">
        <f t="shared" si="1"/>
        <v>64.249136369953931</v>
      </c>
      <c r="I49" s="230">
        <f t="shared" si="2"/>
        <v>64.249136369953931</v>
      </c>
      <c r="J49" s="515">
        <f t="shared" si="3"/>
        <v>318965.48</v>
      </c>
    </row>
    <row r="50" spans="1:10" s="219" customFormat="1" ht="24" x14ac:dyDescent="0.55000000000000004">
      <c r="A50" s="216">
        <v>43</v>
      </c>
      <c r="B50" s="48" t="s">
        <v>108</v>
      </c>
      <c r="C50" s="217" t="s">
        <v>35</v>
      </c>
      <c r="D50" s="305">
        <v>2527814</v>
      </c>
      <c r="E50" s="305">
        <v>449617.44</v>
      </c>
      <c r="F50" s="305">
        <v>1352756.97</v>
      </c>
      <c r="G50" s="231">
        <f t="shared" si="0"/>
        <v>725439.59000000008</v>
      </c>
      <c r="H50" s="230">
        <f t="shared" si="1"/>
        <v>53.514893500866755</v>
      </c>
      <c r="I50" s="230">
        <f t="shared" si="2"/>
        <v>71.301702182201694</v>
      </c>
      <c r="J50" s="515">
        <f t="shared" si="3"/>
        <v>1802374.41</v>
      </c>
    </row>
    <row r="51" spans="1:10" s="219" customFormat="1" ht="24" x14ac:dyDescent="0.55000000000000004">
      <c r="A51" s="216">
        <v>44</v>
      </c>
      <c r="B51" s="48" t="s">
        <v>108</v>
      </c>
      <c r="C51" s="217" t="s">
        <v>130</v>
      </c>
      <c r="D51" s="305">
        <v>1031844</v>
      </c>
      <c r="E51" s="305">
        <v>135500</v>
      </c>
      <c r="F51" s="305">
        <v>649312.51</v>
      </c>
      <c r="G51" s="231">
        <f t="shared" si="0"/>
        <v>247031.49</v>
      </c>
      <c r="H51" s="230">
        <f t="shared" si="1"/>
        <v>62.927391156027461</v>
      </c>
      <c r="I51" s="230">
        <f t="shared" si="2"/>
        <v>76.059221161338343</v>
      </c>
      <c r="J51" s="515">
        <f t="shared" si="3"/>
        <v>784812.51</v>
      </c>
    </row>
    <row r="52" spans="1:10" s="219" customFormat="1" ht="24" x14ac:dyDescent="0.55000000000000004">
      <c r="A52" s="216">
        <v>45</v>
      </c>
      <c r="B52" s="48" t="s">
        <v>108</v>
      </c>
      <c r="C52" s="217" t="s">
        <v>36</v>
      </c>
      <c r="D52" s="305">
        <v>1606207</v>
      </c>
      <c r="E52" s="305">
        <v>162141</v>
      </c>
      <c r="F52" s="305">
        <v>904814.8</v>
      </c>
      <c r="G52" s="231">
        <f t="shared" si="0"/>
        <v>539251.19999999995</v>
      </c>
      <c r="H52" s="230">
        <f t="shared" si="1"/>
        <v>56.332390532478065</v>
      </c>
      <c r="I52" s="230">
        <f t="shared" si="2"/>
        <v>66.427042093578223</v>
      </c>
      <c r="J52" s="515">
        <f t="shared" si="3"/>
        <v>1066955.8</v>
      </c>
    </row>
    <row r="53" spans="1:10" s="219" customFormat="1" ht="24" x14ac:dyDescent="0.55000000000000004">
      <c r="A53" s="216">
        <v>46</v>
      </c>
      <c r="B53" s="48" t="s">
        <v>108</v>
      </c>
      <c r="C53" s="217" t="s">
        <v>37</v>
      </c>
      <c r="D53" s="305">
        <v>1666845</v>
      </c>
      <c r="E53" s="305">
        <v>34011.199999999997</v>
      </c>
      <c r="F53" s="305">
        <v>1137696.04</v>
      </c>
      <c r="G53" s="231">
        <f t="shared" si="0"/>
        <v>495137.76</v>
      </c>
      <c r="H53" s="230">
        <f t="shared" si="1"/>
        <v>68.254459172868508</v>
      </c>
      <c r="I53" s="230">
        <f t="shared" si="2"/>
        <v>70.294912844325651</v>
      </c>
      <c r="J53" s="515">
        <f t="shared" si="3"/>
        <v>1171707.24</v>
      </c>
    </row>
    <row r="54" spans="1:10" s="219" customFormat="1" ht="24" x14ac:dyDescent="0.55000000000000004">
      <c r="A54" s="216">
        <v>47</v>
      </c>
      <c r="B54" s="48" t="s">
        <v>108</v>
      </c>
      <c r="C54" s="217" t="s">
        <v>38</v>
      </c>
      <c r="D54" s="305">
        <v>1152285</v>
      </c>
      <c r="E54" s="305">
        <v>177438</v>
      </c>
      <c r="F54" s="305">
        <v>575988.54</v>
      </c>
      <c r="G54" s="231">
        <f t="shared" si="0"/>
        <v>398858.45999999996</v>
      </c>
      <c r="H54" s="230">
        <f t="shared" si="1"/>
        <v>49.986638722191124</v>
      </c>
      <c r="I54" s="230">
        <f t="shared" si="2"/>
        <v>65.385433291243046</v>
      </c>
      <c r="J54" s="515">
        <f t="shared" si="3"/>
        <v>753426.54</v>
      </c>
    </row>
    <row r="55" spans="1:10" s="219" customFormat="1" ht="24" x14ac:dyDescent="0.55000000000000004">
      <c r="A55" s="216">
        <v>48</v>
      </c>
      <c r="B55" s="48" t="s">
        <v>108</v>
      </c>
      <c r="C55" s="217" t="s">
        <v>131</v>
      </c>
      <c r="D55" s="305">
        <v>1440475</v>
      </c>
      <c r="E55" s="305">
        <v>254141.5</v>
      </c>
      <c r="F55" s="305">
        <v>870503.68</v>
      </c>
      <c r="G55" s="231">
        <f t="shared" si="0"/>
        <v>315829.81999999995</v>
      </c>
      <c r="H55" s="230">
        <f t="shared" si="1"/>
        <v>60.43171037331436</v>
      </c>
      <c r="I55" s="230">
        <f t="shared" si="2"/>
        <v>78.074605945955341</v>
      </c>
      <c r="J55" s="515">
        <f t="shared" si="3"/>
        <v>1124645.1800000002</v>
      </c>
    </row>
    <row r="56" spans="1:10" s="219" customFormat="1" ht="24" x14ac:dyDescent="0.55000000000000004">
      <c r="A56" s="216">
        <v>49</v>
      </c>
      <c r="B56" s="48" t="s">
        <v>108</v>
      </c>
      <c r="C56" s="217" t="s">
        <v>132</v>
      </c>
      <c r="D56" s="305">
        <v>794086</v>
      </c>
      <c r="E56" s="930"/>
      <c r="F56" s="305">
        <v>437850.65</v>
      </c>
      <c r="G56" s="231">
        <f t="shared" si="0"/>
        <v>356235.35</v>
      </c>
      <c r="H56" s="230">
        <f t="shared" si="1"/>
        <v>55.138945907622094</v>
      </c>
      <c r="I56" s="230">
        <f t="shared" si="2"/>
        <v>55.138945907622094</v>
      </c>
      <c r="J56" s="515">
        <f t="shared" si="3"/>
        <v>437850.65</v>
      </c>
    </row>
    <row r="57" spans="1:10" s="219" customFormat="1" ht="24" x14ac:dyDescent="0.55000000000000004">
      <c r="A57" s="216">
        <v>50</v>
      </c>
      <c r="B57" s="48" t="s">
        <v>108</v>
      </c>
      <c r="C57" s="217" t="s">
        <v>133</v>
      </c>
      <c r="D57" s="305">
        <v>713415</v>
      </c>
      <c r="E57" s="930"/>
      <c r="F57" s="305">
        <v>356628.3</v>
      </c>
      <c r="G57" s="231">
        <f t="shared" si="0"/>
        <v>356786.7</v>
      </c>
      <c r="H57" s="230">
        <f t="shared" si="1"/>
        <v>49.988898467231557</v>
      </c>
      <c r="I57" s="230">
        <f t="shared" si="2"/>
        <v>49.988898467231557</v>
      </c>
      <c r="J57" s="515">
        <f t="shared" si="3"/>
        <v>356628.3</v>
      </c>
    </row>
    <row r="58" spans="1:10" s="219" customFormat="1" ht="24" x14ac:dyDescent="0.55000000000000004">
      <c r="A58" s="216">
        <v>51</v>
      </c>
      <c r="B58" s="48" t="s">
        <v>108</v>
      </c>
      <c r="C58" s="217" t="s">
        <v>134</v>
      </c>
      <c r="D58" s="305">
        <v>2190750.2400000002</v>
      </c>
      <c r="E58" s="305">
        <v>318250</v>
      </c>
      <c r="F58" s="305">
        <v>1021635.8</v>
      </c>
      <c r="G58" s="231">
        <f t="shared" si="0"/>
        <v>850864.44000000018</v>
      </c>
      <c r="H58" s="230">
        <f t="shared" si="1"/>
        <v>46.634060850313993</v>
      </c>
      <c r="I58" s="230">
        <f t="shared" si="2"/>
        <v>61.161047733127255</v>
      </c>
      <c r="J58" s="515">
        <f t="shared" si="3"/>
        <v>1339885.8</v>
      </c>
    </row>
    <row r="59" spans="1:10" s="219" customFormat="1" ht="24" x14ac:dyDescent="0.55000000000000004">
      <c r="A59" s="216">
        <v>52</v>
      </c>
      <c r="B59" s="48" t="s">
        <v>108</v>
      </c>
      <c r="C59" s="217" t="s">
        <v>135</v>
      </c>
      <c r="D59" s="305">
        <v>1519870</v>
      </c>
      <c r="E59" s="305">
        <v>232427.09</v>
      </c>
      <c r="F59" s="305">
        <v>801284.87</v>
      </c>
      <c r="G59" s="231">
        <f t="shared" si="0"/>
        <v>486158.03999999992</v>
      </c>
      <c r="H59" s="230">
        <f t="shared" si="1"/>
        <v>52.720618868719036</v>
      </c>
      <c r="I59" s="230">
        <f t="shared" si="2"/>
        <v>68.013182706415677</v>
      </c>
      <c r="J59" s="515">
        <f t="shared" si="3"/>
        <v>1033711.96</v>
      </c>
    </row>
    <row r="60" spans="1:10" s="219" customFormat="1" ht="24" x14ac:dyDescent="0.55000000000000004">
      <c r="A60" s="216">
        <v>53</v>
      </c>
      <c r="B60" s="48" t="s">
        <v>108</v>
      </c>
      <c r="C60" s="217" t="s">
        <v>136</v>
      </c>
      <c r="D60" s="305">
        <v>2428495</v>
      </c>
      <c r="E60" s="305">
        <v>550303.75</v>
      </c>
      <c r="F60" s="305">
        <v>1300456.97</v>
      </c>
      <c r="G60" s="231">
        <f t="shared" si="0"/>
        <v>577734.28</v>
      </c>
      <c r="H60" s="230">
        <f t="shared" si="1"/>
        <v>53.549913423745984</v>
      </c>
      <c r="I60" s="230">
        <f t="shared" si="2"/>
        <v>76.210192732536001</v>
      </c>
      <c r="J60" s="515">
        <f t="shared" si="3"/>
        <v>1850760.72</v>
      </c>
    </row>
    <row r="61" spans="1:10" s="219" customFormat="1" ht="24" x14ac:dyDescent="0.55000000000000004">
      <c r="A61" s="216">
        <v>54</v>
      </c>
      <c r="B61" s="48" t="s">
        <v>108</v>
      </c>
      <c r="C61" s="217" t="s">
        <v>137</v>
      </c>
      <c r="D61" s="305">
        <v>2748357</v>
      </c>
      <c r="E61" s="305">
        <v>493811</v>
      </c>
      <c r="F61" s="305">
        <v>1377323.27</v>
      </c>
      <c r="G61" s="231">
        <f t="shared" si="0"/>
        <v>877222.73</v>
      </c>
      <c r="H61" s="230">
        <f t="shared" si="1"/>
        <v>50.1144236356485</v>
      </c>
      <c r="I61" s="230">
        <f t="shared" si="2"/>
        <v>68.081922035601636</v>
      </c>
      <c r="J61" s="515">
        <f t="shared" si="3"/>
        <v>1871134.27</v>
      </c>
    </row>
    <row r="62" spans="1:10" s="219" customFormat="1" ht="24" x14ac:dyDescent="0.55000000000000004">
      <c r="A62" s="216">
        <v>55</v>
      </c>
      <c r="B62" s="48" t="s">
        <v>108</v>
      </c>
      <c r="C62" s="217" t="s">
        <v>39</v>
      </c>
      <c r="D62" s="305">
        <v>1514303</v>
      </c>
      <c r="E62" s="305">
        <v>195653.5</v>
      </c>
      <c r="F62" s="305">
        <v>948916.3</v>
      </c>
      <c r="G62" s="231">
        <f t="shared" si="0"/>
        <v>369733.19999999995</v>
      </c>
      <c r="H62" s="230">
        <f t="shared" si="1"/>
        <v>62.663568651716332</v>
      </c>
      <c r="I62" s="230">
        <f t="shared" si="2"/>
        <v>75.583935315455363</v>
      </c>
      <c r="J62" s="515">
        <f t="shared" si="3"/>
        <v>1144569.8</v>
      </c>
    </row>
    <row r="63" spans="1:10" s="219" customFormat="1" ht="24" x14ac:dyDescent="0.55000000000000004">
      <c r="A63" s="216">
        <v>56</v>
      </c>
      <c r="B63" s="48" t="s">
        <v>108</v>
      </c>
      <c r="C63" s="217" t="s">
        <v>138</v>
      </c>
      <c r="D63" s="305">
        <v>1616440</v>
      </c>
      <c r="E63" s="305">
        <v>450964.21</v>
      </c>
      <c r="F63" s="305">
        <v>874200.18</v>
      </c>
      <c r="G63" s="231">
        <f t="shared" si="0"/>
        <v>291275.61</v>
      </c>
      <c r="H63" s="230">
        <f t="shared" si="1"/>
        <v>54.081820543911313</v>
      </c>
      <c r="I63" s="230">
        <f t="shared" si="2"/>
        <v>81.980425502957118</v>
      </c>
      <c r="J63" s="515">
        <f t="shared" si="3"/>
        <v>1325164.3900000001</v>
      </c>
    </row>
    <row r="64" spans="1:10" s="219" customFormat="1" ht="24" x14ac:dyDescent="0.55000000000000004">
      <c r="A64" s="216">
        <v>57</v>
      </c>
      <c r="B64" s="48" t="s">
        <v>108</v>
      </c>
      <c r="C64" s="217" t="s">
        <v>139</v>
      </c>
      <c r="D64" s="305">
        <v>2138900.0299999998</v>
      </c>
      <c r="E64" s="305">
        <v>97600</v>
      </c>
      <c r="F64" s="305">
        <v>1259128.2</v>
      </c>
      <c r="G64" s="231">
        <f t="shared" si="0"/>
        <v>782171.82999999984</v>
      </c>
      <c r="H64" s="230">
        <f t="shared" si="1"/>
        <v>58.868024794969031</v>
      </c>
      <c r="I64" s="230">
        <f t="shared" si="2"/>
        <v>63.431117909704277</v>
      </c>
      <c r="J64" s="515">
        <f t="shared" si="3"/>
        <v>1356728.2</v>
      </c>
    </row>
    <row r="65" spans="1:10" s="219" customFormat="1" ht="24" x14ac:dyDescent="0.55000000000000004">
      <c r="A65" s="216">
        <v>58</v>
      </c>
      <c r="B65" s="48" t="s">
        <v>108</v>
      </c>
      <c r="C65" s="217" t="s">
        <v>40</v>
      </c>
      <c r="D65" s="305">
        <v>923683</v>
      </c>
      <c r="E65" s="930"/>
      <c r="F65" s="305">
        <v>539879.88</v>
      </c>
      <c r="G65" s="231">
        <f t="shared" si="0"/>
        <v>383803.12</v>
      </c>
      <c r="H65" s="230">
        <f t="shared" si="1"/>
        <v>58.448610616412772</v>
      </c>
      <c r="I65" s="230">
        <f t="shared" si="2"/>
        <v>58.448610616412772</v>
      </c>
      <c r="J65" s="515">
        <f t="shared" si="3"/>
        <v>539879.88</v>
      </c>
    </row>
    <row r="66" spans="1:10" s="219" customFormat="1" ht="24" x14ac:dyDescent="0.55000000000000004">
      <c r="A66" s="216">
        <v>59</v>
      </c>
      <c r="B66" s="48" t="s">
        <v>108</v>
      </c>
      <c r="C66" s="217" t="s">
        <v>140</v>
      </c>
      <c r="D66" s="305">
        <v>2933175</v>
      </c>
      <c r="E66" s="305">
        <v>821587.6</v>
      </c>
      <c r="F66" s="305">
        <v>1450205.2</v>
      </c>
      <c r="G66" s="231">
        <f t="shared" si="0"/>
        <v>661382.19999999995</v>
      </c>
      <c r="H66" s="230">
        <f t="shared" si="1"/>
        <v>49.441482352740628</v>
      </c>
      <c r="I66" s="230">
        <f t="shared" si="2"/>
        <v>77.451662447688932</v>
      </c>
      <c r="J66" s="515">
        <f t="shared" si="3"/>
        <v>2271792.7999999998</v>
      </c>
    </row>
    <row r="67" spans="1:10" s="219" customFormat="1" ht="24" x14ac:dyDescent="0.55000000000000004">
      <c r="A67" s="216">
        <v>60</v>
      </c>
      <c r="B67" s="48" t="s">
        <v>108</v>
      </c>
      <c r="C67" s="217" t="s">
        <v>141</v>
      </c>
      <c r="D67" s="305">
        <v>843734</v>
      </c>
      <c r="E67" s="930"/>
      <c r="F67" s="305">
        <v>577906.06999999995</v>
      </c>
      <c r="G67" s="231">
        <f t="shared" si="0"/>
        <v>265827.93000000005</v>
      </c>
      <c r="H67" s="230">
        <f t="shared" si="1"/>
        <v>68.493870105981259</v>
      </c>
      <c r="I67" s="230">
        <f t="shared" si="2"/>
        <v>68.493870105981259</v>
      </c>
      <c r="J67" s="515">
        <f t="shared" si="3"/>
        <v>577906.06999999995</v>
      </c>
    </row>
    <row r="68" spans="1:10" s="219" customFormat="1" ht="24" x14ac:dyDescent="0.55000000000000004">
      <c r="A68" s="216">
        <v>61</v>
      </c>
      <c r="B68" s="48" t="s">
        <v>108</v>
      </c>
      <c r="C68" s="217" t="s">
        <v>142</v>
      </c>
      <c r="D68" s="305">
        <v>555144</v>
      </c>
      <c r="E68" s="930"/>
      <c r="F68" s="305">
        <v>309122.53000000003</v>
      </c>
      <c r="G68" s="231">
        <f t="shared" si="0"/>
        <v>246021.46999999997</v>
      </c>
      <c r="H68" s="230">
        <f t="shared" si="1"/>
        <v>55.683305592783142</v>
      </c>
      <c r="I68" s="230">
        <f t="shared" si="2"/>
        <v>55.683305592783142</v>
      </c>
      <c r="J68" s="515">
        <f t="shared" si="3"/>
        <v>309122.53000000003</v>
      </c>
    </row>
    <row r="69" spans="1:10" s="219" customFormat="1" ht="24" x14ac:dyDescent="0.55000000000000004">
      <c r="A69" s="216">
        <v>62</v>
      </c>
      <c r="B69" s="48" t="s">
        <v>108</v>
      </c>
      <c r="C69" s="217" t="s">
        <v>143</v>
      </c>
      <c r="D69" s="305">
        <v>800828</v>
      </c>
      <c r="E69" s="930"/>
      <c r="F69" s="305">
        <v>402358.13</v>
      </c>
      <c r="G69" s="231">
        <f t="shared" si="0"/>
        <v>398469.87</v>
      </c>
      <c r="H69" s="230">
        <f t="shared" si="1"/>
        <v>50.242764988237177</v>
      </c>
      <c r="I69" s="230">
        <f t="shared" si="2"/>
        <v>50.242764988237177</v>
      </c>
      <c r="J69" s="515">
        <f t="shared" si="3"/>
        <v>402358.13</v>
      </c>
    </row>
    <row r="70" spans="1:10" s="219" customFormat="1" ht="24" x14ac:dyDescent="0.55000000000000004">
      <c r="A70" s="216">
        <v>63</v>
      </c>
      <c r="B70" s="48" t="s">
        <v>108</v>
      </c>
      <c r="C70" s="217" t="s">
        <v>144</v>
      </c>
      <c r="D70" s="305">
        <v>705924</v>
      </c>
      <c r="E70" s="305">
        <v>6420</v>
      </c>
      <c r="F70" s="305">
        <v>403109.98</v>
      </c>
      <c r="G70" s="231">
        <f t="shared" si="0"/>
        <v>296394.02</v>
      </c>
      <c r="H70" s="230">
        <f t="shared" si="1"/>
        <v>57.10387803786243</v>
      </c>
      <c r="I70" s="230">
        <f t="shared" si="2"/>
        <v>58.013324380528218</v>
      </c>
      <c r="J70" s="515">
        <f t="shared" si="3"/>
        <v>409529.98</v>
      </c>
    </row>
    <row r="71" spans="1:10" s="219" customFormat="1" ht="24" x14ac:dyDescent="0.55000000000000004">
      <c r="A71" s="216">
        <v>64</v>
      </c>
      <c r="B71" s="48" t="s">
        <v>108</v>
      </c>
      <c r="C71" s="217" t="s">
        <v>41</v>
      </c>
      <c r="D71" s="305">
        <v>732803</v>
      </c>
      <c r="E71" s="930"/>
      <c r="F71" s="305">
        <v>510944.39</v>
      </c>
      <c r="G71" s="231">
        <f t="shared" si="0"/>
        <v>221858.61</v>
      </c>
      <c r="H71" s="230">
        <f t="shared" si="1"/>
        <v>69.724658605382345</v>
      </c>
      <c r="I71" s="230">
        <f t="shared" si="2"/>
        <v>69.724658605382345</v>
      </c>
      <c r="J71" s="515">
        <f t="shared" si="3"/>
        <v>510944.39</v>
      </c>
    </row>
    <row r="72" spans="1:10" s="219" customFormat="1" ht="24" x14ac:dyDescent="0.55000000000000004">
      <c r="A72" s="216">
        <v>65</v>
      </c>
      <c r="B72" s="48" t="s">
        <v>108</v>
      </c>
      <c r="C72" s="217" t="s">
        <v>42</v>
      </c>
      <c r="D72" s="305">
        <v>856532</v>
      </c>
      <c r="E72" s="930"/>
      <c r="F72" s="305">
        <v>625908.82999999996</v>
      </c>
      <c r="G72" s="231">
        <f t="shared" si="0"/>
        <v>230623.17000000004</v>
      </c>
      <c r="H72" s="230">
        <f t="shared" si="1"/>
        <v>73.074774789499969</v>
      </c>
      <c r="I72" s="230">
        <f t="shared" si="2"/>
        <v>73.074774789499969</v>
      </c>
      <c r="J72" s="515">
        <f t="shared" si="3"/>
        <v>625908.82999999996</v>
      </c>
    </row>
    <row r="73" spans="1:10" s="219" customFormat="1" ht="24" x14ac:dyDescent="0.55000000000000004">
      <c r="A73" s="216">
        <v>66</v>
      </c>
      <c r="B73" s="48" t="s">
        <v>108</v>
      </c>
      <c r="C73" s="217" t="s">
        <v>43</v>
      </c>
      <c r="D73" s="305">
        <v>508966</v>
      </c>
      <c r="E73" s="305">
        <v>2400</v>
      </c>
      <c r="F73" s="305">
        <v>292572.69</v>
      </c>
      <c r="G73" s="231">
        <f t="shared" ref="G73:G103" si="4">+D73-E73-F73</f>
        <v>213993.31</v>
      </c>
      <c r="H73" s="230">
        <f t="shared" ref="H73:H103" si="5">F73*100/D73</f>
        <v>57.483739581818824</v>
      </c>
      <c r="I73" s="230">
        <f t="shared" ref="I73:I103" si="6">+J73*100/D73</f>
        <v>57.95528385000177</v>
      </c>
      <c r="J73" s="515">
        <f t="shared" ref="J73:J104" si="7">+E73+F73</f>
        <v>294972.69</v>
      </c>
    </row>
    <row r="74" spans="1:10" s="219" customFormat="1" ht="24" x14ac:dyDescent="0.55000000000000004">
      <c r="A74" s="216">
        <v>67</v>
      </c>
      <c r="B74" s="48" t="s">
        <v>108</v>
      </c>
      <c r="C74" s="217" t="s">
        <v>44</v>
      </c>
      <c r="D74" s="305">
        <v>1984257</v>
      </c>
      <c r="E74" s="305">
        <v>357824.22</v>
      </c>
      <c r="F74" s="305">
        <v>1230730.72</v>
      </c>
      <c r="G74" s="231">
        <f t="shared" si="4"/>
        <v>395702.06000000006</v>
      </c>
      <c r="H74" s="230">
        <f t="shared" si="5"/>
        <v>62.024763929269241</v>
      </c>
      <c r="I74" s="230">
        <f t="shared" si="6"/>
        <v>80.057922940425556</v>
      </c>
      <c r="J74" s="515">
        <f t="shared" si="7"/>
        <v>1588554.94</v>
      </c>
    </row>
    <row r="75" spans="1:10" s="219" customFormat="1" ht="24" x14ac:dyDescent="0.55000000000000004">
      <c r="A75" s="216">
        <v>68</v>
      </c>
      <c r="B75" s="48" t="s">
        <v>108</v>
      </c>
      <c r="C75" s="217" t="s">
        <v>45</v>
      </c>
      <c r="D75" s="305">
        <v>1161425</v>
      </c>
      <c r="E75" s="305">
        <v>100500</v>
      </c>
      <c r="F75" s="305">
        <v>695463.54</v>
      </c>
      <c r="G75" s="231">
        <f t="shared" si="4"/>
        <v>365461.45999999996</v>
      </c>
      <c r="H75" s="230">
        <f t="shared" si="5"/>
        <v>59.880193727532991</v>
      </c>
      <c r="I75" s="230">
        <f t="shared" si="6"/>
        <v>68.533356867641047</v>
      </c>
      <c r="J75" s="515">
        <f t="shared" si="7"/>
        <v>795963.54</v>
      </c>
    </row>
    <row r="76" spans="1:10" s="219" customFormat="1" ht="24" x14ac:dyDescent="0.55000000000000004">
      <c r="A76" s="216">
        <v>69</v>
      </c>
      <c r="B76" s="48" t="s">
        <v>108</v>
      </c>
      <c r="C76" s="217" t="s">
        <v>63</v>
      </c>
      <c r="D76" s="305">
        <v>1096224</v>
      </c>
      <c r="E76" s="305">
        <v>45000</v>
      </c>
      <c r="F76" s="305">
        <v>629610.93000000005</v>
      </c>
      <c r="G76" s="231">
        <f t="shared" si="4"/>
        <v>421613.06999999995</v>
      </c>
      <c r="H76" s="230">
        <f t="shared" si="5"/>
        <v>57.434514296348198</v>
      </c>
      <c r="I76" s="230">
        <f t="shared" si="6"/>
        <v>61.539514734214904</v>
      </c>
      <c r="J76" s="515">
        <f t="shared" si="7"/>
        <v>674610.93</v>
      </c>
    </row>
    <row r="77" spans="1:10" s="219" customFormat="1" ht="24" x14ac:dyDescent="0.55000000000000004">
      <c r="A77" s="216">
        <v>70</v>
      </c>
      <c r="B77" s="48" t="s">
        <v>108</v>
      </c>
      <c r="C77" s="217" t="s">
        <v>145</v>
      </c>
      <c r="D77" s="305">
        <v>1403081</v>
      </c>
      <c r="E77" s="305">
        <v>74642.75</v>
      </c>
      <c r="F77" s="305">
        <v>806370.77</v>
      </c>
      <c r="G77" s="231">
        <f t="shared" si="4"/>
        <v>522067.48</v>
      </c>
      <c r="H77" s="230">
        <f t="shared" si="5"/>
        <v>57.471433937171128</v>
      </c>
      <c r="I77" s="230">
        <f t="shared" si="6"/>
        <v>62.791351318990138</v>
      </c>
      <c r="J77" s="515">
        <f t="shared" si="7"/>
        <v>881013.52</v>
      </c>
    </row>
    <row r="78" spans="1:10" s="219" customFormat="1" ht="24" x14ac:dyDescent="0.55000000000000004">
      <c r="A78" s="216">
        <v>71</v>
      </c>
      <c r="B78" s="48" t="s">
        <v>108</v>
      </c>
      <c r="C78" s="217" t="s">
        <v>46</v>
      </c>
      <c r="D78" s="305">
        <v>1742507</v>
      </c>
      <c r="E78" s="930"/>
      <c r="F78" s="305">
        <v>1014140.36</v>
      </c>
      <c r="G78" s="231">
        <f t="shared" si="4"/>
        <v>728366.64</v>
      </c>
      <c r="H78" s="230">
        <f t="shared" si="5"/>
        <v>58.200073801712129</v>
      </c>
      <c r="I78" s="230">
        <f t="shared" si="6"/>
        <v>58.200073801712129</v>
      </c>
      <c r="J78" s="515">
        <f t="shared" si="7"/>
        <v>1014140.36</v>
      </c>
    </row>
    <row r="79" spans="1:10" s="219" customFormat="1" ht="24" x14ac:dyDescent="0.55000000000000004">
      <c r="A79" s="216">
        <v>72</v>
      </c>
      <c r="B79" s="48" t="s">
        <v>108</v>
      </c>
      <c r="C79" s="217" t="s">
        <v>146</v>
      </c>
      <c r="D79" s="305">
        <v>1227480</v>
      </c>
      <c r="E79" s="305">
        <v>302100</v>
      </c>
      <c r="F79" s="305">
        <v>667539.77</v>
      </c>
      <c r="G79" s="231">
        <f t="shared" si="4"/>
        <v>257840.22999999998</v>
      </c>
      <c r="H79" s="230">
        <f t="shared" si="5"/>
        <v>54.382944732297062</v>
      </c>
      <c r="I79" s="230">
        <f t="shared" si="6"/>
        <v>78.994343696027627</v>
      </c>
      <c r="J79" s="515">
        <f t="shared" si="7"/>
        <v>969639.77</v>
      </c>
    </row>
    <row r="80" spans="1:10" s="219" customFormat="1" ht="24" x14ac:dyDescent="0.55000000000000004">
      <c r="A80" s="216">
        <v>73</v>
      </c>
      <c r="B80" s="48" t="s">
        <v>108</v>
      </c>
      <c r="C80" s="217" t="s">
        <v>147</v>
      </c>
      <c r="D80" s="305">
        <v>481460</v>
      </c>
      <c r="E80" s="930"/>
      <c r="F80" s="305">
        <v>271154.65999999997</v>
      </c>
      <c r="G80" s="231">
        <f t="shared" si="4"/>
        <v>210305.34000000003</v>
      </c>
      <c r="H80" s="230">
        <f t="shared" si="5"/>
        <v>56.319249781913342</v>
      </c>
      <c r="I80" s="230">
        <f t="shared" si="6"/>
        <v>56.319249781913342</v>
      </c>
      <c r="J80" s="515">
        <f t="shared" si="7"/>
        <v>271154.65999999997</v>
      </c>
    </row>
    <row r="81" spans="1:10" s="219" customFormat="1" ht="24" x14ac:dyDescent="0.55000000000000004">
      <c r="A81" s="216">
        <v>74</v>
      </c>
      <c r="B81" s="48" t="s">
        <v>108</v>
      </c>
      <c r="C81" s="217" t="s">
        <v>47</v>
      </c>
      <c r="D81" s="305">
        <v>469027</v>
      </c>
      <c r="E81" s="305">
        <v>6600</v>
      </c>
      <c r="F81" s="305">
        <v>338092.57</v>
      </c>
      <c r="G81" s="231">
        <f t="shared" si="4"/>
        <v>124334.43</v>
      </c>
      <c r="H81" s="230">
        <f t="shared" si="5"/>
        <v>72.083818202363616</v>
      </c>
      <c r="I81" s="230">
        <f t="shared" si="6"/>
        <v>73.49098665961661</v>
      </c>
      <c r="J81" s="515">
        <f t="shared" si="7"/>
        <v>344692.57</v>
      </c>
    </row>
    <row r="82" spans="1:10" s="219" customFormat="1" ht="24" x14ac:dyDescent="0.55000000000000004">
      <c r="A82" s="216">
        <v>75</v>
      </c>
      <c r="B82" s="48" t="s">
        <v>108</v>
      </c>
      <c r="C82" s="217" t="s">
        <v>148</v>
      </c>
      <c r="D82" s="305">
        <v>533760</v>
      </c>
      <c r="E82" s="305">
        <v>9000</v>
      </c>
      <c r="F82" s="305">
        <v>273793.24</v>
      </c>
      <c r="G82" s="231">
        <f t="shared" si="4"/>
        <v>250966.76</v>
      </c>
      <c r="H82" s="230">
        <f t="shared" si="5"/>
        <v>51.295196342925657</v>
      </c>
      <c r="I82" s="230">
        <f t="shared" si="6"/>
        <v>52.981347422062349</v>
      </c>
      <c r="J82" s="515">
        <f t="shared" si="7"/>
        <v>282793.24</v>
      </c>
    </row>
    <row r="83" spans="1:10" s="219" customFormat="1" ht="24" x14ac:dyDescent="0.55000000000000004">
      <c r="A83" s="216">
        <v>76</v>
      </c>
      <c r="B83" s="48" t="s">
        <v>108</v>
      </c>
      <c r="C83" s="217" t="s">
        <v>48</v>
      </c>
      <c r="D83" s="305">
        <v>525096.19999999995</v>
      </c>
      <c r="E83" s="930"/>
      <c r="F83" s="305">
        <v>306024.81</v>
      </c>
      <c r="G83" s="231">
        <f t="shared" si="4"/>
        <v>219071.38999999996</v>
      </c>
      <c r="H83" s="230">
        <f t="shared" si="5"/>
        <v>58.279760927616699</v>
      </c>
      <c r="I83" s="230">
        <f t="shared" si="6"/>
        <v>58.279760927616699</v>
      </c>
      <c r="J83" s="515">
        <f t="shared" si="7"/>
        <v>306024.81</v>
      </c>
    </row>
    <row r="84" spans="1:10" s="219" customFormat="1" ht="24" x14ac:dyDescent="0.55000000000000004">
      <c r="A84" s="216">
        <v>77</v>
      </c>
      <c r="B84" s="48" t="s">
        <v>108</v>
      </c>
      <c r="C84" s="217" t="s">
        <v>149</v>
      </c>
      <c r="D84" s="305">
        <v>766769</v>
      </c>
      <c r="E84" s="930"/>
      <c r="F84" s="305">
        <v>475032.33</v>
      </c>
      <c r="G84" s="231">
        <f t="shared" si="4"/>
        <v>291736.67</v>
      </c>
      <c r="H84" s="230">
        <f t="shared" si="5"/>
        <v>61.952469387781719</v>
      </c>
      <c r="I84" s="230">
        <f t="shared" si="6"/>
        <v>61.952469387781719</v>
      </c>
      <c r="J84" s="515">
        <f t="shared" si="7"/>
        <v>475032.33</v>
      </c>
    </row>
    <row r="85" spans="1:10" s="219" customFormat="1" ht="24" x14ac:dyDescent="0.55000000000000004">
      <c r="A85" s="216">
        <v>78</v>
      </c>
      <c r="B85" s="48" t="s">
        <v>108</v>
      </c>
      <c r="C85" s="217" t="s">
        <v>49</v>
      </c>
      <c r="D85" s="305">
        <v>1106811</v>
      </c>
      <c r="E85" s="930"/>
      <c r="F85" s="305">
        <v>528246.53</v>
      </c>
      <c r="G85" s="231">
        <f t="shared" si="4"/>
        <v>578564.47</v>
      </c>
      <c r="H85" s="230">
        <f t="shared" si="5"/>
        <v>47.726895558500956</v>
      </c>
      <c r="I85" s="230">
        <f t="shared" si="6"/>
        <v>47.726895558500956</v>
      </c>
      <c r="J85" s="515">
        <f t="shared" si="7"/>
        <v>528246.53</v>
      </c>
    </row>
    <row r="86" spans="1:10" s="219" customFormat="1" ht="24" x14ac:dyDescent="0.55000000000000004">
      <c r="A86" s="216">
        <v>79</v>
      </c>
      <c r="B86" s="48" t="s">
        <v>108</v>
      </c>
      <c r="C86" s="217" t="s">
        <v>50</v>
      </c>
      <c r="D86" s="305">
        <v>1173259</v>
      </c>
      <c r="E86" s="930"/>
      <c r="F86" s="305">
        <v>620719.51</v>
      </c>
      <c r="G86" s="231">
        <f t="shared" si="4"/>
        <v>552539.49</v>
      </c>
      <c r="H86" s="230">
        <f t="shared" si="5"/>
        <v>52.905582654810232</v>
      </c>
      <c r="I86" s="230">
        <f t="shared" si="6"/>
        <v>52.905582654810232</v>
      </c>
      <c r="J86" s="515">
        <f t="shared" si="7"/>
        <v>620719.51</v>
      </c>
    </row>
    <row r="87" spans="1:10" s="219" customFormat="1" ht="24" x14ac:dyDescent="0.55000000000000004">
      <c r="A87" s="216">
        <v>80</v>
      </c>
      <c r="B87" s="48" t="s">
        <v>108</v>
      </c>
      <c r="C87" s="217" t="s">
        <v>150</v>
      </c>
      <c r="D87" s="305">
        <v>494060</v>
      </c>
      <c r="E87" s="930"/>
      <c r="F87" s="305">
        <v>265043.18</v>
      </c>
      <c r="G87" s="231">
        <f t="shared" si="4"/>
        <v>229016.82</v>
      </c>
      <c r="H87" s="230">
        <f t="shared" si="5"/>
        <v>53.645949884629395</v>
      </c>
      <c r="I87" s="230">
        <f t="shared" si="6"/>
        <v>53.645949884629395</v>
      </c>
      <c r="J87" s="515">
        <f t="shared" si="7"/>
        <v>265043.18</v>
      </c>
    </row>
    <row r="88" spans="1:10" s="219" customFormat="1" ht="24" x14ac:dyDescent="0.55000000000000004">
      <c r="A88" s="216">
        <v>81</v>
      </c>
      <c r="B88" s="48" t="s">
        <v>108</v>
      </c>
      <c r="C88" s="217" t="s">
        <v>51</v>
      </c>
      <c r="D88" s="305">
        <v>668883</v>
      </c>
      <c r="E88" s="930"/>
      <c r="F88" s="305">
        <v>503266.72</v>
      </c>
      <c r="G88" s="231">
        <f t="shared" si="4"/>
        <v>165616.28000000003</v>
      </c>
      <c r="H88" s="230">
        <f t="shared" si="5"/>
        <v>75.239873042071636</v>
      </c>
      <c r="I88" s="230">
        <f t="shared" si="6"/>
        <v>75.239873042071636</v>
      </c>
      <c r="J88" s="515">
        <f t="shared" si="7"/>
        <v>503266.72</v>
      </c>
    </row>
    <row r="89" spans="1:10" s="219" customFormat="1" ht="24" x14ac:dyDescent="0.55000000000000004">
      <c r="A89" s="216">
        <v>82</v>
      </c>
      <c r="B89" s="48" t="s">
        <v>108</v>
      </c>
      <c r="C89" s="217" t="s">
        <v>151</v>
      </c>
      <c r="D89" s="305">
        <v>720590</v>
      </c>
      <c r="E89" s="930"/>
      <c r="F89" s="305">
        <v>316073.18</v>
      </c>
      <c r="G89" s="231">
        <f t="shared" si="4"/>
        <v>404516.82</v>
      </c>
      <c r="H89" s="230">
        <f t="shared" si="5"/>
        <v>43.863109396466783</v>
      </c>
      <c r="I89" s="230">
        <f t="shared" si="6"/>
        <v>43.863109396466783</v>
      </c>
      <c r="J89" s="515">
        <f t="shared" si="7"/>
        <v>316073.18</v>
      </c>
    </row>
    <row r="90" spans="1:10" s="219" customFormat="1" ht="24" x14ac:dyDescent="0.55000000000000004">
      <c r="A90" s="216">
        <v>83</v>
      </c>
      <c r="B90" s="48" t="s">
        <v>108</v>
      </c>
      <c r="C90" s="217" t="s">
        <v>152</v>
      </c>
      <c r="D90" s="305">
        <v>805678.74</v>
      </c>
      <c r="E90" s="305">
        <v>127500</v>
      </c>
      <c r="F90" s="305">
        <v>379886.74</v>
      </c>
      <c r="G90" s="231">
        <f t="shared" si="4"/>
        <v>298292</v>
      </c>
      <c r="H90" s="230">
        <f t="shared" si="5"/>
        <v>47.151143643184625</v>
      </c>
      <c r="I90" s="230">
        <f t="shared" si="6"/>
        <v>62.976309887486913</v>
      </c>
      <c r="J90" s="515">
        <f t="shared" si="7"/>
        <v>507386.74</v>
      </c>
    </row>
    <row r="91" spans="1:10" s="219" customFormat="1" ht="24" x14ac:dyDescent="0.55000000000000004">
      <c r="A91" s="216">
        <v>84</v>
      </c>
      <c r="B91" s="48" t="s">
        <v>108</v>
      </c>
      <c r="C91" s="217" t="s">
        <v>153</v>
      </c>
      <c r="D91" s="305">
        <v>697960</v>
      </c>
      <c r="E91" s="930"/>
      <c r="F91" s="305">
        <v>412982.53</v>
      </c>
      <c r="G91" s="231">
        <f t="shared" si="4"/>
        <v>284977.46999999997</v>
      </c>
      <c r="H91" s="230">
        <f t="shared" si="5"/>
        <v>59.169942403576137</v>
      </c>
      <c r="I91" s="230">
        <f t="shared" si="6"/>
        <v>59.169942403576137</v>
      </c>
      <c r="J91" s="515">
        <f t="shared" si="7"/>
        <v>412982.53</v>
      </c>
    </row>
    <row r="92" spans="1:10" s="219" customFormat="1" ht="24" x14ac:dyDescent="0.55000000000000004">
      <c r="A92" s="216">
        <v>85</v>
      </c>
      <c r="B92" s="48" t="s">
        <v>108</v>
      </c>
      <c r="C92" s="217" t="s">
        <v>52</v>
      </c>
      <c r="D92" s="305">
        <v>862630</v>
      </c>
      <c r="E92" s="930"/>
      <c r="F92" s="305">
        <v>726495.76</v>
      </c>
      <c r="G92" s="231">
        <f t="shared" si="4"/>
        <v>136134.24</v>
      </c>
      <c r="H92" s="230">
        <f t="shared" si="5"/>
        <v>84.218698630930987</v>
      </c>
      <c r="I92" s="230">
        <f t="shared" si="6"/>
        <v>84.218698630930987</v>
      </c>
      <c r="J92" s="515">
        <f t="shared" si="7"/>
        <v>726495.76</v>
      </c>
    </row>
    <row r="93" spans="1:10" s="219" customFormat="1" ht="24" x14ac:dyDescent="0.55000000000000004">
      <c r="A93" s="216">
        <v>86</v>
      </c>
      <c r="B93" s="48" t="s">
        <v>108</v>
      </c>
      <c r="C93" s="217" t="s">
        <v>53</v>
      </c>
      <c r="D93" s="305">
        <v>1159191</v>
      </c>
      <c r="E93" s="930"/>
      <c r="F93" s="305">
        <v>729336.08</v>
      </c>
      <c r="G93" s="231">
        <f t="shared" si="4"/>
        <v>429854.92000000004</v>
      </c>
      <c r="H93" s="230">
        <f t="shared" si="5"/>
        <v>62.917679657623289</v>
      </c>
      <c r="I93" s="230">
        <f t="shared" si="6"/>
        <v>62.917679657623289</v>
      </c>
      <c r="J93" s="515">
        <f t="shared" si="7"/>
        <v>729336.08</v>
      </c>
    </row>
    <row r="94" spans="1:10" s="219" customFormat="1" ht="24" x14ac:dyDescent="0.55000000000000004">
      <c r="A94" s="216">
        <v>87</v>
      </c>
      <c r="B94" s="48" t="s">
        <v>108</v>
      </c>
      <c r="C94" s="217" t="s">
        <v>154</v>
      </c>
      <c r="D94" s="305">
        <v>1445803</v>
      </c>
      <c r="E94" s="305">
        <v>334686.59999999998</v>
      </c>
      <c r="F94" s="305">
        <v>757841.35</v>
      </c>
      <c r="G94" s="231">
        <f t="shared" si="4"/>
        <v>353275.04999999993</v>
      </c>
      <c r="H94" s="230">
        <f t="shared" si="5"/>
        <v>52.41663974967544</v>
      </c>
      <c r="I94" s="230">
        <f t="shared" si="6"/>
        <v>75.565478146054474</v>
      </c>
      <c r="J94" s="515">
        <f t="shared" si="7"/>
        <v>1092527.95</v>
      </c>
    </row>
    <row r="95" spans="1:10" s="219" customFormat="1" ht="24" x14ac:dyDescent="0.55000000000000004">
      <c r="A95" s="216">
        <v>88</v>
      </c>
      <c r="B95" s="48" t="s">
        <v>108</v>
      </c>
      <c r="C95" s="217" t="s">
        <v>155</v>
      </c>
      <c r="D95" s="305">
        <v>973526</v>
      </c>
      <c r="E95" s="305">
        <v>141420</v>
      </c>
      <c r="F95" s="305">
        <v>459495.66</v>
      </c>
      <c r="G95" s="231">
        <f t="shared" si="4"/>
        <v>372610.34</v>
      </c>
      <c r="H95" s="230">
        <f t="shared" si="5"/>
        <v>47.199115380585624</v>
      </c>
      <c r="I95" s="230">
        <f t="shared" si="6"/>
        <v>61.72569196919239</v>
      </c>
      <c r="J95" s="515">
        <f t="shared" si="7"/>
        <v>600915.65999999992</v>
      </c>
    </row>
    <row r="96" spans="1:10" s="219" customFormat="1" ht="24" x14ac:dyDescent="0.55000000000000004">
      <c r="A96" s="216">
        <v>89</v>
      </c>
      <c r="B96" s="48" t="s">
        <v>108</v>
      </c>
      <c r="C96" s="217" t="s">
        <v>156</v>
      </c>
      <c r="D96" s="305">
        <v>3547054</v>
      </c>
      <c r="E96" s="305">
        <v>98008.75</v>
      </c>
      <c r="F96" s="305">
        <v>1819358.03</v>
      </c>
      <c r="G96" s="231">
        <f t="shared" si="4"/>
        <v>1629687.22</v>
      </c>
      <c r="H96" s="230">
        <f t="shared" si="5"/>
        <v>51.292087179952716</v>
      </c>
      <c r="I96" s="230">
        <f t="shared" si="6"/>
        <v>54.055190025299872</v>
      </c>
      <c r="J96" s="515">
        <f t="shared" si="7"/>
        <v>1917366.78</v>
      </c>
    </row>
    <row r="97" spans="1:10" s="219" customFormat="1" ht="24" x14ac:dyDescent="0.55000000000000004">
      <c r="A97" s="216">
        <v>90</v>
      </c>
      <c r="B97" s="48" t="s">
        <v>108</v>
      </c>
      <c r="C97" s="217" t="s">
        <v>54</v>
      </c>
      <c r="D97" s="305">
        <v>1084740</v>
      </c>
      <c r="E97" s="930"/>
      <c r="F97" s="305">
        <v>601712.64000000001</v>
      </c>
      <c r="G97" s="231">
        <f t="shared" si="4"/>
        <v>483027.36</v>
      </c>
      <c r="H97" s="230">
        <f t="shared" si="5"/>
        <v>55.470678687980531</v>
      </c>
      <c r="I97" s="230">
        <f t="shared" si="6"/>
        <v>55.470678687980531</v>
      </c>
      <c r="J97" s="515">
        <f t="shared" si="7"/>
        <v>601712.64000000001</v>
      </c>
    </row>
    <row r="98" spans="1:10" s="219" customFormat="1" ht="24" x14ac:dyDescent="0.55000000000000004">
      <c r="A98" s="216">
        <v>91</v>
      </c>
      <c r="B98" s="48" t="s">
        <v>108</v>
      </c>
      <c r="C98" s="217" t="s">
        <v>55</v>
      </c>
      <c r="D98" s="305">
        <v>981968</v>
      </c>
      <c r="E98" s="305">
        <v>243720</v>
      </c>
      <c r="F98" s="305">
        <v>543819.62</v>
      </c>
      <c r="G98" s="231">
        <f t="shared" si="4"/>
        <v>194428.38</v>
      </c>
      <c r="H98" s="230">
        <f t="shared" si="5"/>
        <v>55.380584703371191</v>
      </c>
      <c r="I98" s="230">
        <f t="shared" si="6"/>
        <v>80.200130757825107</v>
      </c>
      <c r="J98" s="515">
        <f t="shared" si="7"/>
        <v>787539.62</v>
      </c>
    </row>
    <row r="99" spans="1:10" s="219" customFormat="1" ht="24" x14ac:dyDescent="0.55000000000000004">
      <c r="A99" s="216">
        <v>92</v>
      </c>
      <c r="B99" s="48" t="s">
        <v>110</v>
      </c>
      <c r="C99" s="217" t="s">
        <v>20</v>
      </c>
      <c r="D99" s="305">
        <v>1987324</v>
      </c>
      <c r="E99" s="305">
        <v>382140.5</v>
      </c>
      <c r="F99" s="305">
        <v>1058073.81</v>
      </c>
      <c r="G99" s="231">
        <f t="shared" si="4"/>
        <v>547109.68999999994</v>
      </c>
      <c r="H99" s="230">
        <f t="shared" si="5"/>
        <v>53.241132799684401</v>
      </c>
      <c r="I99" s="230">
        <f t="shared" si="6"/>
        <v>72.470030553649025</v>
      </c>
      <c r="J99" s="515">
        <f t="shared" si="7"/>
        <v>1440214.31</v>
      </c>
    </row>
    <row r="100" spans="1:10" s="219" customFormat="1" ht="24" x14ac:dyDescent="0.55000000000000004">
      <c r="A100" s="216">
        <v>93</v>
      </c>
      <c r="B100" s="48" t="s">
        <v>110</v>
      </c>
      <c r="C100" s="217" t="s">
        <v>157</v>
      </c>
      <c r="D100" s="305">
        <v>2829441</v>
      </c>
      <c r="E100" s="930"/>
      <c r="F100" s="305">
        <v>1245877.3799999999</v>
      </c>
      <c r="G100" s="231">
        <f t="shared" si="4"/>
        <v>1583563.62</v>
      </c>
      <c r="H100" s="230">
        <f t="shared" si="5"/>
        <v>44.032633301065474</v>
      </c>
      <c r="I100" s="230">
        <f t="shared" si="6"/>
        <v>44.032633301065474</v>
      </c>
      <c r="J100" s="515">
        <f t="shared" si="7"/>
        <v>1245877.3799999999</v>
      </c>
    </row>
    <row r="101" spans="1:10" s="219" customFormat="1" ht="24" x14ac:dyDescent="0.55000000000000004">
      <c r="A101" s="216">
        <v>94</v>
      </c>
      <c r="B101" s="48" t="s">
        <v>108</v>
      </c>
      <c r="C101" s="217" t="s">
        <v>86</v>
      </c>
      <c r="D101" s="305">
        <v>1122964</v>
      </c>
      <c r="E101" s="930"/>
      <c r="F101" s="305">
        <v>872483.43</v>
      </c>
      <c r="G101" s="231">
        <f t="shared" si="4"/>
        <v>250480.56999999995</v>
      </c>
      <c r="H101" s="230">
        <f t="shared" si="5"/>
        <v>77.694692795138579</v>
      </c>
      <c r="I101" s="230">
        <f t="shared" si="6"/>
        <v>77.694692795138579</v>
      </c>
      <c r="J101" s="515">
        <f t="shared" si="7"/>
        <v>872483.43</v>
      </c>
    </row>
    <row r="102" spans="1:10" s="219" customFormat="1" ht="24" x14ac:dyDescent="0.55000000000000004">
      <c r="A102" s="216">
        <v>95</v>
      </c>
      <c r="B102" s="48" t="s">
        <v>110</v>
      </c>
      <c r="C102" s="217" t="s">
        <v>43</v>
      </c>
      <c r="D102" s="305">
        <v>3207127</v>
      </c>
      <c r="E102" s="930"/>
      <c r="F102" s="305">
        <v>1518181.87</v>
      </c>
      <c r="G102" s="231">
        <f t="shared" si="4"/>
        <v>1688945.13</v>
      </c>
      <c r="H102" s="230">
        <f t="shared" si="5"/>
        <v>47.337753384883108</v>
      </c>
      <c r="I102" s="230">
        <f t="shared" si="6"/>
        <v>47.337753384883108</v>
      </c>
      <c r="J102" s="515">
        <f t="shared" si="7"/>
        <v>1518181.87</v>
      </c>
    </row>
    <row r="103" spans="1:10" s="219" customFormat="1" ht="24.75" thickBot="1" x14ac:dyDescent="0.6">
      <c r="A103" s="671">
        <v>96</v>
      </c>
      <c r="B103" s="683" t="s">
        <v>110</v>
      </c>
      <c r="C103" s="684" t="s">
        <v>213</v>
      </c>
      <c r="D103" s="811">
        <f>2419853-54064</f>
        <v>2365789</v>
      </c>
      <c r="E103" s="811">
        <v>874318.09</v>
      </c>
      <c r="F103" s="811">
        <v>1346047.7</v>
      </c>
      <c r="G103" s="812">
        <f t="shared" si="4"/>
        <v>145423.2100000002</v>
      </c>
      <c r="H103" s="230">
        <f t="shared" si="5"/>
        <v>56.896354662228966</v>
      </c>
      <c r="I103" s="230">
        <f t="shared" si="6"/>
        <v>93.853077768135705</v>
      </c>
      <c r="J103" s="515">
        <f t="shared" si="7"/>
        <v>2220365.79</v>
      </c>
    </row>
    <row r="104" spans="1:10" s="215" customFormat="1" ht="24.75" thickBot="1" x14ac:dyDescent="0.6">
      <c r="A104" s="1279" t="s">
        <v>159</v>
      </c>
      <c r="B104" s="1280"/>
      <c r="C104" s="1280"/>
      <c r="D104" s="518">
        <f>SUM(D8:D103)</f>
        <v>216270500.00000003</v>
      </c>
      <c r="E104" s="1442">
        <f>SUM(E8:E103)</f>
        <v>44861334.840000018</v>
      </c>
      <c r="F104" s="1443">
        <f>SUM(F8:F103)</f>
        <v>108116326.24000004</v>
      </c>
      <c r="G104" s="518">
        <f>SUM(G8:G103)</f>
        <v>63292838.920000009</v>
      </c>
      <c r="H104" s="519">
        <f>F104*100/D104</f>
        <v>49.991249957807476</v>
      </c>
      <c r="I104" s="519">
        <f t="shared" ref="I104" si="8">+J104*100/D104</f>
        <v>70.734409491816962</v>
      </c>
      <c r="J104" s="515">
        <f t="shared" si="7"/>
        <v>152977661.08000004</v>
      </c>
    </row>
    <row r="105" spans="1:10" s="219" customFormat="1" ht="24.75" thickTop="1" x14ac:dyDescent="0.55000000000000004">
      <c r="A105" s="225" t="s">
        <v>160</v>
      </c>
      <c r="B105" s="682"/>
      <c r="C105" s="225" t="s">
        <v>979</v>
      </c>
      <c r="D105" s="220"/>
      <c r="E105" s="224"/>
      <c r="G105" s="225"/>
      <c r="H105" s="215"/>
      <c r="I105" s="215"/>
    </row>
    <row r="106" spans="1:10" s="219" customFormat="1" ht="24" hidden="1" x14ac:dyDescent="0.55000000000000004">
      <c r="A106" s="225"/>
      <c r="B106" s="221"/>
      <c r="C106" s="1278" t="s">
        <v>734</v>
      </c>
      <c r="D106" s="1278"/>
      <c r="E106" s="1278"/>
      <c r="F106" s="1278"/>
      <c r="G106" s="1278"/>
      <c r="H106" s="1278"/>
      <c r="I106" s="1278"/>
    </row>
    <row r="107" spans="1:10" s="219" customFormat="1" ht="24" hidden="1" x14ac:dyDescent="0.55000000000000004">
      <c r="B107" s="221"/>
      <c r="C107" s="222"/>
      <c r="D107" s="220"/>
      <c r="E107" s="224"/>
      <c r="G107" s="225"/>
      <c r="H107" s="215"/>
      <c r="I107" s="215"/>
    </row>
    <row r="108" spans="1:10" s="219" customFormat="1" ht="24" hidden="1" x14ac:dyDescent="0.55000000000000004">
      <c r="B108" s="221"/>
      <c r="C108" s="522" t="s">
        <v>649</v>
      </c>
      <c r="D108" s="515"/>
      <c r="E108" s="224"/>
      <c r="F108" s="515"/>
      <c r="G108" s="225"/>
      <c r="H108" s="215"/>
      <c r="I108" s="215"/>
    </row>
    <row r="109" spans="1:10" s="219" customFormat="1" ht="24" x14ac:dyDescent="0.55000000000000004">
      <c r="B109" s="221"/>
      <c r="C109" s="222"/>
      <c r="E109" s="224"/>
      <c r="F109" s="220"/>
      <c r="G109" s="225"/>
      <c r="H109" s="215"/>
      <c r="I109" s="215"/>
    </row>
    <row r="110" spans="1:10" s="219" customFormat="1" ht="24" x14ac:dyDescent="0.55000000000000004">
      <c r="B110" s="221"/>
      <c r="C110" s="222"/>
      <c r="E110" s="224"/>
      <c r="G110" s="225"/>
      <c r="H110" s="215"/>
      <c r="I110" s="215"/>
    </row>
    <row r="111" spans="1:10" s="219" customFormat="1" ht="24" x14ac:dyDescent="0.55000000000000004">
      <c r="B111" s="221"/>
      <c r="C111" s="222"/>
      <c r="E111" s="224"/>
      <c r="F111" s="220"/>
      <c r="G111" s="225"/>
      <c r="H111" s="215"/>
      <c r="I111" s="215"/>
    </row>
    <row r="112" spans="1:10" s="219" customFormat="1" ht="24" x14ac:dyDescent="0.55000000000000004">
      <c r="B112" s="221"/>
      <c r="C112" s="222"/>
      <c r="E112" s="224"/>
      <c r="G112" s="225"/>
      <c r="H112" s="215"/>
      <c r="I112" s="215"/>
    </row>
    <row r="113" spans="2:9" s="219" customFormat="1" ht="24" x14ac:dyDescent="0.55000000000000004">
      <c r="B113" s="221"/>
      <c r="C113" s="222"/>
      <c r="E113" s="224"/>
      <c r="G113" s="225"/>
      <c r="H113" s="215"/>
      <c r="I113" s="215"/>
    </row>
    <row r="114" spans="2:9" s="219" customFormat="1" ht="24" x14ac:dyDescent="0.55000000000000004">
      <c r="B114" s="221"/>
      <c r="C114" s="222"/>
      <c r="E114" s="224"/>
      <c r="G114" s="225"/>
      <c r="H114" s="215"/>
      <c r="I114" s="215"/>
    </row>
    <row r="127" spans="2:9" x14ac:dyDescent="0.65">
      <c r="D127" s="487"/>
      <c r="F127" s="487"/>
    </row>
    <row r="129" spans="1:6" hidden="1" x14ac:dyDescent="0.65">
      <c r="A129" s="484" t="s">
        <v>204</v>
      </c>
      <c r="D129" s="483"/>
      <c r="F129" s="483"/>
    </row>
    <row r="130" spans="1:6" x14ac:dyDescent="0.65">
      <c r="D130" s="483"/>
      <c r="F130" s="487"/>
    </row>
  </sheetData>
  <mergeCells count="9">
    <mergeCell ref="A1:I1"/>
    <mergeCell ref="A2:I2"/>
    <mergeCell ref="A4:I4"/>
    <mergeCell ref="A5:I5"/>
    <mergeCell ref="C106:I106"/>
    <mergeCell ref="A104:C104"/>
    <mergeCell ref="A3:H3"/>
    <mergeCell ref="A6:A7"/>
    <mergeCell ref="B6:C7"/>
  </mergeCells>
  <pageMargins left="0.39370078740157499" right="0.35433070866141703" top="0.66929133858267698" bottom="0.511811023622047" header="0.31496062992126" footer="0.23622047244094499"/>
  <pageSetup paperSize="9" scale="80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13"/>
  <sheetViews>
    <sheetView zoomScaleNormal="100" workbookViewId="0">
      <selection activeCell="P1" sqref="P1:V1048576"/>
    </sheetView>
  </sheetViews>
  <sheetFormatPr defaultRowHeight="27.75" x14ac:dyDescent="0.65"/>
  <cols>
    <col min="1" max="1" width="6.85546875" style="493" customWidth="1"/>
    <col min="2" max="2" width="4.7109375" style="497" customWidth="1"/>
    <col min="3" max="3" width="12.5703125" style="498" customWidth="1"/>
    <col min="4" max="4" width="17" style="496" customWidth="1"/>
    <col min="5" max="5" width="21" style="496" bestFit="1" customWidth="1"/>
    <col min="6" max="6" width="18.85546875" style="499" bestFit="1" customWidth="1"/>
    <col min="7" max="8" width="17" style="499" customWidth="1"/>
    <col min="9" max="9" width="18.85546875" style="500" bestFit="1" customWidth="1"/>
    <col min="10" max="10" width="16" style="488" bestFit="1" customWidth="1"/>
    <col min="11" max="11" width="11.7109375" style="488" customWidth="1"/>
    <col min="12" max="12" width="12.140625" style="493" hidden="1" customWidth="1"/>
    <col min="13" max="13" width="16.140625" style="493" hidden="1" customWidth="1"/>
    <col min="14" max="16" width="14.140625" style="493" hidden="1" customWidth="1"/>
    <col min="17" max="22" width="0" style="493" hidden="1" customWidth="1"/>
    <col min="23" max="16384" width="9.140625" style="493"/>
  </cols>
  <sheetData>
    <row r="1" spans="1:16" s="488" customFormat="1" x14ac:dyDescent="0.65">
      <c r="A1" s="1251" t="s">
        <v>57</v>
      </c>
      <c r="B1" s="1251"/>
      <c r="C1" s="1251"/>
      <c r="D1" s="1251"/>
      <c r="E1" s="1251"/>
      <c r="F1" s="1251"/>
      <c r="G1" s="1251"/>
      <c r="H1" s="1251"/>
      <c r="I1" s="1251"/>
      <c r="J1" s="1251"/>
      <c r="K1" s="1251"/>
    </row>
    <row r="2" spans="1:16" s="488" customFormat="1" x14ac:dyDescent="0.65">
      <c r="A2" s="1275" t="str">
        <f>+'4. งบดำเนินงาน (GF)'!A2:H2</f>
        <v xml:space="preserve">สรุปสถานะการใช้จ่ายเงินงบประมาณประจำปีงบประมาณ พ.ศ. 2565 ในระบบ GFMIS     </v>
      </c>
      <c r="B2" s="1275"/>
      <c r="C2" s="1275"/>
      <c r="D2" s="1275"/>
      <c r="E2" s="1275"/>
      <c r="F2" s="1275"/>
      <c r="G2" s="1275"/>
      <c r="H2" s="1275"/>
      <c r="I2" s="1275"/>
      <c r="J2" s="1275"/>
      <c r="K2" s="1275"/>
    </row>
    <row r="3" spans="1:16" s="488" customFormat="1" hidden="1" x14ac:dyDescent="0.65">
      <c r="A3" s="1252"/>
      <c r="B3" s="1252"/>
      <c r="C3" s="1252"/>
      <c r="D3" s="1252"/>
      <c r="E3" s="1252"/>
      <c r="F3" s="1252"/>
      <c r="G3" s="1252"/>
      <c r="H3" s="1252"/>
      <c r="I3" s="1252"/>
      <c r="J3" s="1252"/>
    </row>
    <row r="4" spans="1:16" s="488" customFormat="1" x14ac:dyDescent="0.65">
      <c r="A4" s="1252" t="s">
        <v>281</v>
      </c>
      <c r="B4" s="1252"/>
      <c r="C4" s="1252"/>
      <c r="D4" s="1252"/>
      <c r="E4" s="1252"/>
      <c r="F4" s="1252"/>
      <c r="G4" s="1252"/>
      <c r="H4" s="1252"/>
      <c r="I4" s="1252"/>
      <c r="J4" s="1252"/>
      <c r="K4" s="1252"/>
    </row>
    <row r="5" spans="1:16" s="488" customFormat="1" x14ac:dyDescent="0.65">
      <c r="A5" s="1277" t="str">
        <f>+รายจ่ายจริง!A3:P3</f>
        <v>ตั้งแต่วันที่ 1  ตุลาคม 2564 ถึงวันที่ 31 มกราคม 2565</v>
      </c>
      <c r="B5" s="1277"/>
      <c r="C5" s="1277"/>
      <c r="D5" s="1277"/>
      <c r="E5" s="1277"/>
      <c r="F5" s="1277"/>
      <c r="G5" s="1277"/>
      <c r="H5" s="1277"/>
      <c r="I5" s="1277"/>
      <c r="J5" s="1277"/>
      <c r="K5" s="1277"/>
    </row>
    <row r="6" spans="1:16" s="488" customFormat="1" x14ac:dyDescent="0.65">
      <c r="A6" s="1276" t="s">
        <v>0</v>
      </c>
      <c r="B6" s="1276" t="s">
        <v>1</v>
      </c>
      <c r="C6" s="1276"/>
      <c r="D6" s="1292" t="s">
        <v>66</v>
      </c>
      <c r="E6" s="1292"/>
      <c r="F6" s="1292"/>
      <c r="G6" s="489" t="s">
        <v>104</v>
      </c>
      <c r="H6" s="480" t="s">
        <v>105</v>
      </c>
      <c r="I6" s="480" t="s">
        <v>60</v>
      </c>
      <c r="J6" s="490" t="s">
        <v>65</v>
      </c>
      <c r="K6" s="490" t="s">
        <v>65</v>
      </c>
    </row>
    <row r="7" spans="1:16" s="488" customFormat="1" x14ac:dyDescent="0.65">
      <c r="A7" s="1276"/>
      <c r="B7" s="1276"/>
      <c r="C7" s="1276"/>
      <c r="D7" s="120" t="s">
        <v>11</v>
      </c>
      <c r="E7" s="491" t="s">
        <v>162</v>
      </c>
      <c r="F7" s="491" t="s">
        <v>211</v>
      </c>
      <c r="G7" s="482" t="s">
        <v>2</v>
      </c>
      <c r="H7" s="482" t="s">
        <v>2</v>
      </c>
      <c r="I7" s="482" t="s">
        <v>2</v>
      </c>
      <c r="J7" s="492" t="s">
        <v>106</v>
      </c>
      <c r="K7" s="492" t="s">
        <v>629</v>
      </c>
    </row>
    <row r="8" spans="1:16" s="223" customFormat="1" ht="24" x14ac:dyDescent="0.55000000000000004">
      <c r="A8" s="216">
        <v>1</v>
      </c>
      <c r="B8" s="48" t="s">
        <v>107</v>
      </c>
      <c r="C8" s="217"/>
      <c r="D8" s="306">
        <v>4664350.22</v>
      </c>
      <c r="E8" s="306">
        <v>23377392.079999998</v>
      </c>
      <c r="F8" s="299">
        <f>SUM(D8:E8)</f>
        <v>28041742.299999997</v>
      </c>
      <c r="G8" s="299">
        <f>6235800+746218</f>
        <v>6982018</v>
      </c>
      <c r="H8" s="228">
        <f>113800+0</f>
        <v>113800</v>
      </c>
      <c r="I8" s="231">
        <f>+F8-G8-H8</f>
        <v>20945924.299999997</v>
      </c>
      <c r="J8" s="528">
        <f>H8*100/F8</f>
        <v>0.40582357109814826</v>
      </c>
      <c r="K8" s="528">
        <f>+L8*100/F8</f>
        <v>25.304483309512477</v>
      </c>
      <c r="L8" s="271">
        <f>+G8+H8</f>
        <v>7095818</v>
      </c>
      <c r="M8" s="271">
        <f>174236400-E104</f>
        <v>126438585</v>
      </c>
    </row>
    <row r="9" spans="1:16" s="223" customFormat="1" ht="24" x14ac:dyDescent="0.55000000000000004">
      <c r="A9" s="216">
        <v>2</v>
      </c>
      <c r="B9" s="48" t="s">
        <v>108</v>
      </c>
      <c r="C9" s="217" t="s">
        <v>109</v>
      </c>
      <c r="D9" s="306">
        <v>18600</v>
      </c>
      <c r="E9" s="306">
        <v>441375</v>
      </c>
      <c r="F9" s="299">
        <f t="shared" ref="F9:F72" si="0">SUM(D9:E9)</f>
        <v>459975</v>
      </c>
      <c r="G9" s="299">
        <v>0</v>
      </c>
      <c r="H9" s="228">
        <f>18600+441375</f>
        <v>459975</v>
      </c>
      <c r="I9" s="231">
        <f t="shared" ref="I9:I72" si="1">+F9-G9-H9</f>
        <v>0</v>
      </c>
      <c r="J9" s="528">
        <f t="shared" ref="J9:J72" si="2">H9*100/F9</f>
        <v>100</v>
      </c>
      <c r="K9" s="528">
        <f t="shared" ref="K9:K72" si="3">+L9*100/F9</f>
        <v>100</v>
      </c>
      <c r="L9" s="223">
        <f t="shared" ref="L9:L72" si="4">+G9+H9</f>
        <v>459975</v>
      </c>
    </row>
    <row r="10" spans="1:16" s="223" customFormat="1" ht="24" x14ac:dyDescent="0.55000000000000004">
      <c r="A10" s="216">
        <v>3</v>
      </c>
      <c r="B10" s="48" t="s">
        <v>110</v>
      </c>
      <c r="C10" s="217" t="s">
        <v>18</v>
      </c>
      <c r="D10" s="306">
        <v>459973.2</v>
      </c>
      <c r="E10" s="306">
        <v>0</v>
      </c>
      <c r="F10" s="299">
        <f t="shared" si="0"/>
        <v>459973.2</v>
      </c>
      <c r="G10" s="299">
        <v>0</v>
      </c>
      <c r="H10" s="228">
        <v>459973.2</v>
      </c>
      <c r="I10" s="231">
        <f t="shared" si="1"/>
        <v>0</v>
      </c>
      <c r="J10" s="528">
        <f t="shared" si="2"/>
        <v>100</v>
      </c>
      <c r="K10" s="528">
        <f t="shared" si="3"/>
        <v>100</v>
      </c>
      <c r="L10" s="223">
        <f t="shared" si="4"/>
        <v>459973.2</v>
      </c>
    </row>
    <row r="11" spans="1:16" s="223" customFormat="1" ht="24" x14ac:dyDescent="0.55000000000000004">
      <c r="A11" s="216">
        <v>4</v>
      </c>
      <c r="B11" s="48" t="s">
        <v>110</v>
      </c>
      <c r="C11" s="217" t="s">
        <v>75</v>
      </c>
      <c r="D11" s="306">
        <v>217640</v>
      </c>
      <c r="E11" s="306">
        <v>0</v>
      </c>
      <c r="F11" s="299">
        <f t="shared" si="0"/>
        <v>217640</v>
      </c>
      <c r="G11" s="299">
        <v>0</v>
      </c>
      <c r="H11" s="228">
        <v>217640</v>
      </c>
      <c r="I11" s="231">
        <f t="shared" si="1"/>
        <v>0</v>
      </c>
      <c r="J11" s="528">
        <f t="shared" si="2"/>
        <v>100</v>
      </c>
      <c r="K11" s="528">
        <f t="shared" si="3"/>
        <v>100</v>
      </c>
      <c r="L11" s="223">
        <f t="shared" si="4"/>
        <v>217640</v>
      </c>
    </row>
    <row r="12" spans="1:16" s="223" customFormat="1" ht="24" x14ac:dyDescent="0.55000000000000004">
      <c r="A12" s="216">
        <v>5</v>
      </c>
      <c r="B12" s="48" t="s">
        <v>110</v>
      </c>
      <c r="C12" s="217" t="s">
        <v>111</v>
      </c>
      <c r="D12" s="306">
        <v>140233.25</v>
      </c>
      <c r="E12" s="306">
        <v>0</v>
      </c>
      <c r="F12" s="299">
        <f t="shared" si="0"/>
        <v>140233.25</v>
      </c>
      <c r="G12" s="299">
        <v>0</v>
      </c>
      <c r="H12" s="228">
        <v>140233.25</v>
      </c>
      <c r="I12" s="231">
        <f t="shared" si="1"/>
        <v>0</v>
      </c>
      <c r="J12" s="528">
        <f t="shared" si="2"/>
        <v>100</v>
      </c>
      <c r="K12" s="528">
        <f t="shared" si="3"/>
        <v>100</v>
      </c>
      <c r="L12" s="223">
        <f t="shared" si="4"/>
        <v>140233.25</v>
      </c>
    </row>
    <row r="13" spans="1:16" s="223" customFormat="1" ht="24" x14ac:dyDescent="0.55000000000000004">
      <c r="A13" s="216">
        <v>6</v>
      </c>
      <c r="B13" s="48" t="s">
        <v>110</v>
      </c>
      <c r="C13" s="217" t="s">
        <v>72</v>
      </c>
      <c r="D13" s="306">
        <v>255950</v>
      </c>
      <c r="E13" s="306">
        <v>0</v>
      </c>
      <c r="F13" s="299">
        <f t="shared" si="0"/>
        <v>255950</v>
      </c>
      <c r="G13" s="299">
        <v>0</v>
      </c>
      <c r="H13" s="228">
        <v>255950</v>
      </c>
      <c r="I13" s="231">
        <f t="shared" si="1"/>
        <v>0</v>
      </c>
      <c r="J13" s="528">
        <f t="shared" si="2"/>
        <v>100</v>
      </c>
      <c r="K13" s="528">
        <f t="shared" si="3"/>
        <v>100</v>
      </c>
      <c r="L13" s="223">
        <f t="shared" si="4"/>
        <v>255950</v>
      </c>
    </row>
    <row r="14" spans="1:16" s="223" customFormat="1" ht="24" x14ac:dyDescent="0.55000000000000004">
      <c r="A14" s="216">
        <v>7</v>
      </c>
      <c r="B14" s="48" t="s">
        <v>110</v>
      </c>
      <c r="C14" s="217" t="s">
        <v>101</v>
      </c>
      <c r="D14" s="306">
        <f>1237100-40220</f>
        <v>1196880</v>
      </c>
      <c r="E14" s="306">
        <f>1241100-451100</f>
        <v>790000</v>
      </c>
      <c r="F14" s="299">
        <f t="shared" si="0"/>
        <v>1986880</v>
      </c>
      <c r="G14" s="299">
        <v>0</v>
      </c>
      <c r="H14" s="228">
        <f>1196880+790000</f>
        <v>1986880</v>
      </c>
      <c r="I14" s="231">
        <f t="shared" si="1"/>
        <v>0</v>
      </c>
      <c r="J14" s="528">
        <f t="shared" si="2"/>
        <v>100</v>
      </c>
      <c r="K14" s="528">
        <f t="shared" si="3"/>
        <v>100</v>
      </c>
      <c r="L14" s="223">
        <f t="shared" si="4"/>
        <v>1986880</v>
      </c>
      <c r="N14" s="504">
        <f>+D14+D103</f>
        <v>1369640</v>
      </c>
      <c r="O14" s="504">
        <f>+D14+D103</f>
        <v>1369640</v>
      </c>
      <c r="P14" s="504">
        <f>+D14+D103</f>
        <v>1369640</v>
      </c>
    </row>
    <row r="15" spans="1:16" s="223" customFormat="1" ht="24" x14ac:dyDescent="0.55000000000000004">
      <c r="A15" s="216">
        <v>8</v>
      </c>
      <c r="B15" s="48" t="s">
        <v>110</v>
      </c>
      <c r="C15" s="217" t="s">
        <v>112</v>
      </c>
      <c r="D15" s="306">
        <v>477098.82</v>
      </c>
      <c r="E15" s="306">
        <v>0</v>
      </c>
      <c r="F15" s="299">
        <f t="shared" si="0"/>
        <v>477098.82</v>
      </c>
      <c r="G15" s="299">
        <v>0</v>
      </c>
      <c r="H15" s="228">
        <v>477098.82</v>
      </c>
      <c r="I15" s="231">
        <f t="shared" si="1"/>
        <v>0</v>
      </c>
      <c r="J15" s="528">
        <f t="shared" si="2"/>
        <v>100</v>
      </c>
      <c r="K15" s="528">
        <f t="shared" si="3"/>
        <v>100</v>
      </c>
      <c r="L15" s="223">
        <f t="shared" si="4"/>
        <v>477098.82</v>
      </c>
      <c r="N15" s="504">
        <f>216050-I14</f>
        <v>216050</v>
      </c>
      <c r="P15" s="223">
        <v>1369640</v>
      </c>
    </row>
    <row r="16" spans="1:16" s="223" customFormat="1" ht="24" x14ac:dyDescent="0.55000000000000004">
      <c r="A16" s="216">
        <v>9</v>
      </c>
      <c r="B16" s="48" t="s">
        <v>110</v>
      </c>
      <c r="C16" s="217" t="s">
        <v>113</v>
      </c>
      <c r="D16" s="306">
        <v>138180</v>
      </c>
      <c r="E16" s="306">
        <v>0</v>
      </c>
      <c r="F16" s="299">
        <f t="shared" si="0"/>
        <v>138180</v>
      </c>
      <c r="G16" s="299">
        <v>0</v>
      </c>
      <c r="H16" s="228">
        <v>138180</v>
      </c>
      <c r="I16" s="231">
        <f t="shared" si="1"/>
        <v>0</v>
      </c>
      <c r="J16" s="528">
        <f t="shared" si="2"/>
        <v>100</v>
      </c>
      <c r="K16" s="528">
        <f t="shared" si="3"/>
        <v>100</v>
      </c>
      <c r="L16" s="223">
        <f t="shared" si="4"/>
        <v>138180</v>
      </c>
      <c r="P16" s="504">
        <f>+P15-P14</f>
        <v>0</v>
      </c>
    </row>
    <row r="17" spans="1:12" s="223" customFormat="1" ht="24" x14ac:dyDescent="0.55000000000000004">
      <c r="A17" s="216">
        <v>10</v>
      </c>
      <c r="B17" s="48" t="s">
        <v>110</v>
      </c>
      <c r="C17" s="217" t="s">
        <v>114</v>
      </c>
      <c r="D17" s="306">
        <v>1421293.5</v>
      </c>
      <c r="E17" s="306">
        <v>0</v>
      </c>
      <c r="F17" s="299">
        <f t="shared" si="0"/>
        <v>1421293.5</v>
      </c>
      <c r="G17" s="299">
        <v>0</v>
      </c>
      <c r="H17" s="228">
        <v>1421293.5</v>
      </c>
      <c r="I17" s="231">
        <f t="shared" si="1"/>
        <v>0</v>
      </c>
      <c r="J17" s="528">
        <f t="shared" si="2"/>
        <v>100</v>
      </c>
      <c r="K17" s="528">
        <f t="shared" si="3"/>
        <v>100</v>
      </c>
      <c r="L17" s="223">
        <f t="shared" si="4"/>
        <v>1421293.5</v>
      </c>
    </row>
    <row r="18" spans="1:12" s="223" customFormat="1" ht="24" x14ac:dyDescent="0.55000000000000004">
      <c r="A18" s="216">
        <v>11</v>
      </c>
      <c r="B18" s="48" t="s">
        <v>110</v>
      </c>
      <c r="C18" s="217" t="s">
        <v>115</v>
      </c>
      <c r="D18" s="306">
        <v>940832</v>
      </c>
      <c r="E18" s="306">
        <v>0</v>
      </c>
      <c r="F18" s="299">
        <f t="shared" si="0"/>
        <v>940832</v>
      </c>
      <c r="G18" s="299">
        <v>0</v>
      </c>
      <c r="H18" s="228">
        <v>940832</v>
      </c>
      <c r="I18" s="231">
        <f t="shared" si="1"/>
        <v>0</v>
      </c>
      <c r="J18" s="528">
        <f t="shared" si="2"/>
        <v>100</v>
      </c>
      <c r="K18" s="528">
        <f t="shared" si="3"/>
        <v>100</v>
      </c>
      <c r="L18" s="223">
        <f t="shared" si="4"/>
        <v>940832</v>
      </c>
    </row>
    <row r="19" spans="1:12" s="223" customFormat="1" ht="24" x14ac:dyDescent="0.55000000000000004">
      <c r="A19" s="216">
        <v>12</v>
      </c>
      <c r="B19" s="48" t="s">
        <v>110</v>
      </c>
      <c r="C19" s="217" t="s">
        <v>116</v>
      </c>
      <c r="D19" s="306">
        <v>882090</v>
      </c>
      <c r="E19" s="306">
        <v>0</v>
      </c>
      <c r="F19" s="299">
        <f t="shared" si="0"/>
        <v>882090</v>
      </c>
      <c r="G19" s="299">
        <v>0</v>
      </c>
      <c r="H19" s="228">
        <v>882090</v>
      </c>
      <c r="I19" s="231">
        <f t="shared" si="1"/>
        <v>0</v>
      </c>
      <c r="J19" s="528">
        <f t="shared" si="2"/>
        <v>100</v>
      </c>
      <c r="K19" s="528">
        <f t="shared" si="3"/>
        <v>100</v>
      </c>
      <c r="L19" s="223">
        <f t="shared" si="4"/>
        <v>882090</v>
      </c>
    </row>
    <row r="20" spans="1:12" s="223" customFormat="1" ht="24" x14ac:dyDescent="0.55000000000000004">
      <c r="A20" s="216">
        <v>13</v>
      </c>
      <c r="B20" s="48" t="s">
        <v>110</v>
      </c>
      <c r="C20" s="217" t="s">
        <v>117</v>
      </c>
      <c r="D20" s="306">
        <v>218910</v>
      </c>
      <c r="E20" s="306">
        <v>0</v>
      </c>
      <c r="F20" s="299">
        <f t="shared" si="0"/>
        <v>218910</v>
      </c>
      <c r="G20" s="299">
        <v>0</v>
      </c>
      <c r="H20" s="228">
        <v>218910</v>
      </c>
      <c r="I20" s="231">
        <f t="shared" si="1"/>
        <v>0</v>
      </c>
      <c r="J20" s="528">
        <f t="shared" si="2"/>
        <v>100</v>
      </c>
      <c r="K20" s="528">
        <f t="shared" si="3"/>
        <v>100</v>
      </c>
      <c r="L20" s="223">
        <f t="shared" si="4"/>
        <v>218910</v>
      </c>
    </row>
    <row r="21" spans="1:12" s="223" customFormat="1" ht="24" x14ac:dyDescent="0.55000000000000004">
      <c r="A21" s="216">
        <v>14</v>
      </c>
      <c r="B21" s="48" t="s">
        <v>110</v>
      </c>
      <c r="C21" s="217" t="s">
        <v>118</v>
      </c>
      <c r="D21" s="306">
        <v>580280</v>
      </c>
      <c r="E21" s="306">
        <v>0</v>
      </c>
      <c r="F21" s="299">
        <f t="shared" si="0"/>
        <v>580280</v>
      </c>
      <c r="G21" s="299">
        <v>0</v>
      </c>
      <c r="H21" s="228">
        <v>580280</v>
      </c>
      <c r="I21" s="231">
        <f t="shared" si="1"/>
        <v>0</v>
      </c>
      <c r="J21" s="528">
        <f t="shared" si="2"/>
        <v>100</v>
      </c>
      <c r="K21" s="528">
        <f t="shared" si="3"/>
        <v>100</v>
      </c>
      <c r="L21" s="223">
        <f t="shared" si="4"/>
        <v>580280</v>
      </c>
    </row>
    <row r="22" spans="1:12" s="223" customFormat="1" ht="24" x14ac:dyDescent="0.55000000000000004">
      <c r="A22" s="216">
        <v>15</v>
      </c>
      <c r="B22" s="48" t="s">
        <v>110</v>
      </c>
      <c r="C22" s="217" t="s">
        <v>119</v>
      </c>
      <c r="D22" s="306">
        <v>540050</v>
      </c>
      <c r="E22" s="306">
        <v>0</v>
      </c>
      <c r="F22" s="299">
        <f t="shared" si="0"/>
        <v>540050</v>
      </c>
      <c r="G22" s="299">
        <v>0</v>
      </c>
      <c r="H22" s="228">
        <v>540050</v>
      </c>
      <c r="I22" s="231">
        <f t="shared" si="1"/>
        <v>0</v>
      </c>
      <c r="J22" s="528">
        <f t="shared" si="2"/>
        <v>100</v>
      </c>
      <c r="K22" s="528">
        <f t="shared" si="3"/>
        <v>100</v>
      </c>
      <c r="L22" s="223">
        <f t="shared" si="4"/>
        <v>540050</v>
      </c>
    </row>
    <row r="23" spans="1:12" s="223" customFormat="1" ht="24" x14ac:dyDescent="0.55000000000000004">
      <c r="A23" s="216">
        <v>16</v>
      </c>
      <c r="B23" s="48" t="s">
        <v>110</v>
      </c>
      <c r="C23" s="217" t="s">
        <v>120</v>
      </c>
      <c r="D23" s="306">
        <v>95400</v>
      </c>
      <c r="E23" s="306">
        <v>0</v>
      </c>
      <c r="F23" s="299">
        <f t="shared" si="0"/>
        <v>95400</v>
      </c>
      <c r="G23" s="299">
        <v>0</v>
      </c>
      <c r="H23" s="228">
        <v>95400</v>
      </c>
      <c r="I23" s="231">
        <f t="shared" si="1"/>
        <v>0</v>
      </c>
      <c r="J23" s="528">
        <f t="shared" si="2"/>
        <v>100</v>
      </c>
      <c r="K23" s="528">
        <f t="shared" si="3"/>
        <v>100</v>
      </c>
      <c r="L23" s="223">
        <f t="shared" si="4"/>
        <v>95400</v>
      </c>
    </row>
    <row r="24" spans="1:12" s="223" customFormat="1" ht="24" x14ac:dyDescent="0.55000000000000004">
      <c r="A24" s="216">
        <v>17</v>
      </c>
      <c r="B24" s="48" t="s">
        <v>108</v>
      </c>
      <c r="C24" s="217" t="s">
        <v>121</v>
      </c>
      <c r="D24" s="306">
        <v>113099</v>
      </c>
      <c r="E24" s="306">
        <v>0</v>
      </c>
      <c r="F24" s="299">
        <f t="shared" si="0"/>
        <v>113099</v>
      </c>
      <c r="G24" s="299">
        <v>0</v>
      </c>
      <c r="H24" s="228">
        <v>113099</v>
      </c>
      <c r="I24" s="231">
        <f t="shared" si="1"/>
        <v>0</v>
      </c>
      <c r="J24" s="528">
        <f t="shared" si="2"/>
        <v>100</v>
      </c>
      <c r="K24" s="528">
        <f t="shared" si="3"/>
        <v>100</v>
      </c>
      <c r="L24" s="223">
        <f t="shared" si="4"/>
        <v>113099</v>
      </c>
    </row>
    <row r="25" spans="1:12" s="223" customFormat="1" ht="24" x14ac:dyDescent="0.55000000000000004">
      <c r="A25" s="216">
        <v>18</v>
      </c>
      <c r="B25" s="48" t="s">
        <v>108</v>
      </c>
      <c r="C25" s="217" t="s">
        <v>122</v>
      </c>
      <c r="D25" s="306">
        <v>0</v>
      </c>
      <c r="E25" s="306">
        <v>275100</v>
      </c>
      <c r="F25" s="299">
        <f t="shared" si="0"/>
        <v>275100</v>
      </c>
      <c r="G25" s="299">
        <v>275100</v>
      </c>
      <c r="H25" s="228">
        <v>0</v>
      </c>
      <c r="I25" s="231">
        <f t="shared" si="1"/>
        <v>0</v>
      </c>
      <c r="J25" s="528">
        <f t="shared" si="2"/>
        <v>0</v>
      </c>
      <c r="K25" s="528">
        <f t="shared" si="3"/>
        <v>100</v>
      </c>
      <c r="L25" s="223">
        <f t="shared" si="4"/>
        <v>275100</v>
      </c>
    </row>
    <row r="26" spans="1:12" s="223" customFormat="1" ht="24" x14ac:dyDescent="0.55000000000000004">
      <c r="A26" s="216">
        <v>19</v>
      </c>
      <c r="B26" s="48" t="s">
        <v>108</v>
      </c>
      <c r="C26" s="217" t="s">
        <v>19</v>
      </c>
      <c r="D26" s="306">
        <v>34950</v>
      </c>
      <c r="E26" s="306">
        <v>0</v>
      </c>
      <c r="F26" s="299">
        <f t="shared" si="0"/>
        <v>34950</v>
      </c>
      <c r="G26" s="299">
        <v>0</v>
      </c>
      <c r="H26" s="228">
        <v>34950</v>
      </c>
      <c r="I26" s="231">
        <f t="shared" si="1"/>
        <v>0</v>
      </c>
      <c r="J26" s="528">
        <f t="shared" si="2"/>
        <v>100</v>
      </c>
      <c r="K26" s="528">
        <f t="shared" si="3"/>
        <v>100</v>
      </c>
      <c r="L26" s="223">
        <f t="shared" si="4"/>
        <v>34950</v>
      </c>
    </row>
    <row r="27" spans="1:12" s="223" customFormat="1" ht="24" x14ac:dyDescent="0.55000000000000004">
      <c r="A27" s="216">
        <v>20</v>
      </c>
      <c r="B27" s="48" t="s">
        <v>108</v>
      </c>
      <c r="C27" s="217" t="s">
        <v>20</v>
      </c>
      <c r="D27" s="306">
        <v>138100</v>
      </c>
      <c r="E27" s="306">
        <v>39000</v>
      </c>
      <c r="F27" s="299">
        <f t="shared" si="0"/>
        <v>177100</v>
      </c>
      <c r="G27" s="299">
        <v>0</v>
      </c>
      <c r="H27" s="228">
        <f>138100+39000</f>
        <v>177100</v>
      </c>
      <c r="I27" s="231">
        <f t="shared" si="1"/>
        <v>0</v>
      </c>
      <c r="J27" s="528">
        <f t="shared" si="2"/>
        <v>100</v>
      </c>
      <c r="K27" s="528">
        <f t="shared" si="3"/>
        <v>100</v>
      </c>
      <c r="L27" s="223">
        <f t="shared" si="4"/>
        <v>177100</v>
      </c>
    </row>
    <row r="28" spans="1:12" s="223" customFormat="1" ht="24" x14ac:dyDescent="0.55000000000000004">
      <c r="A28" s="216">
        <v>21</v>
      </c>
      <c r="B28" s="48" t="s">
        <v>108</v>
      </c>
      <c r="C28" s="217" t="s">
        <v>123</v>
      </c>
      <c r="D28" s="306">
        <v>12900</v>
      </c>
      <c r="E28" s="306">
        <v>0</v>
      </c>
      <c r="F28" s="299">
        <f t="shared" si="0"/>
        <v>12900</v>
      </c>
      <c r="G28" s="299">
        <v>0</v>
      </c>
      <c r="H28" s="228">
        <v>12900</v>
      </c>
      <c r="I28" s="231">
        <f t="shared" si="1"/>
        <v>0</v>
      </c>
      <c r="J28" s="528">
        <f t="shared" si="2"/>
        <v>100</v>
      </c>
      <c r="K28" s="528">
        <f t="shared" si="3"/>
        <v>100</v>
      </c>
      <c r="L28" s="223">
        <f t="shared" si="4"/>
        <v>12900</v>
      </c>
    </row>
    <row r="29" spans="1:12" s="223" customFormat="1" ht="24" x14ac:dyDescent="0.55000000000000004">
      <c r="A29" s="216">
        <v>22</v>
      </c>
      <c r="B29" s="48" t="s">
        <v>108</v>
      </c>
      <c r="C29" s="217" t="s">
        <v>124</v>
      </c>
      <c r="D29" s="306">
        <v>79900</v>
      </c>
      <c r="E29" s="306">
        <v>0</v>
      </c>
      <c r="F29" s="299">
        <f t="shared" si="0"/>
        <v>79900</v>
      </c>
      <c r="G29" s="299">
        <v>0</v>
      </c>
      <c r="H29" s="228">
        <v>79900</v>
      </c>
      <c r="I29" s="231">
        <f t="shared" si="1"/>
        <v>0</v>
      </c>
      <c r="J29" s="528">
        <f t="shared" si="2"/>
        <v>100</v>
      </c>
      <c r="K29" s="528">
        <f t="shared" si="3"/>
        <v>100</v>
      </c>
      <c r="L29" s="223">
        <f t="shared" si="4"/>
        <v>79900</v>
      </c>
    </row>
    <row r="30" spans="1:12" s="223" customFormat="1" ht="24" x14ac:dyDescent="0.55000000000000004">
      <c r="A30" s="216">
        <v>23</v>
      </c>
      <c r="B30" s="48" t="s">
        <v>108</v>
      </c>
      <c r="C30" s="217" t="s">
        <v>125</v>
      </c>
      <c r="D30" s="306">
        <v>185700</v>
      </c>
      <c r="E30" s="306">
        <v>233500</v>
      </c>
      <c r="F30" s="299">
        <f t="shared" si="0"/>
        <v>419200</v>
      </c>
      <c r="G30" s="299">
        <v>0</v>
      </c>
      <c r="H30" s="228">
        <f>185700+233500</f>
        <v>419200</v>
      </c>
      <c r="I30" s="231">
        <f t="shared" si="1"/>
        <v>0</v>
      </c>
      <c r="J30" s="528">
        <f t="shared" si="2"/>
        <v>100</v>
      </c>
      <c r="K30" s="528">
        <f t="shared" si="3"/>
        <v>100</v>
      </c>
      <c r="L30" s="223">
        <f t="shared" si="4"/>
        <v>419200</v>
      </c>
    </row>
    <row r="31" spans="1:12" s="223" customFormat="1" ht="24" x14ac:dyDescent="0.55000000000000004">
      <c r="A31" s="216">
        <v>24</v>
      </c>
      <c r="B31" s="48" t="s">
        <v>108</v>
      </c>
      <c r="C31" s="217" t="s">
        <v>21</v>
      </c>
      <c r="D31" s="306">
        <v>367000</v>
      </c>
      <c r="E31" s="306">
        <v>0</v>
      </c>
      <c r="F31" s="299">
        <f t="shared" si="0"/>
        <v>367000</v>
      </c>
      <c r="G31" s="299">
        <v>0</v>
      </c>
      <c r="H31" s="228">
        <v>367000</v>
      </c>
      <c r="I31" s="231">
        <f t="shared" si="1"/>
        <v>0</v>
      </c>
      <c r="J31" s="528">
        <f t="shared" si="2"/>
        <v>100</v>
      </c>
      <c r="K31" s="528">
        <f t="shared" si="3"/>
        <v>100</v>
      </c>
      <c r="L31" s="223">
        <f t="shared" si="4"/>
        <v>367000</v>
      </c>
    </row>
    <row r="32" spans="1:12" s="223" customFormat="1" ht="24" x14ac:dyDescent="0.55000000000000004">
      <c r="A32" s="216">
        <v>25</v>
      </c>
      <c r="B32" s="48" t="s">
        <v>108</v>
      </c>
      <c r="C32" s="217" t="s">
        <v>22</v>
      </c>
      <c r="D32" s="306">
        <v>81435</v>
      </c>
      <c r="E32" s="306">
        <v>0</v>
      </c>
      <c r="F32" s="299">
        <f t="shared" si="0"/>
        <v>81435</v>
      </c>
      <c r="G32" s="299">
        <v>0</v>
      </c>
      <c r="H32" s="228">
        <v>81435</v>
      </c>
      <c r="I32" s="231">
        <f t="shared" si="1"/>
        <v>0</v>
      </c>
      <c r="J32" s="528">
        <f t="shared" si="2"/>
        <v>100</v>
      </c>
      <c r="K32" s="528">
        <f t="shared" si="3"/>
        <v>100</v>
      </c>
      <c r="L32" s="223">
        <f t="shared" si="4"/>
        <v>81435</v>
      </c>
    </row>
    <row r="33" spans="1:12" s="223" customFormat="1" ht="24" x14ac:dyDescent="0.55000000000000004">
      <c r="A33" s="216">
        <v>26</v>
      </c>
      <c r="B33" s="48" t="s">
        <v>108</v>
      </c>
      <c r="C33" s="217" t="s">
        <v>126</v>
      </c>
      <c r="D33" s="306">
        <v>168800</v>
      </c>
      <c r="E33" s="306">
        <v>0</v>
      </c>
      <c r="F33" s="299">
        <f t="shared" si="0"/>
        <v>168800</v>
      </c>
      <c r="G33" s="299">
        <v>0</v>
      </c>
      <c r="H33" s="228">
        <v>168800</v>
      </c>
      <c r="I33" s="231">
        <f t="shared" si="1"/>
        <v>0</v>
      </c>
      <c r="J33" s="528">
        <f t="shared" si="2"/>
        <v>100</v>
      </c>
      <c r="K33" s="528">
        <f t="shared" si="3"/>
        <v>100</v>
      </c>
      <c r="L33" s="223">
        <f t="shared" si="4"/>
        <v>168800</v>
      </c>
    </row>
    <row r="34" spans="1:12" s="223" customFormat="1" ht="24" x14ac:dyDescent="0.55000000000000004">
      <c r="A34" s="216">
        <v>27</v>
      </c>
      <c r="B34" s="48" t="s">
        <v>108</v>
      </c>
      <c r="C34" s="217" t="s">
        <v>127</v>
      </c>
      <c r="D34" s="306">
        <v>0</v>
      </c>
      <c r="E34" s="306">
        <v>458447.92</v>
      </c>
      <c r="F34" s="299">
        <f t="shared" si="0"/>
        <v>458447.92</v>
      </c>
      <c r="G34" s="299">
        <v>0</v>
      </c>
      <c r="H34" s="228">
        <v>458447.92</v>
      </c>
      <c r="I34" s="231">
        <f t="shared" si="1"/>
        <v>0</v>
      </c>
      <c r="J34" s="528">
        <v>0</v>
      </c>
      <c r="K34" s="528">
        <v>0</v>
      </c>
      <c r="L34" s="223">
        <f t="shared" si="4"/>
        <v>458447.92</v>
      </c>
    </row>
    <row r="35" spans="1:12" s="223" customFormat="1" ht="24" x14ac:dyDescent="0.55000000000000004">
      <c r="A35" s="216">
        <v>28</v>
      </c>
      <c r="B35" s="48" t="s">
        <v>108</v>
      </c>
      <c r="C35" s="217" t="s">
        <v>23</v>
      </c>
      <c r="D35" s="306">
        <v>305150</v>
      </c>
      <c r="E35" s="306">
        <v>0</v>
      </c>
      <c r="F35" s="299">
        <f t="shared" si="0"/>
        <v>305150</v>
      </c>
      <c r="G35" s="299">
        <v>0</v>
      </c>
      <c r="H35" s="228">
        <v>305150</v>
      </c>
      <c r="I35" s="231">
        <f t="shared" si="1"/>
        <v>0</v>
      </c>
      <c r="J35" s="528">
        <f t="shared" si="2"/>
        <v>100</v>
      </c>
      <c r="K35" s="528">
        <f t="shared" si="3"/>
        <v>100</v>
      </c>
      <c r="L35" s="223">
        <f t="shared" si="4"/>
        <v>305150</v>
      </c>
    </row>
    <row r="36" spans="1:12" s="223" customFormat="1" ht="24" x14ac:dyDescent="0.55000000000000004">
      <c r="A36" s="216">
        <v>29</v>
      </c>
      <c r="B36" s="48" t="s">
        <v>108</v>
      </c>
      <c r="C36" s="217" t="s">
        <v>24</v>
      </c>
      <c r="D36" s="306">
        <v>97570</v>
      </c>
      <c r="E36" s="306">
        <v>5000000</v>
      </c>
      <c r="F36" s="299">
        <f t="shared" si="0"/>
        <v>5097570</v>
      </c>
      <c r="G36" s="299">
        <v>5000000</v>
      </c>
      <c r="H36" s="228">
        <v>97570</v>
      </c>
      <c r="I36" s="231">
        <f t="shared" si="1"/>
        <v>0</v>
      </c>
      <c r="J36" s="528">
        <f t="shared" si="2"/>
        <v>1.9140492430707181</v>
      </c>
      <c r="K36" s="528">
        <f t="shared" si="3"/>
        <v>100</v>
      </c>
      <c r="L36" s="223">
        <f t="shared" si="4"/>
        <v>5097570</v>
      </c>
    </row>
    <row r="37" spans="1:12" s="223" customFormat="1" ht="24" x14ac:dyDescent="0.55000000000000004">
      <c r="A37" s="216">
        <v>30</v>
      </c>
      <c r="B37" s="48" t="s">
        <v>108</v>
      </c>
      <c r="C37" s="217" t="s">
        <v>25</v>
      </c>
      <c r="D37" s="306">
        <v>116000</v>
      </c>
      <c r="E37" s="306">
        <v>0</v>
      </c>
      <c r="F37" s="299">
        <f t="shared" si="0"/>
        <v>116000</v>
      </c>
      <c r="G37" s="299">
        <v>0</v>
      </c>
      <c r="H37" s="228">
        <v>116000</v>
      </c>
      <c r="I37" s="231">
        <f t="shared" si="1"/>
        <v>0</v>
      </c>
      <c r="J37" s="528">
        <v>0</v>
      </c>
      <c r="K37" s="528">
        <v>0</v>
      </c>
      <c r="L37" s="223">
        <f t="shared" si="4"/>
        <v>116000</v>
      </c>
    </row>
    <row r="38" spans="1:12" s="223" customFormat="1" ht="24" x14ac:dyDescent="0.55000000000000004">
      <c r="A38" s="216">
        <v>31</v>
      </c>
      <c r="B38" s="48" t="s">
        <v>108</v>
      </c>
      <c r="C38" s="217" t="s">
        <v>173</v>
      </c>
      <c r="D38" s="306">
        <v>0</v>
      </c>
      <c r="E38" s="306">
        <v>0</v>
      </c>
      <c r="F38" s="299">
        <f t="shared" si="0"/>
        <v>0</v>
      </c>
      <c r="G38" s="299">
        <v>0</v>
      </c>
      <c r="H38" s="228">
        <v>0</v>
      </c>
      <c r="I38" s="231">
        <f t="shared" si="1"/>
        <v>0</v>
      </c>
      <c r="J38" s="528">
        <v>0</v>
      </c>
      <c r="K38" s="528">
        <v>0</v>
      </c>
      <c r="L38" s="223">
        <f t="shared" si="4"/>
        <v>0</v>
      </c>
    </row>
    <row r="39" spans="1:12" s="223" customFormat="1" ht="24" x14ac:dyDescent="0.55000000000000004">
      <c r="A39" s="216">
        <v>32</v>
      </c>
      <c r="B39" s="48" t="s">
        <v>108</v>
      </c>
      <c r="C39" s="217" t="s">
        <v>26</v>
      </c>
      <c r="D39" s="306">
        <v>215900</v>
      </c>
      <c r="E39" s="306">
        <v>4032000</v>
      </c>
      <c r="F39" s="299">
        <f t="shared" si="0"/>
        <v>4247900</v>
      </c>
      <c r="G39" s="299">
        <v>0</v>
      </c>
      <c r="H39" s="228">
        <v>215900</v>
      </c>
      <c r="I39" s="231">
        <f t="shared" si="1"/>
        <v>4032000</v>
      </c>
      <c r="J39" s="528">
        <f t="shared" si="2"/>
        <v>5.0825113585536386</v>
      </c>
      <c r="K39" s="528">
        <f t="shared" si="3"/>
        <v>5.0825113585536386</v>
      </c>
      <c r="L39" s="223">
        <f t="shared" si="4"/>
        <v>215900</v>
      </c>
    </row>
    <row r="40" spans="1:12" s="223" customFormat="1" ht="24" x14ac:dyDescent="0.55000000000000004">
      <c r="A40" s="216">
        <v>33</v>
      </c>
      <c r="B40" s="48" t="s">
        <v>108</v>
      </c>
      <c r="C40" s="217" t="s">
        <v>27</v>
      </c>
      <c r="D40" s="306">
        <v>0</v>
      </c>
      <c r="E40" s="306">
        <v>0</v>
      </c>
      <c r="F40" s="299">
        <f t="shared" si="0"/>
        <v>0</v>
      </c>
      <c r="G40" s="299">
        <v>0</v>
      </c>
      <c r="H40" s="228">
        <v>0</v>
      </c>
      <c r="I40" s="231">
        <f t="shared" si="1"/>
        <v>0</v>
      </c>
      <c r="J40" s="528">
        <v>0</v>
      </c>
      <c r="K40" s="528">
        <v>0</v>
      </c>
      <c r="L40" s="223">
        <f t="shared" si="4"/>
        <v>0</v>
      </c>
    </row>
    <row r="41" spans="1:12" s="223" customFormat="1" ht="24" x14ac:dyDescent="0.55000000000000004">
      <c r="A41" s="216">
        <v>34</v>
      </c>
      <c r="B41" s="48" t="s">
        <v>108</v>
      </c>
      <c r="C41" s="217" t="s">
        <v>28</v>
      </c>
      <c r="D41" s="306">
        <v>69900</v>
      </c>
      <c r="E41" s="306">
        <v>0</v>
      </c>
      <c r="F41" s="299">
        <f t="shared" si="0"/>
        <v>69900</v>
      </c>
      <c r="G41" s="299">
        <v>0</v>
      </c>
      <c r="H41" s="228">
        <v>69900</v>
      </c>
      <c r="I41" s="231">
        <f t="shared" si="1"/>
        <v>0</v>
      </c>
      <c r="J41" s="528">
        <f t="shared" si="2"/>
        <v>100</v>
      </c>
      <c r="K41" s="528">
        <f t="shared" si="3"/>
        <v>100</v>
      </c>
      <c r="L41" s="223">
        <f t="shared" si="4"/>
        <v>69900</v>
      </c>
    </row>
    <row r="42" spans="1:12" s="223" customFormat="1" ht="24" x14ac:dyDescent="0.55000000000000004">
      <c r="A42" s="216">
        <v>35</v>
      </c>
      <c r="B42" s="48" t="s">
        <v>108</v>
      </c>
      <c r="C42" s="217" t="s">
        <v>128</v>
      </c>
      <c r="D42" s="306">
        <v>154038</v>
      </c>
      <c r="E42" s="306">
        <v>0</v>
      </c>
      <c r="F42" s="299">
        <f t="shared" si="0"/>
        <v>154038</v>
      </c>
      <c r="G42" s="299">
        <v>0</v>
      </c>
      <c r="H42" s="228">
        <v>154038</v>
      </c>
      <c r="I42" s="231">
        <f t="shared" si="1"/>
        <v>0</v>
      </c>
      <c r="J42" s="528">
        <f t="shared" si="2"/>
        <v>100</v>
      </c>
      <c r="K42" s="528">
        <f t="shared" si="3"/>
        <v>100</v>
      </c>
      <c r="L42" s="223">
        <f t="shared" si="4"/>
        <v>154038</v>
      </c>
    </row>
    <row r="43" spans="1:12" s="223" customFormat="1" ht="24" x14ac:dyDescent="0.55000000000000004">
      <c r="A43" s="216">
        <v>36</v>
      </c>
      <c r="B43" s="48" t="s">
        <v>108</v>
      </c>
      <c r="C43" s="217" t="s">
        <v>29</v>
      </c>
      <c r="D43" s="306">
        <v>133550</v>
      </c>
      <c r="E43" s="306">
        <v>6040000</v>
      </c>
      <c r="F43" s="299">
        <f t="shared" si="0"/>
        <v>6173550</v>
      </c>
      <c r="G43" s="299">
        <v>6040000</v>
      </c>
      <c r="H43" s="228">
        <v>133550</v>
      </c>
      <c r="I43" s="231">
        <f t="shared" si="1"/>
        <v>0</v>
      </c>
      <c r="J43" s="528">
        <f t="shared" si="2"/>
        <v>2.1632610086579036</v>
      </c>
      <c r="K43" s="528">
        <f t="shared" si="3"/>
        <v>100</v>
      </c>
      <c r="L43" s="223">
        <f t="shared" si="4"/>
        <v>6173550</v>
      </c>
    </row>
    <row r="44" spans="1:12" s="223" customFormat="1" ht="24" x14ac:dyDescent="0.55000000000000004">
      <c r="A44" s="216">
        <v>37</v>
      </c>
      <c r="B44" s="48" t="s">
        <v>108</v>
      </c>
      <c r="C44" s="217" t="s">
        <v>30</v>
      </c>
      <c r="D44" s="306">
        <v>132750</v>
      </c>
      <c r="E44" s="306">
        <v>0</v>
      </c>
      <c r="F44" s="299">
        <f t="shared" si="0"/>
        <v>132750</v>
      </c>
      <c r="G44" s="299">
        <v>0</v>
      </c>
      <c r="H44" s="228">
        <v>132750</v>
      </c>
      <c r="I44" s="231">
        <f t="shared" si="1"/>
        <v>0</v>
      </c>
      <c r="J44" s="528">
        <f t="shared" si="2"/>
        <v>100</v>
      </c>
      <c r="K44" s="528">
        <f t="shared" si="3"/>
        <v>100</v>
      </c>
      <c r="L44" s="223">
        <f t="shared" si="4"/>
        <v>132750</v>
      </c>
    </row>
    <row r="45" spans="1:12" s="223" customFormat="1" ht="24" x14ac:dyDescent="0.55000000000000004">
      <c r="A45" s="216">
        <v>38</v>
      </c>
      <c r="B45" s="48" t="s">
        <v>108</v>
      </c>
      <c r="C45" s="217" t="s">
        <v>31</v>
      </c>
      <c r="D45" s="306">
        <v>101170</v>
      </c>
      <c r="E45" s="306">
        <v>0</v>
      </c>
      <c r="F45" s="299">
        <f t="shared" si="0"/>
        <v>101170</v>
      </c>
      <c r="G45" s="299">
        <v>0</v>
      </c>
      <c r="H45" s="228">
        <v>101170</v>
      </c>
      <c r="I45" s="231">
        <f t="shared" si="1"/>
        <v>0</v>
      </c>
      <c r="J45" s="528">
        <f t="shared" si="2"/>
        <v>100</v>
      </c>
      <c r="K45" s="528">
        <f t="shared" si="3"/>
        <v>100</v>
      </c>
      <c r="L45" s="223">
        <f t="shared" si="4"/>
        <v>101170</v>
      </c>
    </row>
    <row r="46" spans="1:12" s="223" customFormat="1" ht="24" x14ac:dyDescent="0.55000000000000004">
      <c r="A46" s="216">
        <v>39</v>
      </c>
      <c r="B46" s="48" t="s">
        <v>108</v>
      </c>
      <c r="C46" s="217" t="s">
        <v>129</v>
      </c>
      <c r="D46" s="306">
        <v>0</v>
      </c>
      <c r="E46" s="306">
        <v>0</v>
      </c>
      <c r="F46" s="299">
        <f t="shared" si="0"/>
        <v>0</v>
      </c>
      <c r="G46" s="299">
        <v>0</v>
      </c>
      <c r="H46" s="228">
        <v>0</v>
      </c>
      <c r="I46" s="231">
        <f t="shared" si="1"/>
        <v>0</v>
      </c>
      <c r="J46" s="528" t="e">
        <f t="shared" si="2"/>
        <v>#DIV/0!</v>
      </c>
      <c r="K46" s="528" t="e">
        <f t="shared" si="3"/>
        <v>#DIV/0!</v>
      </c>
      <c r="L46" s="223">
        <f t="shared" si="4"/>
        <v>0</v>
      </c>
    </row>
    <row r="47" spans="1:12" s="223" customFormat="1" ht="24" x14ac:dyDescent="0.55000000000000004">
      <c r="A47" s="216">
        <v>40</v>
      </c>
      <c r="B47" s="48" t="s">
        <v>108</v>
      </c>
      <c r="C47" s="217" t="s">
        <v>32</v>
      </c>
      <c r="D47" s="306">
        <v>0</v>
      </c>
      <c r="E47" s="306">
        <v>0</v>
      </c>
      <c r="F47" s="299">
        <f t="shared" si="0"/>
        <v>0</v>
      </c>
      <c r="G47" s="299">
        <v>0</v>
      </c>
      <c r="H47" s="228">
        <v>0</v>
      </c>
      <c r="I47" s="231">
        <f t="shared" si="1"/>
        <v>0</v>
      </c>
      <c r="J47" s="528">
        <v>0</v>
      </c>
      <c r="K47" s="528">
        <v>0</v>
      </c>
      <c r="L47" s="223">
        <f t="shared" si="4"/>
        <v>0</v>
      </c>
    </row>
    <row r="48" spans="1:12" s="223" customFormat="1" ht="24" x14ac:dyDescent="0.55000000000000004">
      <c r="A48" s="216">
        <v>41</v>
      </c>
      <c r="B48" s="48" t="s">
        <v>108</v>
      </c>
      <c r="C48" s="217" t="s">
        <v>33</v>
      </c>
      <c r="D48" s="306">
        <v>57100</v>
      </c>
      <c r="E48" s="306">
        <v>0</v>
      </c>
      <c r="F48" s="299">
        <f t="shared" si="0"/>
        <v>57100</v>
      </c>
      <c r="G48" s="299">
        <v>0</v>
      </c>
      <c r="H48" s="228">
        <v>57100</v>
      </c>
      <c r="I48" s="231">
        <f t="shared" si="1"/>
        <v>0</v>
      </c>
      <c r="J48" s="528">
        <v>0</v>
      </c>
      <c r="K48" s="528">
        <v>0</v>
      </c>
      <c r="L48" s="223">
        <f t="shared" si="4"/>
        <v>57100</v>
      </c>
    </row>
    <row r="49" spans="1:12" s="223" customFormat="1" ht="24" x14ac:dyDescent="0.55000000000000004">
      <c r="A49" s="216">
        <v>42</v>
      </c>
      <c r="B49" s="48" t="s">
        <v>108</v>
      </c>
      <c r="C49" s="217" t="s">
        <v>34</v>
      </c>
      <c r="D49" s="306">
        <v>148100</v>
      </c>
      <c r="E49" s="306">
        <v>0</v>
      </c>
      <c r="F49" s="299">
        <f t="shared" si="0"/>
        <v>148100</v>
      </c>
      <c r="G49" s="299">
        <v>0</v>
      </c>
      <c r="H49" s="228">
        <v>148100</v>
      </c>
      <c r="I49" s="231">
        <f t="shared" si="1"/>
        <v>0</v>
      </c>
      <c r="J49" s="528">
        <f t="shared" si="2"/>
        <v>100</v>
      </c>
      <c r="K49" s="528">
        <f t="shared" si="3"/>
        <v>100</v>
      </c>
      <c r="L49" s="223">
        <f t="shared" si="4"/>
        <v>148100</v>
      </c>
    </row>
    <row r="50" spans="1:12" s="223" customFormat="1" ht="24" x14ac:dyDescent="0.55000000000000004">
      <c r="A50" s="216">
        <v>43</v>
      </c>
      <c r="B50" s="48" t="s">
        <v>108</v>
      </c>
      <c r="C50" s="217" t="s">
        <v>35</v>
      </c>
      <c r="D50" s="306">
        <v>94300</v>
      </c>
      <c r="E50" s="306">
        <v>1948000</v>
      </c>
      <c r="F50" s="299">
        <f t="shared" si="0"/>
        <v>2042300</v>
      </c>
      <c r="G50" s="299">
        <v>0</v>
      </c>
      <c r="H50" s="228">
        <v>94300</v>
      </c>
      <c r="I50" s="231">
        <f t="shared" si="1"/>
        <v>1948000</v>
      </c>
      <c r="J50" s="528">
        <f t="shared" si="2"/>
        <v>4.6173431914997796</v>
      </c>
      <c r="K50" s="528">
        <f t="shared" si="3"/>
        <v>4.6173431914997796</v>
      </c>
      <c r="L50" s="223">
        <f t="shared" si="4"/>
        <v>94300</v>
      </c>
    </row>
    <row r="51" spans="1:12" s="223" customFormat="1" ht="24" x14ac:dyDescent="0.55000000000000004">
      <c r="A51" s="216">
        <v>44</v>
      </c>
      <c r="B51" s="48" t="s">
        <v>108</v>
      </c>
      <c r="C51" s="217" t="s">
        <v>130</v>
      </c>
      <c r="D51" s="306">
        <v>32300</v>
      </c>
      <c r="E51" s="306">
        <v>0</v>
      </c>
      <c r="F51" s="299">
        <f t="shared" si="0"/>
        <v>32300</v>
      </c>
      <c r="G51" s="299">
        <v>0</v>
      </c>
      <c r="H51" s="228">
        <v>32300</v>
      </c>
      <c r="I51" s="231">
        <f t="shared" si="1"/>
        <v>0</v>
      </c>
      <c r="J51" s="528">
        <f t="shared" si="2"/>
        <v>100</v>
      </c>
      <c r="K51" s="528">
        <f t="shared" si="3"/>
        <v>100</v>
      </c>
      <c r="L51" s="223">
        <f t="shared" si="4"/>
        <v>32300</v>
      </c>
    </row>
    <row r="52" spans="1:12" s="223" customFormat="1" ht="24" x14ac:dyDescent="0.55000000000000004">
      <c r="A52" s="216">
        <v>45</v>
      </c>
      <c r="B52" s="48" t="s">
        <v>108</v>
      </c>
      <c r="C52" s="217" t="s">
        <v>36</v>
      </c>
      <c r="D52" s="306">
        <v>95400</v>
      </c>
      <c r="E52" s="306">
        <v>0</v>
      </c>
      <c r="F52" s="299">
        <f t="shared" si="0"/>
        <v>95400</v>
      </c>
      <c r="G52" s="299">
        <v>0</v>
      </c>
      <c r="H52" s="228">
        <v>95400</v>
      </c>
      <c r="I52" s="231">
        <f t="shared" si="1"/>
        <v>0</v>
      </c>
      <c r="J52" s="528">
        <f t="shared" si="2"/>
        <v>100</v>
      </c>
      <c r="K52" s="528">
        <f t="shared" si="3"/>
        <v>100</v>
      </c>
      <c r="L52" s="223">
        <f t="shared" si="4"/>
        <v>95400</v>
      </c>
    </row>
    <row r="53" spans="1:12" s="223" customFormat="1" ht="24" x14ac:dyDescent="0.55000000000000004">
      <c r="A53" s="216">
        <v>46</v>
      </c>
      <c r="B53" s="48" t="s">
        <v>108</v>
      </c>
      <c r="C53" s="217" t="s">
        <v>37</v>
      </c>
      <c r="D53" s="306">
        <v>0</v>
      </c>
      <c r="E53" s="306">
        <v>0</v>
      </c>
      <c r="F53" s="299">
        <f t="shared" si="0"/>
        <v>0</v>
      </c>
      <c r="G53" s="299">
        <v>0</v>
      </c>
      <c r="H53" s="228">
        <v>0</v>
      </c>
      <c r="I53" s="231">
        <f t="shared" si="1"/>
        <v>0</v>
      </c>
      <c r="J53" s="528">
        <v>0</v>
      </c>
      <c r="K53" s="528">
        <v>0</v>
      </c>
      <c r="L53" s="223">
        <f t="shared" si="4"/>
        <v>0</v>
      </c>
    </row>
    <row r="54" spans="1:12" s="223" customFormat="1" ht="24" x14ac:dyDescent="0.55000000000000004">
      <c r="A54" s="216">
        <v>47</v>
      </c>
      <c r="B54" s="48" t="s">
        <v>108</v>
      </c>
      <c r="C54" s="217" t="s">
        <v>38</v>
      </c>
      <c r="D54" s="306">
        <v>8400</v>
      </c>
      <c r="E54" s="306">
        <v>0</v>
      </c>
      <c r="F54" s="299">
        <f t="shared" si="0"/>
        <v>8400</v>
      </c>
      <c r="G54" s="299">
        <v>0</v>
      </c>
      <c r="H54" s="228">
        <v>8400</v>
      </c>
      <c r="I54" s="231">
        <f t="shared" si="1"/>
        <v>0</v>
      </c>
      <c r="J54" s="528">
        <f t="shared" si="2"/>
        <v>100</v>
      </c>
      <c r="K54" s="528">
        <f t="shared" si="3"/>
        <v>100</v>
      </c>
      <c r="L54" s="223">
        <f t="shared" si="4"/>
        <v>8400</v>
      </c>
    </row>
    <row r="55" spans="1:12" s="223" customFormat="1" ht="24" x14ac:dyDescent="0.55000000000000004">
      <c r="A55" s="216">
        <v>48</v>
      </c>
      <c r="B55" s="48" t="s">
        <v>108</v>
      </c>
      <c r="C55" s="217" t="s">
        <v>131</v>
      </c>
      <c r="D55" s="306">
        <v>117200</v>
      </c>
      <c r="E55" s="306">
        <v>0</v>
      </c>
      <c r="F55" s="299">
        <f t="shared" si="0"/>
        <v>117200</v>
      </c>
      <c r="G55" s="299">
        <v>0</v>
      </c>
      <c r="H55" s="228">
        <v>117200</v>
      </c>
      <c r="I55" s="231">
        <f t="shared" si="1"/>
        <v>0</v>
      </c>
      <c r="J55" s="528">
        <f t="shared" si="2"/>
        <v>100</v>
      </c>
      <c r="K55" s="528">
        <f t="shared" si="3"/>
        <v>100</v>
      </c>
      <c r="L55" s="223">
        <f t="shared" si="4"/>
        <v>117200</v>
      </c>
    </row>
    <row r="56" spans="1:12" s="223" customFormat="1" ht="24" x14ac:dyDescent="0.55000000000000004">
      <c r="A56" s="216">
        <v>49</v>
      </c>
      <c r="B56" s="48" t="s">
        <v>108</v>
      </c>
      <c r="C56" s="217" t="s">
        <v>132</v>
      </c>
      <c r="D56" s="306">
        <v>0</v>
      </c>
      <c r="E56" s="306">
        <v>0</v>
      </c>
      <c r="F56" s="299">
        <f t="shared" si="0"/>
        <v>0</v>
      </c>
      <c r="G56" s="299">
        <v>0</v>
      </c>
      <c r="H56" s="228">
        <v>0</v>
      </c>
      <c r="I56" s="231">
        <f t="shared" si="1"/>
        <v>0</v>
      </c>
      <c r="J56" s="528">
        <v>0</v>
      </c>
      <c r="K56" s="528">
        <v>0</v>
      </c>
      <c r="L56" s="223">
        <f t="shared" si="4"/>
        <v>0</v>
      </c>
    </row>
    <row r="57" spans="1:12" s="223" customFormat="1" ht="24" x14ac:dyDescent="0.55000000000000004">
      <c r="A57" s="216">
        <v>50</v>
      </c>
      <c r="B57" s="48" t="s">
        <v>108</v>
      </c>
      <c r="C57" s="217" t="s">
        <v>133</v>
      </c>
      <c r="D57" s="306">
        <v>0</v>
      </c>
      <c r="E57" s="306">
        <v>0</v>
      </c>
      <c r="F57" s="299">
        <f t="shared" si="0"/>
        <v>0</v>
      </c>
      <c r="G57" s="299">
        <v>0</v>
      </c>
      <c r="H57" s="228">
        <v>0</v>
      </c>
      <c r="I57" s="231">
        <f t="shared" si="1"/>
        <v>0</v>
      </c>
      <c r="J57" s="528">
        <v>0</v>
      </c>
      <c r="K57" s="528">
        <v>0</v>
      </c>
      <c r="L57" s="223">
        <f t="shared" si="4"/>
        <v>0</v>
      </c>
    </row>
    <row r="58" spans="1:12" s="223" customFormat="1" ht="24" x14ac:dyDescent="0.55000000000000004">
      <c r="A58" s="216">
        <v>51</v>
      </c>
      <c r="B58" s="48" t="s">
        <v>108</v>
      </c>
      <c r="C58" s="217" t="s">
        <v>134</v>
      </c>
      <c r="D58" s="306">
        <v>84930</v>
      </c>
      <c r="E58" s="306">
        <v>2644000</v>
      </c>
      <c r="F58" s="299">
        <f t="shared" si="0"/>
        <v>2728930</v>
      </c>
      <c r="G58" s="299">
        <v>2644000</v>
      </c>
      <c r="H58" s="228">
        <v>84930</v>
      </c>
      <c r="I58" s="231">
        <f t="shared" si="1"/>
        <v>0</v>
      </c>
      <c r="J58" s="528">
        <f t="shared" si="2"/>
        <v>3.1122088144437563</v>
      </c>
      <c r="K58" s="528">
        <f t="shared" si="3"/>
        <v>100</v>
      </c>
      <c r="L58" s="223">
        <f t="shared" si="4"/>
        <v>2728930</v>
      </c>
    </row>
    <row r="59" spans="1:12" s="223" customFormat="1" ht="24" x14ac:dyDescent="0.55000000000000004">
      <c r="A59" s="216">
        <v>52</v>
      </c>
      <c r="B59" s="48" t="s">
        <v>108</v>
      </c>
      <c r="C59" s="217" t="s">
        <v>135</v>
      </c>
      <c r="D59" s="306">
        <v>41557</v>
      </c>
      <c r="E59" s="306">
        <v>1385000</v>
      </c>
      <c r="F59" s="299">
        <f t="shared" si="0"/>
        <v>1426557</v>
      </c>
      <c r="G59" s="299">
        <v>1038750</v>
      </c>
      <c r="H59" s="228">
        <f>41557+346250</f>
        <v>387807</v>
      </c>
      <c r="I59" s="231">
        <f t="shared" si="1"/>
        <v>0</v>
      </c>
      <c r="J59" s="528">
        <f t="shared" si="2"/>
        <v>27.184823319362632</v>
      </c>
      <c r="K59" s="528">
        <f t="shared" si="3"/>
        <v>100</v>
      </c>
      <c r="L59" s="223">
        <f t="shared" si="4"/>
        <v>1426557</v>
      </c>
    </row>
    <row r="60" spans="1:12" s="223" customFormat="1" ht="24" x14ac:dyDescent="0.55000000000000004">
      <c r="A60" s="216">
        <v>53</v>
      </c>
      <c r="B60" s="48" t="s">
        <v>108</v>
      </c>
      <c r="C60" s="217" t="s">
        <v>136</v>
      </c>
      <c r="D60" s="306">
        <v>29789</v>
      </c>
      <c r="E60" s="306">
        <v>0</v>
      </c>
      <c r="F60" s="299">
        <f t="shared" si="0"/>
        <v>29789</v>
      </c>
      <c r="G60" s="299">
        <v>0</v>
      </c>
      <c r="H60" s="228">
        <v>29789</v>
      </c>
      <c r="I60" s="231">
        <f t="shared" si="1"/>
        <v>0</v>
      </c>
      <c r="J60" s="528">
        <f t="shared" si="2"/>
        <v>100</v>
      </c>
      <c r="K60" s="528">
        <f t="shared" si="3"/>
        <v>100</v>
      </c>
      <c r="L60" s="223">
        <f t="shared" si="4"/>
        <v>29789</v>
      </c>
    </row>
    <row r="61" spans="1:12" s="223" customFormat="1" ht="24" x14ac:dyDescent="0.55000000000000004">
      <c r="A61" s="216">
        <v>54</v>
      </c>
      <c r="B61" s="48" t="s">
        <v>108</v>
      </c>
      <c r="C61" s="217" t="s">
        <v>137</v>
      </c>
      <c r="D61" s="306">
        <v>307790</v>
      </c>
      <c r="E61" s="306">
        <v>210000</v>
      </c>
      <c r="F61" s="299">
        <f t="shared" si="0"/>
        <v>517790</v>
      </c>
      <c r="G61" s="299">
        <v>0</v>
      </c>
      <c r="H61" s="228">
        <f>307790+210000</f>
        <v>517790</v>
      </c>
      <c r="I61" s="231">
        <f t="shared" si="1"/>
        <v>0</v>
      </c>
      <c r="J61" s="528">
        <f t="shared" si="2"/>
        <v>100</v>
      </c>
      <c r="K61" s="528">
        <f t="shared" si="3"/>
        <v>100</v>
      </c>
      <c r="L61" s="223">
        <f t="shared" si="4"/>
        <v>517790</v>
      </c>
    </row>
    <row r="62" spans="1:12" s="223" customFormat="1" ht="24" x14ac:dyDescent="0.55000000000000004">
      <c r="A62" s="216">
        <v>55</v>
      </c>
      <c r="B62" s="48" t="s">
        <v>108</v>
      </c>
      <c r="C62" s="217" t="s">
        <v>39</v>
      </c>
      <c r="D62" s="306">
        <v>185180</v>
      </c>
      <c r="E62" s="306">
        <v>0</v>
      </c>
      <c r="F62" s="299">
        <f t="shared" si="0"/>
        <v>185180</v>
      </c>
      <c r="G62" s="299">
        <v>0</v>
      </c>
      <c r="H62" s="228">
        <v>185180</v>
      </c>
      <c r="I62" s="231">
        <f t="shared" si="1"/>
        <v>0</v>
      </c>
      <c r="J62" s="528">
        <f t="shared" si="2"/>
        <v>100</v>
      </c>
      <c r="K62" s="528">
        <f t="shared" si="3"/>
        <v>100</v>
      </c>
      <c r="L62" s="223">
        <f t="shared" si="4"/>
        <v>185180</v>
      </c>
    </row>
    <row r="63" spans="1:12" s="223" customFormat="1" ht="24" x14ac:dyDescent="0.55000000000000004">
      <c r="A63" s="216">
        <v>56</v>
      </c>
      <c r="B63" s="48" t="s">
        <v>108</v>
      </c>
      <c r="C63" s="217" t="s">
        <v>138</v>
      </c>
      <c r="D63" s="306">
        <v>171780</v>
      </c>
      <c r="E63" s="306">
        <v>0</v>
      </c>
      <c r="F63" s="299">
        <f t="shared" si="0"/>
        <v>171780</v>
      </c>
      <c r="G63" s="299">
        <v>0</v>
      </c>
      <c r="H63" s="228">
        <v>171780</v>
      </c>
      <c r="I63" s="231">
        <f t="shared" si="1"/>
        <v>0</v>
      </c>
      <c r="J63" s="528">
        <f t="shared" si="2"/>
        <v>100</v>
      </c>
      <c r="K63" s="528">
        <f t="shared" si="3"/>
        <v>100</v>
      </c>
      <c r="L63" s="223">
        <f t="shared" si="4"/>
        <v>171780</v>
      </c>
    </row>
    <row r="64" spans="1:12" s="223" customFormat="1" ht="24" x14ac:dyDescent="0.55000000000000004">
      <c r="A64" s="216">
        <v>57</v>
      </c>
      <c r="B64" s="48" t="s">
        <v>108</v>
      </c>
      <c r="C64" s="217" t="s">
        <v>139</v>
      </c>
      <c r="D64" s="306">
        <v>184810</v>
      </c>
      <c r="E64" s="306">
        <v>0</v>
      </c>
      <c r="F64" s="299">
        <f t="shared" si="0"/>
        <v>184810</v>
      </c>
      <c r="G64" s="299">
        <v>0</v>
      </c>
      <c r="H64" s="228">
        <v>184810</v>
      </c>
      <c r="I64" s="231">
        <f t="shared" si="1"/>
        <v>0</v>
      </c>
      <c r="J64" s="528">
        <f t="shared" si="2"/>
        <v>100</v>
      </c>
      <c r="K64" s="528">
        <f t="shared" si="3"/>
        <v>100</v>
      </c>
      <c r="L64" s="223">
        <f t="shared" si="4"/>
        <v>184810</v>
      </c>
    </row>
    <row r="65" spans="1:12" s="223" customFormat="1" ht="24" x14ac:dyDescent="0.55000000000000004">
      <c r="A65" s="216">
        <v>58</v>
      </c>
      <c r="B65" s="48" t="s">
        <v>108</v>
      </c>
      <c r="C65" s="217" t="s">
        <v>40</v>
      </c>
      <c r="D65" s="306">
        <v>14490</v>
      </c>
      <c r="E65" s="306">
        <v>0</v>
      </c>
      <c r="F65" s="299">
        <f t="shared" si="0"/>
        <v>14490</v>
      </c>
      <c r="G65" s="299">
        <v>0</v>
      </c>
      <c r="H65" s="228">
        <v>14490</v>
      </c>
      <c r="I65" s="231">
        <f t="shared" si="1"/>
        <v>0</v>
      </c>
      <c r="J65" s="528">
        <f t="shared" si="2"/>
        <v>100</v>
      </c>
      <c r="K65" s="528">
        <f t="shared" si="3"/>
        <v>100</v>
      </c>
      <c r="L65" s="223">
        <f t="shared" si="4"/>
        <v>14490</v>
      </c>
    </row>
    <row r="66" spans="1:12" s="223" customFormat="1" ht="24" x14ac:dyDescent="0.55000000000000004">
      <c r="A66" s="216">
        <v>59</v>
      </c>
      <c r="B66" s="48" t="s">
        <v>108</v>
      </c>
      <c r="C66" s="217" t="s">
        <v>140</v>
      </c>
      <c r="D66" s="306">
        <v>217490</v>
      </c>
      <c r="E66" s="306">
        <v>0</v>
      </c>
      <c r="F66" s="299">
        <f t="shared" si="0"/>
        <v>217490</v>
      </c>
      <c r="G66" s="299">
        <v>0</v>
      </c>
      <c r="H66" s="228">
        <v>217490</v>
      </c>
      <c r="I66" s="231">
        <f t="shared" si="1"/>
        <v>0</v>
      </c>
      <c r="J66" s="528">
        <f t="shared" si="2"/>
        <v>100</v>
      </c>
      <c r="K66" s="528">
        <f t="shared" si="3"/>
        <v>100</v>
      </c>
      <c r="L66" s="223">
        <f t="shared" si="4"/>
        <v>217490</v>
      </c>
    </row>
    <row r="67" spans="1:12" s="223" customFormat="1" ht="24" x14ac:dyDescent="0.55000000000000004">
      <c r="A67" s="216">
        <v>60</v>
      </c>
      <c r="B67" s="48" t="s">
        <v>108</v>
      </c>
      <c r="C67" s="217" t="s">
        <v>141</v>
      </c>
      <c r="D67" s="306">
        <v>0</v>
      </c>
      <c r="E67" s="306">
        <v>0</v>
      </c>
      <c r="F67" s="299">
        <f t="shared" si="0"/>
        <v>0</v>
      </c>
      <c r="G67" s="299">
        <v>0</v>
      </c>
      <c r="H67" s="228">
        <v>0</v>
      </c>
      <c r="I67" s="231">
        <f t="shared" si="1"/>
        <v>0</v>
      </c>
      <c r="J67" s="528">
        <v>0</v>
      </c>
      <c r="K67" s="528">
        <v>0</v>
      </c>
      <c r="L67" s="223">
        <f t="shared" si="4"/>
        <v>0</v>
      </c>
    </row>
    <row r="68" spans="1:12" s="223" customFormat="1" ht="24" x14ac:dyDescent="0.55000000000000004">
      <c r="A68" s="216">
        <v>61</v>
      </c>
      <c r="B68" s="48" t="s">
        <v>108</v>
      </c>
      <c r="C68" s="217" t="s">
        <v>142</v>
      </c>
      <c r="D68" s="306">
        <v>0</v>
      </c>
      <c r="E68" s="306">
        <v>0</v>
      </c>
      <c r="F68" s="299">
        <f t="shared" si="0"/>
        <v>0</v>
      </c>
      <c r="G68" s="299">
        <v>0</v>
      </c>
      <c r="H68" s="228">
        <v>0</v>
      </c>
      <c r="I68" s="231">
        <f t="shared" si="1"/>
        <v>0</v>
      </c>
      <c r="J68" s="528">
        <v>0</v>
      </c>
      <c r="K68" s="528">
        <v>0</v>
      </c>
      <c r="L68" s="223">
        <f t="shared" si="4"/>
        <v>0</v>
      </c>
    </row>
    <row r="69" spans="1:12" s="223" customFormat="1" ht="24" x14ac:dyDescent="0.55000000000000004">
      <c r="A69" s="216">
        <v>62</v>
      </c>
      <c r="B69" s="48" t="s">
        <v>108</v>
      </c>
      <c r="C69" s="217" t="s">
        <v>143</v>
      </c>
      <c r="D69" s="306">
        <v>71140</v>
      </c>
      <c r="E69" s="306">
        <v>0</v>
      </c>
      <c r="F69" s="299">
        <f t="shared" si="0"/>
        <v>71140</v>
      </c>
      <c r="G69" s="299">
        <v>0</v>
      </c>
      <c r="H69" s="228">
        <v>71140</v>
      </c>
      <c r="I69" s="231">
        <f t="shared" si="1"/>
        <v>0</v>
      </c>
      <c r="J69" s="528">
        <f t="shared" si="2"/>
        <v>100</v>
      </c>
      <c r="K69" s="528">
        <f t="shared" si="3"/>
        <v>100</v>
      </c>
      <c r="L69" s="223">
        <f t="shared" si="4"/>
        <v>71140</v>
      </c>
    </row>
    <row r="70" spans="1:12" s="223" customFormat="1" ht="24" x14ac:dyDescent="0.55000000000000004">
      <c r="A70" s="216">
        <v>63</v>
      </c>
      <c r="B70" s="48" t="s">
        <v>108</v>
      </c>
      <c r="C70" s="217" t="s">
        <v>144</v>
      </c>
      <c r="D70" s="306">
        <v>8000</v>
      </c>
      <c r="E70" s="306">
        <v>0</v>
      </c>
      <c r="F70" s="299">
        <f t="shared" si="0"/>
        <v>8000</v>
      </c>
      <c r="G70" s="299">
        <v>0</v>
      </c>
      <c r="H70" s="228">
        <v>8000</v>
      </c>
      <c r="I70" s="231">
        <f t="shared" si="1"/>
        <v>0</v>
      </c>
      <c r="J70" s="528">
        <f t="shared" si="2"/>
        <v>100</v>
      </c>
      <c r="K70" s="528">
        <f t="shared" si="3"/>
        <v>100</v>
      </c>
      <c r="L70" s="223">
        <f t="shared" si="4"/>
        <v>8000</v>
      </c>
    </row>
    <row r="71" spans="1:12" s="223" customFormat="1" ht="24" x14ac:dyDescent="0.55000000000000004">
      <c r="A71" s="216">
        <v>64</v>
      </c>
      <c r="B71" s="48" t="s">
        <v>108</v>
      </c>
      <c r="C71" s="217" t="s">
        <v>41</v>
      </c>
      <c r="D71" s="306">
        <v>25700</v>
      </c>
      <c r="E71" s="306">
        <v>0</v>
      </c>
      <c r="F71" s="299">
        <f t="shared" si="0"/>
        <v>25700</v>
      </c>
      <c r="G71" s="299">
        <v>0</v>
      </c>
      <c r="H71" s="228">
        <v>25700</v>
      </c>
      <c r="I71" s="231">
        <f t="shared" si="1"/>
        <v>0</v>
      </c>
      <c r="J71" s="528">
        <f t="shared" si="2"/>
        <v>100</v>
      </c>
      <c r="K71" s="528">
        <f t="shared" si="3"/>
        <v>100</v>
      </c>
      <c r="L71" s="223">
        <f t="shared" si="4"/>
        <v>25700</v>
      </c>
    </row>
    <row r="72" spans="1:12" s="223" customFormat="1" ht="24" x14ac:dyDescent="0.55000000000000004">
      <c r="A72" s="216">
        <v>65</v>
      </c>
      <c r="B72" s="48" t="s">
        <v>108</v>
      </c>
      <c r="C72" s="217" t="s">
        <v>42</v>
      </c>
      <c r="D72" s="306">
        <v>13140</v>
      </c>
      <c r="E72" s="306">
        <v>0</v>
      </c>
      <c r="F72" s="299">
        <f t="shared" si="0"/>
        <v>13140</v>
      </c>
      <c r="G72" s="299">
        <v>0</v>
      </c>
      <c r="H72" s="228">
        <v>13140</v>
      </c>
      <c r="I72" s="231">
        <f t="shared" si="1"/>
        <v>0</v>
      </c>
      <c r="J72" s="528">
        <f t="shared" si="2"/>
        <v>100</v>
      </c>
      <c r="K72" s="528">
        <f t="shared" si="3"/>
        <v>100</v>
      </c>
      <c r="L72" s="223">
        <f t="shared" si="4"/>
        <v>13140</v>
      </c>
    </row>
    <row r="73" spans="1:12" s="223" customFormat="1" ht="24" x14ac:dyDescent="0.55000000000000004">
      <c r="A73" s="216">
        <v>66</v>
      </c>
      <c r="B73" s="48" t="s">
        <v>108</v>
      </c>
      <c r="C73" s="217" t="s">
        <v>43</v>
      </c>
      <c r="D73" s="306">
        <v>71000</v>
      </c>
      <c r="E73" s="306">
        <v>0</v>
      </c>
      <c r="F73" s="299">
        <f t="shared" ref="F73:F103" si="5">SUM(D73:E73)</f>
        <v>71000</v>
      </c>
      <c r="G73" s="299">
        <v>0</v>
      </c>
      <c r="H73" s="228">
        <v>71000</v>
      </c>
      <c r="I73" s="231">
        <f t="shared" ref="I73:I103" si="6">+F73-G73-H73</f>
        <v>0</v>
      </c>
      <c r="J73" s="528">
        <f t="shared" ref="J73:J103" si="7">H73*100/F73</f>
        <v>100</v>
      </c>
      <c r="K73" s="528">
        <f t="shared" ref="K73:K103" si="8">+L73*100/F73</f>
        <v>100</v>
      </c>
      <c r="L73" s="223">
        <f t="shared" ref="L73:L104" si="9">+G73+H73</f>
        <v>71000</v>
      </c>
    </row>
    <row r="74" spans="1:12" s="223" customFormat="1" ht="24" x14ac:dyDescent="0.55000000000000004">
      <c r="A74" s="216">
        <v>67</v>
      </c>
      <c r="B74" s="48" t="s">
        <v>108</v>
      </c>
      <c r="C74" s="217" t="s">
        <v>44</v>
      </c>
      <c r="D74" s="306">
        <v>131950</v>
      </c>
      <c r="E74" s="306">
        <v>465000</v>
      </c>
      <c r="F74" s="299">
        <f t="shared" si="5"/>
        <v>596950</v>
      </c>
      <c r="G74" s="299">
        <v>465000</v>
      </c>
      <c r="H74" s="228">
        <v>131950</v>
      </c>
      <c r="I74" s="231">
        <f t="shared" si="6"/>
        <v>0</v>
      </c>
      <c r="J74" s="528">
        <f t="shared" si="7"/>
        <v>22.104028813133429</v>
      </c>
      <c r="K74" s="528">
        <f t="shared" si="8"/>
        <v>100</v>
      </c>
      <c r="L74" s="223">
        <f t="shared" si="9"/>
        <v>596950</v>
      </c>
    </row>
    <row r="75" spans="1:12" s="223" customFormat="1" ht="24" x14ac:dyDescent="0.55000000000000004">
      <c r="A75" s="216">
        <v>68</v>
      </c>
      <c r="B75" s="48" t="s">
        <v>108</v>
      </c>
      <c r="C75" s="217" t="s">
        <v>45</v>
      </c>
      <c r="D75" s="306">
        <v>20000</v>
      </c>
      <c r="E75" s="306">
        <v>0</v>
      </c>
      <c r="F75" s="299">
        <f t="shared" si="5"/>
        <v>20000</v>
      </c>
      <c r="G75" s="299">
        <v>0</v>
      </c>
      <c r="H75" s="228">
        <v>20000</v>
      </c>
      <c r="I75" s="231">
        <f t="shared" si="6"/>
        <v>0</v>
      </c>
      <c r="J75" s="528">
        <f t="shared" si="7"/>
        <v>100</v>
      </c>
      <c r="K75" s="528">
        <f t="shared" si="8"/>
        <v>100</v>
      </c>
      <c r="L75" s="223">
        <f t="shared" si="9"/>
        <v>20000</v>
      </c>
    </row>
    <row r="76" spans="1:12" s="223" customFormat="1" ht="24" x14ac:dyDescent="0.55000000000000004">
      <c r="A76" s="216">
        <v>69</v>
      </c>
      <c r="B76" s="48" t="s">
        <v>108</v>
      </c>
      <c r="C76" s="217" t="s">
        <v>63</v>
      </c>
      <c r="D76" s="306">
        <v>47290.01</v>
      </c>
      <c r="E76" s="306">
        <v>0</v>
      </c>
      <c r="F76" s="299">
        <f t="shared" si="5"/>
        <v>47290.01</v>
      </c>
      <c r="G76" s="299">
        <v>0</v>
      </c>
      <c r="H76" s="228">
        <v>47290.01</v>
      </c>
      <c r="I76" s="231">
        <f t="shared" si="6"/>
        <v>0</v>
      </c>
      <c r="J76" s="528">
        <f t="shared" si="7"/>
        <v>100</v>
      </c>
      <c r="K76" s="528">
        <f t="shared" si="8"/>
        <v>100</v>
      </c>
      <c r="L76" s="223">
        <f t="shared" si="9"/>
        <v>47290.01</v>
      </c>
    </row>
    <row r="77" spans="1:12" s="223" customFormat="1" ht="24" x14ac:dyDescent="0.55000000000000004">
      <c r="A77" s="216">
        <v>70</v>
      </c>
      <c r="B77" s="48" t="s">
        <v>108</v>
      </c>
      <c r="C77" s="217" t="s">
        <v>145</v>
      </c>
      <c r="D77" s="306">
        <v>89400</v>
      </c>
      <c r="E77" s="306">
        <v>0</v>
      </c>
      <c r="F77" s="299">
        <f t="shared" si="5"/>
        <v>89400</v>
      </c>
      <c r="G77" s="299">
        <v>0</v>
      </c>
      <c r="H77" s="228">
        <v>89400</v>
      </c>
      <c r="I77" s="231">
        <f t="shared" si="6"/>
        <v>0</v>
      </c>
      <c r="J77" s="528">
        <f t="shared" si="7"/>
        <v>100</v>
      </c>
      <c r="K77" s="528">
        <f t="shared" si="8"/>
        <v>100</v>
      </c>
      <c r="L77" s="223">
        <f t="shared" si="9"/>
        <v>89400</v>
      </c>
    </row>
    <row r="78" spans="1:12" s="223" customFormat="1" ht="24" x14ac:dyDescent="0.55000000000000004">
      <c r="A78" s="216">
        <v>71</v>
      </c>
      <c r="B78" s="48" t="s">
        <v>108</v>
      </c>
      <c r="C78" s="217" t="s">
        <v>46</v>
      </c>
      <c r="D78" s="306">
        <v>32160</v>
      </c>
      <c r="E78" s="306">
        <v>0</v>
      </c>
      <c r="F78" s="299">
        <f t="shared" si="5"/>
        <v>32160</v>
      </c>
      <c r="G78" s="299">
        <v>0</v>
      </c>
      <c r="H78" s="228">
        <v>32160</v>
      </c>
      <c r="I78" s="231">
        <f t="shared" si="6"/>
        <v>0</v>
      </c>
      <c r="J78" s="528">
        <f t="shared" si="7"/>
        <v>100</v>
      </c>
      <c r="K78" s="528">
        <f t="shared" si="8"/>
        <v>100</v>
      </c>
      <c r="L78" s="223">
        <f t="shared" si="9"/>
        <v>32160</v>
      </c>
    </row>
    <row r="79" spans="1:12" s="223" customFormat="1" ht="24" x14ac:dyDescent="0.55000000000000004">
      <c r="A79" s="216">
        <v>72</v>
      </c>
      <c r="B79" s="48" t="s">
        <v>108</v>
      </c>
      <c r="C79" s="217" t="s">
        <v>146</v>
      </c>
      <c r="D79" s="306">
        <v>8600</v>
      </c>
      <c r="E79" s="306">
        <v>0</v>
      </c>
      <c r="F79" s="299">
        <f t="shared" si="5"/>
        <v>8600</v>
      </c>
      <c r="G79" s="299">
        <v>0</v>
      </c>
      <c r="H79" s="228">
        <v>8600</v>
      </c>
      <c r="I79" s="231">
        <f t="shared" si="6"/>
        <v>0</v>
      </c>
      <c r="J79" s="528">
        <f t="shared" si="7"/>
        <v>100</v>
      </c>
      <c r="K79" s="528">
        <f t="shared" si="8"/>
        <v>100</v>
      </c>
      <c r="L79" s="223">
        <f t="shared" si="9"/>
        <v>8600</v>
      </c>
    </row>
    <row r="80" spans="1:12" s="223" customFormat="1" ht="24" x14ac:dyDescent="0.55000000000000004">
      <c r="A80" s="216">
        <v>73</v>
      </c>
      <c r="B80" s="48" t="s">
        <v>108</v>
      </c>
      <c r="C80" s="217" t="s">
        <v>147</v>
      </c>
      <c r="D80" s="306">
        <v>0</v>
      </c>
      <c r="E80" s="306">
        <v>0</v>
      </c>
      <c r="F80" s="299">
        <f t="shared" si="5"/>
        <v>0</v>
      </c>
      <c r="G80" s="299">
        <v>0</v>
      </c>
      <c r="H80" s="228">
        <v>0</v>
      </c>
      <c r="I80" s="231">
        <f t="shared" si="6"/>
        <v>0</v>
      </c>
      <c r="J80" s="528">
        <v>0</v>
      </c>
      <c r="K80" s="528">
        <v>0</v>
      </c>
      <c r="L80" s="223">
        <f t="shared" si="9"/>
        <v>0</v>
      </c>
    </row>
    <row r="81" spans="1:12" s="223" customFormat="1" ht="24" x14ac:dyDescent="0.55000000000000004">
      <c r="A81" s="216">
        <v>74</v>
      </c>
      <c r="B81" s="48" t="s">
        <v>108</v>
      </c>
      <c r="C81" s="217" t="s">
        <v>47</v>
      </c>
      <c r="D81" s="306">
        <v>11300</v>
      </c>
      <c r="E81" s="306">
        <v>0</v>
      </c>
      <c r="F81" s="299">
        <f t="shared" si="5"/>
        <v>11300</v>
      </c>
      <c r="G81" s="299">
        <v>0</v>
      </c>
      <c r="H81" s="228">
        <v>11300</v>
      </c>
      <c r="I81" s="231">
        <f t="shared" si="6"/>
        <v>0</v>
      </c>
      <c r="J81" s="528">
        <f t="shared" si="7"/>
        <v>100</v>
      </c>
      <c r="K81" s="528">
        <f t="shared" si="8"/>
        <v>100</v>
      </c>
      <c r="L81" s="223">
        <f t="shared" si="9"/>
        <v>11300</v>
      </c>
    </row>
    <row r="82" spans="1:12" s="223" customFormat="1" ht="24" x14ac:dyDescent="0.55000000000000004">
      <c r="A82" s="216">
        <v>75</v>
      </c>
      <c r="B82" s="48" t="s">
        <v>108</v>
      </c>
      <c r="C82" s="217" t="s">
        <v>148</v>
      </c>
      <c r="D82" s="306">
        <v>23000</v>
      </c>
      <c r="E82" s="306">
        <v>0</v>
      </c>
      <c r="F82" s="299">
        <f t="shared" si="5"/>
        <v>23000</v>
      </c>
      <c r="G82" s="299">
        <v>0</v>
      </c>
      <c r="H82" s="228">
        <v>23000</v>
      </c>
      <c r="I82" s="231">
        <f t="shared" si="6"/>
        <v>0</v>
      </c>
      <c r="J82" s="528">
        <f t="shared" si="7"/>
        <v>100</v>
      </c>
      <c r="K82" s="528">
        <f t="shared" si="8"/>
        <v>100</v>
      </c>
      <c r="L82" s="223">
        <f t="shared" si="9"/>
        <v>23000</v>
      </c>
    </row>
    <row r="83" spans="1:12" s="223" customFormat="1" ht="24" x14ac:dyDescent="0.55000000000000004">
      <c r="A83" s="216">
        <v>76</v>
      </c>
      <c r="B83" s="48" t="s">
        <v>108</v>
      </c>
      <c r="C83" s="217" t="s">
        <v>48</v>
      </c>
      <c r="D83" s="306">
        <v>0</v>
      </c>
      <c r="E83" s="306">
        <v>0</v>
      </c>
      <c r="F83" s="299">
        <f t="shared" si="5"/>
        <v>0</v>
      </c>
      <c r="G83" s="299">
        <v>0</v>
      </c>
      <c r="H83" s="228">
        <v>0</v>
      </c>
      <c r="I83" s="231">
        <f t="shared" si="6"/>
        <v>0</v>
      </c>
      <c r="J83" s="528">
        <v>0</v>
      </c>
      <c r="K83" s="528">
        <v>0</v>
      </c>
      <c r="L83" s="223">
        <f t="shared" si="9"/>
        <v>0</v>
      </c>
    </row>
    <row r="84" spans="1:12" s="223" customFormat="1" ht="24" x14ac:dyDescent="0.55000000000000004">
      <c r="A84" s="216">
        <v>77</v>
      </c>
      <c r="B84" s="48" t="s">
        <v>108</v>
      </c>
      <c r="C84" s="217" t="s">
        <v>149</v>
      </c>
      <c r="D84" s="306">
        <v>44000</v>
      </c>
      <c r="E84" s="306">
        <v>0</v>
      </c>
      <c r="F84" s="299">
        <f t="shared" si="5"/>
        <v>44000</v>
      </c>
      <c r="G84" s="299">
        <v>0</v>
      </c>
      <c r="H84" s="228">
        <v>44000</v>
      </c>
      <c r="I84" s="231">
        <f t="shared" si="6"/>
        <v>0</v>
      </c>
      <c r="J84" s="528">
        <f t="shared" si="7"/>
        <v>100</v>
      </c>
      <c r="K84" s="528">
        <f t="shared" si="8"/>
        <v>100</v>
      </c>
      <c r="L84" s="223">
        <f t="shared" si="9"/>
        <v>44000</v>
      </c>
    </row>
    <row r="85" spans="1:12" s="223" customFormat="1" ht="24" x14ac:dyDescent="0.55000000000000004">
      <c r="A85" s="216">
        <v>78</v>
      </c>
      <c r="B85" s="48" t="s">
        <v>108</v>
      </c>
      <c r="C85" s="217" t="s">
        <v>49</v>
      </c>
      <c r="D85" s="306">
        <v>0</v>
      </c>
      <c r="E85" s="306">
        <v>0</v>
      </c>
      <c r="F85" s="299">
        <f t="shared" si="5"/>
        <v>0</v>
      </c>
      <c r="G85" s="299">
        <v>0</v>
      </c>
      <c r="H85" s="228">
        <v>0</v>
      </c>
      <c r="I85" s="231">
        <f t="shared" si="6"/>
        <v>0</v>
      </c>
      <c r="J85" s="528">
        <v>0</v>
      </c>
      <c r="K85" s="528">
        <v>0</v>
      </c>
      <c r="L85" s="223">
        <f t="shared" si="9"/>
        <v>0</v>
      </c>
    </row>
    <row r="86" spans="1:12" s="223" customFormat="1" ht="24" x14ac:dyDescent="0.55000000000000004">
      <c r="A86" s="216">
        <v>79</v>
      </c>
      <c r="B86" s="48" t="s">
        <v>108</v>
      </c>
      <c r="C86" s="217" t="s">
        <v>50</v>
      </c>
      <c r="D86" s="306">
        <v>1090</v>
      </c>
      <c r="E86" s="306">
        <v>0</v>
      </c>
      <c r="F86" s="299">
        <f t="shared" si="5"/>
        <v>1090</v>
      </c>
      <c r="G86" s="299">
        <v>0</v>
      </c>
      <c r="H86" s="228">
        <v>1090</v>
      </c>
      <c r="I86" s="231">
        <f t="shared" si="6"/>
        <v>0</v>
      </c>
      <c r="J86" s="528">
        <f t="shared" si="7"/>
        <v>100</v>
      </c>
      <c r="K86" s="528">
        <f t="shared" si="8"/>
        <v>100</v>
      </c>
      <c r="L86" s="223">
        <f t="shared" si="9"/>
        <v>1090</v>
      </c>
    </row>
    <row r="87" spans="1:12" s="223" customFormat="1" ht="24" x14ac:dyDescent="0.55000000000000004">
      <c r="A87" s="216">
        <v>80</v>
      </c>
      <c r="B87" s="48" t="s">
        <v>108</v>
      </c>
      <c r="C87" s="217" t="s">
        <v>150</v>
      </c>
      <c r="D87" s="306">
        <v>70400</v>
      </c>
      <c r="E87" s="306">
        <v>0</v>
      </c>
      <c r="F87" s="299">
        <f t="shared" si="5"/>
        <v>70400</v>
      </c>
      <c r="G87" s="299">
        <v>0</v>
      </c>
      <c r="H87" s="228">
        <v>70400</v>
      </c>
      <c r="I87" s="231">
        <f t="shared" si="6"/>
        <v>0</v>
      </c>
      <c r="J87" s="528">
        <f t="shared" si="7"/>
        <v>100</v>
      </c>
      <c r="K87" s="528">
        <f t="shared" si="8"/>
        <v>100</v>
      </c>
      <c r="L87" s="223">
        <f t="shared" si="9"/>
        <v>70400</v>
      </c>
    </row>
    <row r="88" spans="1:12" s="223" customFormat="1" ht="24" x14ac:dyDescent="0.55000000000000004">
      <c r="A88" s="216">
        <v>81</v>
      </c>
      <c r="B88" s="48" t="s">
        <v>108</v>
      </c>
      <c r="C88" s="217" t="s">
        <v>51</v>
      </c>
      <c r="D88" s="306">
        <v>12390</v>
      </c>
      <c r="E88" s="306">
        <v>0</v>
      </c>
      <c r="F88" s="299">
        <f t="shared" si="5"/>
        <v>12390</v>
      </c>
      <c r="G88" s="299">
        <v>0</v>
      </c>
      <c r="H88" s="228">
        <v>12390</v>
      </c>
      <c r="I88" s="231">
        <f t="shared" si="6"/>
        <v>0</v>
      </c>
      <c r="J88" s="528">
        <f t="shared" si="7"/>
        <v>100</v>
      </c>
      <c r="K88" s="528">
        <f t="shared" si="8"/>
        <v>100</v>
      </c>
      <c r="L88" s="223">
        <f t="shared" si="9"/>
        <v>12390</v>
      </c>
    </row>
    <row r="89" spans="1:12" s="223" customFormat="1" ht="24" x14ac:dyDescent="0.55000000000000004">
      <c r="A89" s="216">
        <v>82</v>
      </c>
      <c r="B89" s="48" t="s">
        <v>108</v>
      </c>
      <c r="C89" s="217" t="s">
        <v>151</v>
      </c>
      <c r="D89" s="306">
        <v>0</v>
      </c>
      <c r="E89" s="306">
        <v>0</v>
      </c>
      <c r="F89" s="299">
        <f t="shared" si="5"/>
        <v>0</v>
      </c>
      <c r="G89" s="299">
        <v>0</v>
      </c>
      <c r="H89" s="228">
        <v>0</v>
      </c>
      <c r="I89" s="231">
        <f t="shared" si="6"/>
        <v>0</v>
      </c>
      <c r="J89" s="528">
        <v>0</v>
      </c>
      <c r="K89" s="528">
        <v>0</v>
      </c>
      <c r="L89" s="223">
        <f t="shared" si="9"/>
        <v>0</v>
      </c>
    </row>
    <row r="90" spans="1:12" s="223" customFormat="1" ht="24" x14ac:dyDescent="0.55000000000000004">
      <c r="A90" s="216">
        <v>83</v>
      </c>
      <c r="B90" s="48" t="s">
        <v>108</v>
      </c>
      <c r="C90" s="217" t="s">
        <v>152</v>
      </c>
      <c r="D90" s="306">
        <v>9560</v>
      </c>
      <c r="E90" s="306">
        <v>0</v>
      </c>
      <c r="F90" s="299">
        <f t="shared" si="5"/>
        <v>9560</v>
      </c>
      <c r="G90" s="299">
        <v>0</v>
      </c>
      <c r="H90" s="228">
        <v>9560</v>
      </c>
      <c r="I90" s="231">
        <f t="shared" si="6"/>
        <v>0</v>
      </c>
      <c r="J90" s="528">
        <f t="shared" si="7"/>
        <v>100</v>
      </c>
      <c r="K90" s="528">
        <f t="shared" si="8"/>
        <v>100</v>
      </c>
      <c r="L90" s="223">
        <f t="shared" si="9"/>
        <v>9560</v>
      </c>
    </row>
    <row r="91" spans="1:12" s="223" customFormat="1" ht="24" x14ac:dyDescent="0.55000000000000004">
      <c r="A91" s="216">
        <v>84</v>
      </c>
      <c r="B91" s="48" t="s">
        <v>108</v>
      </c>
      <c r="C91" s="217" t="s">
        <v>153</v>
      </c>
      <c r="D91" s="306">
        <v>102200</v>
      </c>
      <c r="E91" s="306">
        <v>0</v>
      </c>
      <c r="F91" s="299">
        <f t="shared" si="5"/>
        <v>102200</v>
      </c>
      <c r="G91" s="299">
        <v>0</v>
      </c>
      <c r="H91" s="228">
        <v>102200</v>
      </c>
      <c r="I91" s="231">
        <f t="shared" si="6"/>
        <v>0</v>
      </c>
      <c r="J91" s="528">
        <f t="shared" si="7"/>
        <v>100</v>
      </c>
      <c r="K91" s="528">
        <f t="shared" si="8"/>
        <v>100</v>
      </c>
      <c r="L91" s="223">
        <f t="shared" si="9"/>
        <v>102200</v>
      </c>
    </row>
    <row r="92" spans="1:12" s="223" customFormat="1" ht="24" x14ac:dyDescent="0.55000000000000004">
      <c r="A92" s="216">
        <v>85</v>
      </c>
      <c r="B92" s="48" t="s">
        <v>108</v>
      </c>
      <c r="C92" s="217" t="s">
        <v>52</v>
      </c>
      <c r="D92" s="306">
        <v>57180</v>
      </c>
      <c r="E92" s="306">
        <v>0</v>
      </c>
      <c r="F92" s="299">
        <f t="shared" si="5"/>
        <v>57180</v>
      </c>
      <c r="G92" s="299">
        <v>0</v>
      </c>
      <c r="H92" s="228">
        <v>57180</v>
      </c>
      <c r="I92" s="231">
        <f t="shared" si="6"/>
        <v>0</v>
      </c>
      <c r="J92" s="528">
        <f t="shared" si="7"/>
        <v>100</v>
      </c>
      <c r="K92" s="528">
        <f t="shared" si="8"/>
        <v>100</v>
      </c>
      <c r="L92" s="223">
        <f t="shared" si="9"/>
        <v>57180</v>
      </c>
    </row>
    <row r="93" spans="1:12" s="223" customFormat="1" ht="24" x14ac:dyDescent="0.55000000000000004">
      <c r="A93" s="216">
        <v>86</v>
      </c>
      <c r="B93" s="48" t="s">
        <v>108</v>
      </c>
      <c r="C93" s="217" t="s">
        <v>53</v>
      </c>
      <c r="D93" s="306">
        <v>0</v>
      </c>
      <c r="E93" s="306">
        <v>0</v>
      </c>
      <c r="F93" s="299">
        <f t="shared" si="5"/>
        <v>0</v>
      </c>
      <c r="G93" s="299">
        <v>0</v>
      </c>
      <c r="H93" s="228">
        <v>0</v>
      </c>
      <c r="I93" s="231">
        <f t="shared" si="6"/>
        <v>0</v>
      </c>
      <c r="J93" s="528">
        <v>0</v>
      </c>
      <c r="K93" s="528">
        <v>0</v>
      </c>
      <c r="L93" s="223">
        <f t="shared" si="9"/>
        <v>0</v>
      </c>
    </row>
    <row r="94" spans="1:12" s="223" customFormat="1" ht="24" x14ac:dyDescent="0.55000000000000004">
      <c r="A94" s="216">
        <v>87</v>
      </c>
      <c r="B94" s="48" t="s">
        <v>108</v>
      </c>
      <c r="C94" s="217" t="s">
        <v>154</v>
      </c>
      <c r="D94" s="306">
        <v>208400</v>
      </c>
      <c r="E94" s="306">
        <v>0</v>
      </c>
      <c r="F94" s="299">
        <f t="shared" si="5"/>
        <v>208400</v>
      </c>
      <c r="G94" s="299">
        <v>0</v>
      </c>
      <c r="H94" s="228">
        <v>208400</v>
      </c>
      <c r="I94" s="231">
        <f t="shared" si="6"/>
        <v>0</v>
      </c>
      <c r="J94" s="528">
        <f t="shared" si="7"/>
        <v>100</v>
      </c>
      <c r="K94" s="528">
        <f t="shared" si="8"/>
        <v>100</v>
      </c>
      <c r="L94" s="223">
        <f t="shared" si="9"/>
        <v>208400</v>
      </c>
    </row>
    <row r="95" spans="1:12" s="223" customFormat="1" ht="24" x14ac:dyDescent="0.55000000000000004">
      <c r="A95" s="216">
        <v>88</v>
      </c>
      <c r="B95" s="48" t="s">
        <v>108</v>
      </c>
      <c r="C95" s="217" t="s">
        <v>155</v>
      </c>
      <c r="D95" s="306">
        <v>17600</v>
      </c>
      <c r="E95" s="306">
        <v>0</v>
      </c>
      <c r="F95" s="299">
        <f t="shared" si="5"/>
        <v>17600</v>
      </c>
      <c r="G95" s="299">
        <v>0</v>
      </c>
      <c r="H95" s="228">
        <v>17600</v>
      </c>
      <c r="I95" s="231">
        <f t="shared" si="6"/>
        <v>0</v>
      </c>
      <c r="J95" s="528">
        <f t="shared" si="7"/>
        <v>100</v>
      </c>
      <c r="K95" s="528">
        <f t="shared" si="8"/>
        <v>100</v>
      </c>
      <c r="L95" s="223">
        <f t="shared" si="9"/>
        <v>17600</v>
      </c>
    </row>
    <row r="96" spans="1:12" s="223" customFormat="1" ht="24" x14ac:dyDescent="0.55000000000000004">
      <c r="A96" s="216">
        <v>89</v>
      </c>
      <c r="B96" s="48" t="s">
        <v>108</v>
      </c>
      <c r="C96" s="217" t="s">
        <v>156</v>
      </c>
      <c r="D96" s="306">
        <v>288500</v>
      </c>
      <c r="E96" s="306">
        <v>459000</v>
      </c>
      <c r="F96" s="299">
        <f t="shared" si="5"/>
        <v>747500</v>
      </c>
      <c r="G96" s="299">
        <v>0</v>
      </c>
      <c r="H96" s="228">
        <f>288500+459000</f>
        <v>747500</v>
      </c>
      <c r="I96" s="231">
        <f t="shared" si="6"/>
        <v>0</v>
      </c>
      <c r="J96" s="528">
        <f t="shared" si="7"/>
        <v>100</v>
      </c>
      <c r="K96" s="528">
        <f t="shared" si="8"/>
        <v>100</v>
      </c>
      <c r="L96" s="223">
        <f t="shared" si="9"/>
        <v>747500</v>
      </c>
    </row>
    <row r="97" spans="1:12" s="223" customFormat="1" ht="24" x14ac:dyDescent="0.55000000000000004">
      <c r="A97" s="216">
        <v>90</v>
      </c>
      <c r="B97" s="48" t="s">
        <v>108</v>
      </c>
      <c r="C97" s="217" t="s">
        <v>54</v>
      </c>
      <c r="D97" s="306">
        <v>44000</v>
      </c>
      <c r="E97" s="306">
        <v>0</v>
      </c>
      <c r="F97" s="299">
        <f t="shared" si="5"/>
        <v>44000</v>
      </c>
      <c r="G97" s="299">
        <v>0</v>
      </c>
      <c r="H97" s="228">
        <v>44000</v>
      </c>
      <c r="I97" s="231">
        <f t="shared" si="6"/>
        <v>0</v>
      </c>
      <c r="J97" s="528">
        <f t="shared" si="7"/>
        <v>100</v>
      </c>
      <c r="K97" s="528">
        <f t="shared" si="8"/>
        <v>100</v>
      </c>
      <c r="L97" s="223">
        <f t="shared" si="9"/>
        <v>44000</v>
      </c>
    </row>
    <row r="98" spans="1:12" s="223" customFormat="1" ht="24" x14ac:dyDescent="0.55000000000000004">
      <c r="A98" s="216">
        <v>91</v>
      </c>
      <c r="B98" s="48" t="s">
        <v>108</v>
      </c>
      <c r="C98" s="217" t="s">
        <v>55</v>
      </c>
      <c r="D98" s="306">
        <v>72760</v>
      </c>
      <c r="E98" s="306">
        <v>0</v>
      </c>
      <c r="F98" s="299">
        <f t="shared" si="5"/>
        <v>72760</v>
      </c>
      <c r="G98" s="299">
        <v>0</v>
      </c>
      <c r="H98" s="228">
        <v>72760</v>
      </c>
      <c r="I98" s="231">
        <f t="shared" si="6"/>
        <v>0</v>
      </c>
      <c r="J98" s="528">
        <f t="shared" si="7"/>
        <v>100</v>
      </c>
      <c r="K98" s="528">
        <f t="shared" si="8"/>
        <v>100</v>
      </c>
      <c r="L98" s="223">
        <f t="shared" si="9"/>
        <v>72760</v>
      </c>
    </row>
    <row r="99" spans="1:12" s="223" customFormat="1" ht="24" x14ac:dyDescent="0.55000000000000004">
      <c r="A99" s="216">
        <v>92</v>
      </c>
      <c r="B99" s="48" t="s">
        <v>110</v>
      </c>
      <c r="C99" s="217" t="s">
        <v>20</v>
      </c>
      <c r="D99" s="306">
        <v>317148</v>
      </c>
      <c r="E99" s="306">
        <v>0</v>
      </c>
      <c r="F99" s="299">
        <f t="shared" si="5"/>
        <v>317148</v>
      </c>
      <c r="G99" s="299">
        <v>0</v>
      </c>
      <c r="H99" s="228">
        <v>317148</v>
      </c>
      <c r="I99" s="231">
        <f t="shared" si="6"/>
        <v>0</v>
      </c>
      <c r="J99" s="528">
        <f t="shared" si="7"/>
        <v>100</v>
      </c>
      <c r="K99" s="528">
        <f t="shared" si="8"/>
        <v>100</v>
      </c>
      <c r="L99" s="223">
        <f t="shared" si="9"/>
        <v>317148</v>
      </c>
    </row>
    <row r="100" spans="1:12" s="223" customFormat="1" ht="24" x14ac:dyDescent="0.55000000000000004">
      <c r="A100" s="216">
        <v>93</v>
      </c>
      <c r="B100" s="48" t="s">
        <v>110</v>
      </c>
      <c r="C100" s="217" t="s">
        <v>157</v>
      </c>
      <c r="D100" s="306">
        <v>1353300</v>
      </c>
      <c r="E100" s="306">
        <v>0</v>
      </c>
      <c r="F100" s="299">
        <f t="shared" si="5"/>
        <v>1353300</v>
      </c>
      <c r="G100" s="299">
        <v>0</v>
      </c>
      <c r="H100" s="228">
        <v>537300</v>
      </c>
      <c r="I100" s="231">
        <f t="shared" si="6"/>
        <v>816000</v>
      </c>
      <c r="J100" s="528">
        <f t="shared" si="7"/>
        <v>39.702948348481492</v>
      </c>
      <c r="K100" s="528">
        <f t="shared" si="8"/>
        <v>39.702948348481492</v>
      </c>
      <c r="L100" s="223">
        <f t="shared" si="9"/>
        <v>537300</v>
      </c>
    </row>
    <row r="101" spans="1:12" s="223" customFormat="1" ht="24" x14ac:dyDescent="0.55000000000000004">
      <c r="A101" s="216">
        <v>94</v>
      </c>
      <c r="B101" s="48" t="s">
        <v>108</v>
      </c>
      <c r="C101" s="217" t="s">
        <v>86</v>
      </c>
      <c r="D101" s="306">
        <v>72300</v>
      </c>
      <c r="E101" s="306">
        <v>0</v>
      </c>
      <c r="F101" s="299">
        <f t="shared" si="5"/>
        <v>72300</v>
      </c>
      <c r="G101" s="299">
        <v>0</v>
      </c>
      <c r="H101" s="228">
        <v>72300</v>
      </c>
      <c r="I101" s="231">
        <f t="shared" si="6"/>
        <v>0</v>
      </c>
      <c r="J101" s="528">
        <f t="shared" si="7"/>
        <v>100</v>
      </c>
      <c r="K101" s="528">
        <f t="shared" si="8"/>
        <v>100</v>
      </c>
      <c r="L101" s="223">
        <f t="shared" si="9"/>
        <v>72300</v>
      </c>
    </row>
    <row r="102" spans="1:12" s="223" customFormat="1" ht="24" x14ac:dyDescent="0.55000000000000004">
      <c r="A102" s="216">
        <v>95</v>
      </c>
      <c r="B102" s="48" t="s">
        <v>110</v>
      </c>
      <c r="C102" s="217" t="s">
        <v>43</v>
      </c>
      <c r="D102" s="306">
        <v>483128</v>
      </c>
      <c r="E102" s="306">
        <v>0</v>
      </c>
      <c r="F102" s="299">
        <f t="shared" si="5"/>
        <v>483128</v>
      </c>
      <c r="G102" s="299">
        <v>0</v>
      </c>
      <c r="H102" s="228">
        <v>483128</v>
      </c>
      <c r="I102" s="231">
        <f t="shared" si="6"/>
        <v>0</v>
      </c>
      <c r="J102" s="528">
        <f t="shared" si="7"/>
        <v>100</v>
      </c>
      <c r="K102" s="528">
        <f t="shared" si="8"/>
        <v>100</v>
      </c>
      <c r="L102" s="223">
        <f t="shared" si="9"/>
        <v>483128</v>
      </c>
    </row>
    <row r="103" spans="1:12" s="223" customFormat="1" ht="24.75" thickBot="1" x14ac:dyDescent="0.6">
      <c r="A103" s="232">
        <v>96</v>
      </c>
      <c r="B103" s="233" t="s">
        <v>110</v>
      </c>
      <c r="C103" s="234" t="s">
        <v>213</v>
      </c>
      <c r="D103" s="306">
        <f>185300-12540</f>
        <v>172760</v>
      </c>
      <c r="E103" s="306">
        <v>0</v>
      </c>
      <c r="F103" s="299">
        <f t="shared" si="5"/>
        <v>172760</v>
      </c>
      <c r="G103" s="299">
        <v>0</v>
      </c>
      <c r="H103" s="228">
        <v>172760</v>
      </c>
      <c r="I103" s="231">
        <f t="shared" si="6"/>
        <v>0</v>
      </c>
      <c r="J103" s="528">
        <f t="shared" si="7"/>
        <v>100</v>
      </c>
      <c r="K103" s="528">
        <f t="shared" si="8"/>
        <v>100</v>
      </c>
      <c r="L103" s="223">
        <f t="shared" si="9"/>
        <v>172760</v>
      </c>
    </row>
    <row r="104" spans="1:12" s="227" customFormat="1" ht="25.5" thickTop="1" thickBot="1" x14ac:dyDescent="0.6">
      <c r="A104" s="1289" t="s">
        <v>159</v>
      </c>
      <c r="B104" s="1290"/>
      <c r="C104" s="1291"/>
      <c r="D104" s="325">
        <f t="shared" ref="D104:I104" si="10">SUM(D8:D103)</f>
        <v>20425685.000000004</v>
      </c>
      <c r="E104" s="325">
        <f t="shared" si="10"/>
        <v>47797815</v>
      </c>
      <c r="F104" s="325">
        <f t="shared" si="10"/>
        <v>68223500</v>
      </c>
      <c r="G104" s="325">
        <f>SUM(G8:G103)</f>
        <v>22444868</v>
      </c>
      <c r="H104" s="325">
        <f>SUM(H8:H103)</f>
        <v>18036707.699999999</v>
      </c>
      <c r="I104" s="325">
        <f t="shared" si="10"/>
        <v>27741924.299999997</v>
      </c>
      <c r="J104" s="813">
        <f>H104*100/F104</f>
        <v>26.437675727571879</v>
      </c>
      <c r="K104" s="813">
        <f t="shared" ref="K104" si="11">+L104*100/F104</f>
        <v>59.336703188783929</v>
      </c>
      <c r="L104" s="227">
        <f t="shared" si="9"/>
        <v>40481575.700000003</v>
      </c>
    </row>
    <row r="105" spans="1:12" s="494" customFormat="1" ht="28.5" hidden="1" thickTop="1" x14ac:dyDescent="0.65">
      <c r="A105" s="494" t="s">
        <v>198</v>
      </c>
      <c r="B105" s="495"/>
      <c r="C105" s="1288" t="s">
        <v>199</v>
      </c>
      <c r="D105" s="1288"/>
      <c r="E105" s="1288"/>
      <c r="F105" s="1288"/>
      <c r="G105" s="1288"/>
      <c r="H105" s="1288"/>
      <c r="I105" s="1288"/>
      <c r="J105" s="1288"/>
    </row>
    <row r="106" spans="1:12" ht="28.5" thickTop="1" x14ac:dyDescent="0.65">
      <c r="A106" s="488" t="s">
        <v>160</v>
      </c>
      <c r="B106" s="709"/>
      <c r="C106" s="488" t="s">
        <v>690</v>
      </c>
      <c r="G106" s="704"/>
    </row>
    <row r="107" spans="1:12" hidden="1" x14ac:dyDescent="0.65">
      <c r="C107" s="1287" t="s">
        <v>646</v>
      </c>
      <c r="D107" s="1287"/>
      <c r="E107" s="1287"/>
      <c r="F107" s="1287"/>
      <c r="G107" s="1287"/>
      <c r="H107" s="1287"/>
      <c r="I107" s="1287"/>
    </row>
    <row r="108" spans="1:12" hidden="1" x14ac:dyDescent="0.65">
      <c r="C108" s="1287" t="s">
        <v>689</v>
      </c>
      <c r="D108" s="1287"/>
      <c r="E108" s="1287"/>
      <c r="F108" s="1287"/>
      <c r="G108" s="1287"/>
      <c r="H108" s="1287"/>
      <c r="I108" s="1287"/>
    </row>
    <row r="109" spans="1:12" hidden="1" x14ac:dyDescent="0.65">
      <c r="F109" s="499">
        <v>174475731</v>
      </c>
      <c r="J109" s="500"/>
    </row>
    <row r="110" spans="1:12" hidden="1" x14ac:dyDescent="0.65">
      <c r="F110" s="499">
        <f>+E104</f>
        <v>47797815</v>
      </c>
      <c r="J110" s="501"/>
    </row>
    <row r="111" spans="1:12" hidden="1" x14ac:dyDescent="0.65">
      <c r="F111" s="499">
        <f>+F109-F110</f>
        <v>126677916</v>
      </c>
    </row>
    <row r="112" spans="1:12" hidden="1" x14ac:dyDescent="0.65">
      <c r="D112" s="496">
        <f>+รายงานผู้บริหาร!B10</f>
        <v>19128700</v>
      </c>
      <c r="E112" s="496">
        <f>+รายงานผู้บริหาร!B11</f>
        <v>99165600</v>
      </c>
      <c r="F112" s="499">
        <v>198149399</v>
      </c>
    </row>
    <row r="113" spans="5:6" hidden="1" x14ac:dyDescent="0.65">
      <c r="E113" s="496">
        <f>+E112-E104</f>
        <v>51367785</v>
      </c>
      <c r="F113" s="499">
        <f>+F112-F104</f>
        <v>129925899</v>
      </c>
    </row>
  </sheetData>
  <mergeCells count="12">
    <mergeCell ref="C108:I108"/>
    <mergeCell ref="C107:I107"/>
    <mergeCell ref="A1:K1"/>
    <mergeCell ref="A2:K2"/>
    <mergeCell ref="A4:K4"/>
    <mergeCell ref="A5:K5"/>
    <mergeCell ref="C105:J105"/>
    <mergeCell ref="A104:C104"/>
    <mergeCell ref="A3:J3"/>
    <mergeCell ref="A6:A7"/>
    <mergeCell ref="B6:C7"/>
    <mergeCell ref="D6:F6"/>
  </mergeCells>
  <pageMargins left="0.47244094488188998" right="0.32" top="0.74803149606299202" bottom="0.74803149606299202" header="0.31496062992126" footer="0.31496062992126"/>
  <pageSetup paperSize="9" scale="68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11"/>
  <sheetViews>
    <sheetView zoomScale="110" zoomScaleNormal="110" workbookViewId="0">
      <selection activeCell="G8" sqref="G8"/>
    </sheetView>
  </sheetViews>
  <sheetFormatPr defaultRowHeight="24" x14ac:dyDescent="0.55000000000000004"/>
  <cols>
    <col min="1" max="1" width="6.85546875" style="223" customWidth="1"/>
    <col min="2" max="2" width="4.7109375" style="707" customWidth="1"/>
    <col min="3" max="3" width="12.5703125" style="708" customWidth="1"/>
    <col min="4" max="4" width="17.5703125" style="706" bestFit="1" customWidth="1"/>
    <col min="5" max="6" width="15.7109375" style="706" customWidth="1"/>
    <col min="7" max="7" width="17.5703125" style="705" bestFit="1" customWidth="1"/>
    <col min="8" max="8" width="15" style="705" customWidth="1"/>
    <col min="9" max="9" width="18.42578125" style="705" bestFit="1" customWidth="1"/>
    <col min="10" max="10" width="12.140625" style="223" hidden="1" customWidth="1"/>
    <col min="11" max="11" width="15" style="223" hidden="1" customWidth="1"/>
    <col min="12" max="12" width="12.42578125" style="223" hidden="1" customWidth="1"/>
    <col min="13" max="13" width="11" style="223" hidden="1" customWidth="1"/>
    <col min="14" max="14" width="14.140625" style="706" hidden="1" customWidth="1"/>
    <col min="15" max="15" width="0" style="223" hidden="1" customWidth="1"/>
    <col min="16" max="16384" width="9.140625" style="223"/>
  </cols>
  <sheetData>
    <row r="1" spans="1:15" s="225" customFormat="1" ht="27.75" x14ac:dyDescent="0.65">
      <c r="A1" s="1251" t="s">
        <v>604</v>
      </c>
      <c r="B1" s="1251"/>
      <c r="C1" s="1251"/>
      <c r="D1" s="1251"/>
      <c r="E1" s="1251"/>
      <c r="F1" s="1251"/>
      <c r="G1" s="1251"/>
      <c r="H1" s="1251"/>
      <c r="I1" s="1251"/>
      <c r="N1" s="705"/>
    </row>
    <row r="2" spans="1:15" s="225" customFormat="1" ht="27.75" x14ac:dyDescent="0.55000000000000004">
      <c r="A2" s="1275" t="str">
        <f>+'5.งบลงทุน'!A2:J2</f>
        <v xml:space="preserve">สรุปสถานะการใช้จ่ายเงินงบประมาณประจำปีงบประมาณ พ.ศ. 2565 ในระบบ GFMIS     </v>
      </c>
      <c r="B2" s="1275"/>
      <c r="C2" s="1275"/>
      <c r="D2" s="1275"/>
      <c r="E2" s="1275"/>
      <c r="F2" s="1275"/>
      <c r="G2" s="1275"/>
      <c r="H2" s="1275"/>
      <c r="I2" s="1275"/>
      <c r="N2" s="705"/>
    </row>
    <row r="3" spans="1:15" s="225" customFormat="1" ht="27.75" x14ac:dyDescent="0.55000000000000004">
      <c r="A3" s="1252" t="s">
        <v>266</v>
      </c>
      <c r="B3" s="1252"/>
      <c r="C3" s="1252"/>
      <c r="D3" s="1252"/>
      <c r="E3" s="1252"/>
      <c r="F3" s="1252"/>
      <c r="G3" s="1252"/>
      <c r="H3" s="1252"/>
      <c r="I3" s="1252"/>
      <c r="N3" s="705"/>
    </row>
    <row r="4" spans="1:15" s="225" customFormat="1" ht="27.75" x14ac:dyDescent="0.55000000000000004">
      <c r="A4" s="1277" t="str">
        <f>+รายจ่ายจริง!A3:P3</f>
        <v>ตั้งแต่วันที่ 1  ตุลาคม 2564 ถึงวันที่ 31 มกราคม 2565</v>
      </c>
      <c r="B4" s="1277"/>
      <c r="C4" s="1277"/>
      <c r="D4" s="1277"/>
      <c r="E4" s="1277"/>
      <c r="F4" s="1277"/>
      <c r="G4" s="1277"/>
      <c r="H4" s="1277"/>
      <c r="I4" s="1277"/>
      <c r="N4" s="705"/>
    </row>
    <row r="5" spans="1:15" s="225" customFormat="1" x14ac:dyDescent="0.55000000000000004">
      <c r="A5" s="1294" t="s">
        <v>0</v>
      </c>
      <c r="B5" s="1294" t="s">
        <v>1</v>
      </c>
      <c r="C5" s="1294"/>
      <c r="D5" s="269" t="s">
        <v>66</v>
      </c>
      <c r="E5" s="240" t="s">
        <v>104</v>
      </c>
      <c r="F5" s="269" t="s">
        <v>105</v>
      </c>
      <c r="G5" s="269" t="s">
        <v>60</v>
      </c>
      <c r="H5" s="269" t="s">
        <v>65</v>
      </c>
      <c r="I5" s="269" t="s">
        <v>65</v>
      </c>
      <c r="N5" s="705"/>
    </row>
    <row r="6" spans="1:15" s="225" customFormat="1" x14ac:dyDescent="0.55000000000000004">
      <c r="A6" s="1294"/>
      <c r="B6" s="1294"/>
      <c r="C6" s="1294"/>
      <c r="D6" s="226" t="s">
        <v>2</v>
      </c>
      <c r="E6" s="226" t="s">
        <v>2</v>
      </c>
      <c r="F6" s="226" t="s">
        <v>2</v>
      </c>
      <c r="G6" s="226" t="s">
        <v>2</v>
      </c>
      <c r="H6" s="226" t="s">
        <v>106</v>
      </c>
      <c r="I6" s="226" t="s">
        <v>629</v>
      </c>
      <c r="N6" s="705"/>
    </row>
    <row r="7" spans="1:15" x14ac:dyDescent="0.55000000000000004">
      <c r="A7" s="216">
        <v>1</v>
      </c>
      <c r="B7" s="48" t="s">
        <v>107</v>
      </c>
      <c r="C7" s="217"/>
      <c r="D7" s="228">
        <f>2330050+2500000</f>
        <v>4830050</v>
      </c>
      <c r="E7" s="299">
        <v>2500000</v>
      </c>
      <c r="F7" s="305">
        <v>29280</v>
      </c>
      <c r="G7" s="231">
        <f>+D7-E7-F7</f>
        <v>2300770</v>
      </c>
      <c r="H7" s="528">
        <f>F7*100/D7</f>
        <v>0.60620490471113131</v>
      </c>
      <c r="I7" s="528">
        <f>+J7*100/D7</f>
        <v>52.36550346269707</v>
      </c>
      <c r="J7" s="271">
        <f>+E7+F7</f>
        <v>2529280</v>
      </c>
      <c r="K7" s="271">
        <f>31733400-D103</f>
        <v>17336600</v>
      </c>
      <c r="N7" s="706">
        <v>1595044.64</v>
      </c>
      <c r="O7" s="504">
        <f>+G7-N7</f>
        <v>705725.3600000001</v>
      </c>
    </row>
    <row r="8" spans="1:15" x14ac:dyDescent="0.55000000000000004">
      <c r="A8" s="216">
        <v>2</v>
      </c>
      <c r="B8" s="48" t="s">
        <v>108</v>
      </c>
      <c r="C8" s="217" t="s">
        <v>109</v>
      </c>
      <c r="D8" s="305">
        <v>117000</v>
      </c>
      <c r="E8" s="930"/>
      <c r="F8" s="930"/>
      <c r="G8" s="231">
        <f t="shared" ref="G8:G71" si="0">+D8-E8-F8</f>
        <v>117000</v>
      </c>
      <c r="H8" s="528">
        <f t="shared" ref="H8:H71" si="1">F8*100/D8</f>
        <v>0</v>
      </c>
      <c r="I8" s="528">
        <f t="shared" ref="I8:I71" si="2">+J8*100/D8</f>
        <v>0</v>
      </c>
      <c r="J8" s="223">
        <f t="shared" ref="J8:J71" si="3">+E8+F8</f>
        <v>0</v>
      </c>
    </row>
    <row r="9" spans="1:15" x14ac:dyDescent="0.55000000000000004">
      <c r="A9" s="216">
        <v>3</v>
      </c>
      <c r="B9" s="48" t="s">
        <v>110</v>
      </c>
      <c r="C9" s="217" t="s">
        <v>18</v>
      </c>
      <c r="D9" s="305">
        <v>376770</v>
      </c>
      <c r="E9" s="305">
        <v>27120</v>
      </c>
      <c r="F9" s="305">
        <v>99840.6</v>
      </c>
      <c r="G9" s="231">
        <f t="shared" si="0"/>
        <v>249809.4</v>
      </c>
      <c r="H9" s="528">
        <f t="shared" si="1"/>
        <v>26.499084322000158</v>
      </c>
      <c r="I9" s="528">
        <f t="shared" si="2"/>
        <v>33.697109642487462</v>
      </c>
      <c r="J9" s="223">
        <f t="shared" si="3"/>
        <v>126960.6</v>
      </c>
    </row>
    <row r="10" spans="1:15" x14ac:dyDescent="0.55000000000000004">
      <c r="A10" s="216">
        <v>4</v>
      </c>
      <c r="B10" s="48" t="s">
        <v>110</v>
      </c>
      <c r="C10" s="217" t="s">
        <v>75</v>
      </c>
      <c r="D10" s="305">
        <v>143910</v>
      </c>
      <c r="E10" s="930"/>
      <c r="F10" s="305">
        <v>15000</v>
      </c>
      <c r="G10" s="231">
        <f t="shared" si="0"/>
        <v>128910</v>
      </c>
      <c r="H10" s="528">
        <f t="shared" si="1"/>
        <v>10.423181154888471</v>
      </c>
      <c r="I10" s="528">
        <f t="shared" si="2"/>
        <v>10.423181154888471</v>
      </c>
      <c r="J10" s="223">
        <f t="shared" si="3"/>
        <v>15000</v>
      </c>
    </row>
    <row r="11" spans="1:15" x14ac:dyDescent="0.55000000000000004">
      <c r="A11" s="216">
        <v>5</v>
      </c>
      <c r="B11" s="48" t="s">
        <v>110</v>
      </c>
      <c r="C11" s="217" t="s">
        <v>111</v>
      </c>
      <c r="D11" s="305">
        <v>228910</v>
      </c>
      <c r="E11" s="930"/>
      <c r="F11" s="305">
        <v>16950</v>
      </c>
      <c r="G11" s="231">
        <f t="shared" si="0"/>
        <v>211960</v>
      </c>
      <c r="H11" s="528">
        <f t="shared" si="1"/>
        <v>7.4046568520379186</v>
      </c>
      <c r="I11" s="528">
        <f t="shared" si="2"/>
        <v>7.4046568520379186</v>
      </c>
      <c r="J11" s="223">
        <f t="shared" si="3"/>
        <v>16950</v>
      </c>
    </row>
    <row r="12" spans="1:15" x14ac:dyDescent="0.55000000000000004">
      <c r="A12" s="216">
        <v>6</v>
      </c>
      <c r="B12" s="48" t="s">
        <v>110</v>
      </c>
      <c r="C12" s="217" t="s">
        <v>72</v>
      </c>
      <c r="D12" s="305">
        <v>288360</v>
      </c>
      <c r="E12" s="930"/>
      <c r="F12" s="305">
        <v>62410</v>
      </c>
      <c r="G12" s="231">
        <f t="shared" si="0"/>
        <v>225950</v>
      </c>
      <c r="H12" s="528">
        <f t="shared" si="1"/>
        <v>21.64308503259814</v>
      </c>
      <c r="I12" s="528">
        <f t="shared" si="2"/>
        <v>21.64308503259814</v>
      </c>
      <c r="J12" s="223">
        <f t="shared" si="3"/>
        <v>62410</v>
      </c>
    </row>
    <row r="13" spans="1:15" x14ac:dyDescent="0.55000000000000004">
      <c r="A13" s="216">
        <v>7</v>
      </c>
      <c r="B13" s="48" t="s">
        <v>110</v>
      </c>
      <c r="C13" s="217" t="s">
        <v>101</v>
      </c>
      <c r="D13" s="306">
        <f>71000+204450+5410+13500</f>
        <v>294360</v>
      </c>
      <c r="E13" s="299">
        <v>0</v>
      </c>
      <c r="F13" s="305">
        <v>137450</v>
      </c>
      <c r="G13" s="231">
        <f t="shared" si="0"/>
        <v>156910</v>
      </c>
      <c r="H13" s="528">
        <f t="shared" si="1"/>
        <v>46.694523712460935</v>
      </c>
      <c r="I13" s="528">
        <f t="shared" si="2"/>
        <v>46.694523712460935</v>
      </c>
      <c r="J13" s="223">
        <f t="shared" si="3"/>
        <v>137450</v>
      </c>
      <c r="L13" s="504">
        <f>+D13+D102</f>
        <v>351770</v>
      </c>
    </row>
    <row r="14" spans="1:15" x14ac:dyDescent="0.55000000000000004">
      <c r="A14" s="216">
        <v>8</v>
      </c>
      <c r="B14" s="48" t="s">
        <v>110</v>
      </c>
      <c r="C14" s="217" t="s">
        <v>112</v>
      </c>
      <c r="D14" s="305">
        <v>275860</v>
      </c>
      <c r="E14" s="305">
        <v>46900</v>
      </c>
      <c r="F14" s="305">
        <v>35000</v>
      </c>
      <c r="G14" s="231">
        <f t="shared" si="0"/>
        <v>193960</v>
      </c>
      <c r="H14" s="528">
        <f t="shared" si="1"/>
        <v>12.687595156963678</v>
      </c>
      <c r="I14" s="528">
        <f t="shared" si="2"/>
        <v>29.688972667295005</v>
      </c>
      <c r="J14" s="223">
        <f t="shared" si="3"/>
        <v>81900</v>
      </c>
    </row>
    <row r="15" spans="1:15" x14ac:dyDescent="0.55000000000000004">
      <c r="A15" s="216">
        <v>9</v>
      </c>
      <c r="B15" s="48" t="s">
        <v>110</v>
      </c>
      <c r="C15" s="217" t="s">
        <v>113</v>
      </c>
      <c r="D15" s="305">
        <v>233860</v>
      </c>
      <c r="E15" s="930"/>
      <c r="F15" s="930"/>
      <c r="G15" s="231">
        <f t="shared" si="0"/>
        <v>233860</v>
      </c>
      <c r="H15" s="528">
        <f t="shared" si="1"/>
        <v>0</v>
      </c>
      <c r="I15" s="528">
        <f t="shared" si="2"/>
        <v>0</v>
      </c>
      <c r="J15" s="223">
        <f t="shared" si="3"/>
        <v>0</v>
      </c>
    </row>
    <row r="16" spans="1:15" x14ac:dyDescent="0.55000000000000004">
      <c r="A16" s="216">
        <v>10</v>
      </c>
      <c r="B16" s="48" t="s">
        <v>110</v>
      </c>
      <c r="C16" s="217" t="s">
        <v>114</v>
      </c>
      <c r="D16" s="305">
        <v>276910</v>
      </c>
      <c r="E16" s="930"/>
      <c r="F16" s="305">
        <v>73370</v>
      </c>
      <c r="G16" s="231">
        <f t="shared" si="0"/>
        <v>203540</v>
      </c>
      <c r="H16" s="528">
        <f t="shared" si="1"/>
        <v>26.495973420967101</v>
      </c>
      <c r="I16" s="528">
        <f t="shared" si="2"/>
        <v>26.495973420967101</v>
      </c>
      <c r="J16" s="223">
        <f t="shared" si="3"/>
        <v>73370</v>
      </c>
    </row>
    <row r="17" spans="1:10" x14ac:dyDescent="0.55000000000000004">
      <c r="A17" s="216">
        <v>11</v>
      </c>
      <c r="B17" s="48" t="s">
        <v>110</v>
      </c>
      <c r="C17" s="217" t="s">
        <v>115</v>
      </c>
      <c r="D17" s="305">
        <v>290910</v>
      </c>
      <c r="E17" s="930"/>
      <c r="F17" s="305">
        <v>34661.25</v>
      </c>
      <c r="G17" s="231">
        <f t="shared" si="0"/>
        <v>256248.75</v>
      </c>
      <c r="H17" s="528">
        <f t="shared" si="1"/>
        <v>11.914767453851706</v>
      </c>
      <c r="I17" s="528">
        <f t="shared" si="2"/>
        <v>11.914767453851706</v>
      </c>
      <c r="J17" s="223">
        <f t="shared" si="3"/>
        <v>34661.25</v>
      </c>
    </row>
    <row r="18" spans="1:10" x14ac:dyDescent="0.55000000000000004">
      <c r="A18" s="216">
        <v>12</v>
      </c>
      <c r="B18" s="48" t="s">
        <v>110</v>
      </c>
      <c r="C18" s="217" t="s">
        <v>116</v>
      </c>
      <c r="D18" s="305">
        <v>313710</v>
      </c>
      <c r="E18" s="930"/>
      <c r="F18" s="305">
        <v>57425</v>
      </c>
      <c r="G18" s="231">
        <f t="shared" si="0"/>
        <v>256285</v>
      </c>
      <c r="H18" s="528">
        <f t="shared" si="1"/>
        <v>18.305122565426668</v>
      </c>
      <c r="I18" s="528">
        <f t="shared" si="2"/>
        <v>18.305122565426668</v>
      </c>
      <c r="J18" s="223">
        <f t="shared" si="3"/>
        <v>57425</v>
      </c>
    </row>
    <row r="19" spans="1:10" x14ac:dyDescent="0.55000000000000004">
      <c r="A19" s="216">
        <v>13</v>
      </c>
      <c r="B19" s="48" t="s">
        <v>110</v>
      </c>
      <c r="C19" s="217" t="s">
        <v>117</v>
      </c>
      <c r="D19" s="305">
        <v>236910</v>
      </c>
      <c r="E19" s="930"/>
      <c r="F19" s="305">
        <v>39920</v>
      </c>
      <c r="G19" s="231">
        <f t="shared" si="0"/>
        <v>196990</v>
      </c>
      <c r="H19" s="528">
        <f t="shared" si="1"/>
        <v>16.850280697311216</v>
      </c>
      <c r="I19" s="528">
        <f t="shared" si="2"/>
        <v>16.850280697311216</v>
      </c>
      <c r="J19" s="223">
        <f t="shared" si="3"/>
        <v>39920</v>
      </c>
    </row>
    <row r="20" spans="1:10" x14ac:dyDescent="0.55000000000000004">
      <c r="A20" s="216">
        <v>14</v>
      </c>
      <c r="B20" s="48" t="s">
        <v>110</v>
      </c>
      <c r="C20" s="217" t="s">
        <v>118</v>
      </c>
      <c r="D20" s="305">
        <v>363860</v>
      </c>
      <c r="E20" s="305">
        <v>17100</v>
      </c>
      <c r="F20" s="305">
        <v>84830.26</v>
      </c>
      <c r="G20" s="231">
        <f t="shared" si="0"/>
        <v>261929.74</v>
      </c>
      <c r="H20" s="528">
        <f t="shared" si="1"/>
        <v>23.313983400208873</v>
      </c>
      <c r="I20" s="528">
        <f t="shared" si="2"/>
        <v>28.013593140218767</v>
      </c>
      <c r="J20" s="223">
        <f t="shared" si="3"/>
        <v>101930.26</v>
      </c>
    </row>
    <row r="21" spans="1:10" x14ac:dyDescent="0.55000000000000004">
      <c r="A21" s="216">
        <v>15</v>
      </c>
      <c r="B21" s="48" t="s">
        <v>110</v>
      </c>
      <c r="C21" s="217" t="s">
        <v>119</v>
      </c>
      <c r="D21" s="305">
        <v>357860</v>
      </c>
      <c r="E21" s="930"/>
      <c r="F21" s="305">
        <v>29500</v>
      </c>
      <c r="G21" s="231">
        <f t="shared" si="0"/>
        <v>328360</v>
      </c>
      <c r="H21" s="528">
        <f t="shared" si="1"/>
        <v>8.2434471581065214</v>
      </c>
      <c r="I21" s="528">
        <f t="shared" si="2"/>
        <v>8.2434471581065214</v>
      </c>
      <c r="J21" s="223">
        <f t="shared" si="3"/>
        <v>29500</v>
      </c>
    </row>
    <row r="22" spans="1:10" x14ac:dyDescent="0.55000000000000004">
      <c r="A22" s="216">
        <v>16</v>
      </c>
      <c r="B22" s="48" t="s">
        <v>110</v>
      </c>
      <c r="C22" s="217" t="s">
        <v>120</v>
      </c>
      <c r="D22" s="305">
        <v>383910</v>
      </c>
      <c r="E22" s="305">
        <v>20000</v>
      </c>
      <c r="F22" s="305">
        <v>48500</v>
      </c>
      <c r="G22" s="231">
        <f t="shared" si="0"/>
        <v>315410</v>
      </c>
      <c r="H22" s="528">
        <f t="shared" si="1"/>
        <v>12.63316923237217</v>
      </c>
      <c r="I22" s="528">
        <f t="shared" si="2"/>
        <v>17.842723554999871</v>
      </c>
      <c r="J22" s="223">
        <f t="shared" si="3"/>
        <v>68500</v>
      </c>
    </row>
    <row r="23" spans="1:10" x14ac:dyDescent="0.55000000000000004">
      <c r="A23" s="216">
        <v>17</v>
      </c>
      <c r="B23" s="48" t="s">
        <v>108</v>
      </c>
      <c r="C23" s="217" t="s">
        <v>121</v>
      </c>
      <c r="D23" s="305">
        <v>90000</v>
      </c>
      <c r="E23" s="930"/>
      <c r="F23" s="930"/>
      <c r="G23" s="231">
        <f t="shared" si="0"/>
        <v>90000</v>
      </c>
      <c r="H23" s="528">
        <f t="shared" si="1"/>
        <v>0</v>
      </c>
      <c r="I23" s="528">
        <f t="shared" si="2"/>
        <v>0</v>
      </c>
      <c r="J23" s="223">
        <f t="shared" si="3"/>
        <v>0</v>
      </c>
    </row>
    <row r="24" spans="1:10" x14ac:dyDescent="0.55000000000000004">
      <c r="A24" s="216">
        <v>18</v>
      </c>
      <c r="B24" s="48" t="s">
        <v>108</v>
      </c>
      <c r="C24" s="217" t="s">
        <v>122</v>
      </c>
      <c r="D24" s="305">
        <v>80000</v>
      </c>
      <c r="E24" s="930"/>
      <c r="F24" s="930"/>
      <c r="G24" s="231">
        <f t="shared" si="0"/>
        <v>80000</v>
      </c>
      <c r="H24" s="528">
        <f t="shared" si="1"/>
        <v>0</v>
      </c>
      <c r="I24" s="528">
        <f t="shared" si="2"/>
        <v>0</v>
      </c>
      <c r="J24" s="223">
        <f t="shared" si="3"/>
        <v>0</v>
      </c>
    </row>
    <row r="25" spans="1:10" x14ac:dyDescent="0.55000000000000004">
      <c r="A25" s="216">
        <v>19</v>
      </c>
      <c r="B25" s="48" t="s">
        <v>108</v>
      </c>
      <c r="C25" s="217" t="s">
        <v>19</v>
      </c>
      <c r="D25" s="305">
        <v>91000</v>
      </c>
      <c r="E25" s="930"/>
      <c r="F25" s="930"/>
      <c r="G25" s="231">
        <f t="shared" si="0"/>
        <v>91000</v>
      </c>
      <c r="H25" s="528">
        <f t="shared" si="1"/>
        <v>0</v>
      </c>
      <c r="I25" s="528">
        <f t="shared" si="2"/>
        <v>0</v>
      </c>
      <c r="J25" s="223">
        <f t="shared" si="3"/>
        <v>0</v>
      </c>
    </row>
    <row r="26" spans="1:10" x14ac:dyDescent="0.55000000000000004">
      <c r="A26" s="216">
        <v>20</v>
      </c>
      <c r="B26" s="48" t="s">
        <v>108</v>
      </c>
      <c r="C26" s="217" t="s">
        <v>20</v>
      </c>
      <c r="D26" s="305">
        <v>83000</v>
      </c>
      <c r="E26" s="930"/>
      <c r="F26" s="305">
        <v>4000</v>
      </c>
      <c r="G26" s="231">
        <f t="shared" si="0"/>
        <v>79000</v>
      </c>
      <c r="H26" s="528">
        <f t="shared" si="1"/>
        <v>4.8192771084337354</v>
      </c>
      <c r="I26" s="528">
        <f t="shared" si="2"/>
        <v>4.8192771084337354</v>
      </c>
      <c r="J26" s="223">
        <f t="shared" si="3"/>
        <v>4000</v>
      </c>
    </row>
    <row r="27" spans="1:10" x14ac:dyDescent="0.55000000000000004">
      <c r="A27" s="216">
        <v>21</v>
      </c>
      <c r="B27" s="48" t="s">
        <v>108</v>
      </c>
      <c r="C27" s="217" t="s">
        <v>123</v>
      </c>
      <c r="D27" s="305">
        <v>5000</v>
      </c>
      <c r="E27" s="930"/>
      <c r="F27" s="305">
        <v>5000</v>
      </c>
      <c r="G27" s="231">
        <f t="shared" si="0"/>
        <v>0</v>
      </c>
      <c r="H27" s="528">
        <f t="shared" si="1"/>
        <v>100</v>
      </c>
      <c r="I27" s="528">
        <f t="shared" si="2"/>
        <v>100</v>
      </c>
      <c r="J27" s="223">
        <f t="shared" si="3"/>
        <v>5000</v>
      </c>
    </row>
    <row r="28" spans="1:10" x14ac:dyDescent="0.55000000000000004">
      <c r="A28" s="216">
        <v>22</v>
      </c>
      <c r="B28" s="48" t="s">
        <v>108</v>
      </c>
      <c r="C28" s="217" t="s">
        <v>124</v>
      </c>
      <c r="D28" s="305">
        <v>5000</v>
      </c>
      <c r="E28" s="930"/>
      <c r="F28" s="930"/>
      <c r="G28" s="231">
        <f t="shared" si="0"/>
        <v>5000</v>
      </c>
      <c r="H28" s="528">
        <f t="shared" si="1"/>
        <v>0</v>
      </c>
      <c r="I28" s="528">
        <f t="shared" si="2"/>
        <v>0</v>
      </c>
      <c r="J28" s="223">
        <f t="shared" si="3"/>
        <v>0</v>
      </c>
    </row>
    <row r="29" spans="1:10" x14ac:dyDescent="0.55000000000000004">
      <c r="A29" s="216">
        <v>23</v>
      </c>
      <c r="B29" s="48" t="s">
        <v>108</v>
      </c>
      <c r="C29" s="217" t="s">
        <v>125</v>
      </c>
      <c r="D29" s="305">
        <v>93000</v>
      </c>
      <c r="E29" s="930"/>
      <c r="F29" s="930"/>
      <c r="G29" s="231">
        <f t="shared" si="0"/>
        <v>93000</v>
      </c>
      <c r="H29" s="528">
        <f t="shared" si="1"/>
        <v>0</v>
      </c>
      <c r="I29" s="528">
        <f t="shared" si="2"/>
        <v>0</v>
      </c>
      <c r="J29" s="223">
        <f t="shared" si="3"/>
        <v>0</v>
      </c>
    </row>
    <row r="30" spans="1:10" x14ac:dyDescent="0.55000000000000004">
      <c r="A30" s="216">
        <v>24</v>
      </c>
      <c r="B30" s="48" t="s">
        <v>108</v>
      </c>
      <c r="C30" s="217" t="s">
        <v>21</v>
      </c>
      <c r="D30" s="305">
        <v>83000</v>
      </c>
      <c r="E30" s="930"/>
      <c r="F30" s="930"/>
      <c r="G30" s="231">
        <f t="shared" si="0"/>
        <v>83000</v>
      </c>
      <c r="H30" s="528">
        <f t="shared" si="1"/>
        <v>0</v>
      </c>
      <c r="I30" s="528">
        <f t="shared" si="2"/>
        <v>0</v>
      </c>
      <c r="J30" s="223">
        <f t="shared" si="3"/>
        <v>0</v>
      </c>
    </row>
    <row r="31" spans="1:10" x14ac:dyDescent="0.55000000000000004">
      <c r="A31" s="216">
        <v>25</v>
      </c>
      <c r="B31" s="48" t="s">
        <v>108</v>
      </c>
      <c r="C31" s="217" t="s">
        <v>22</v>
      </c>
      <c r="D31" s="305">
        <v>97000</v>
      </c>
      <c r="E31" s="930"/>
      <c r="F31" s="305">
        <v>10000</v>
      </c>
      <c r="G31" s="231">
        <f t="shared" si="0"/>
        <v>87000</v>
      </c>
      <c r="H31" s="528">
        <f t="shared" si="1"/>
        <v>10.309278350515465</v>
      </c>
      <c r="I31" s="528">
        <f t="shared" si="2"/>
        <v>10.309278350515465</v>
      </c>
      <c r="J31" s="223">
        <f t="shared" si="3"/>
        <v>10000</v>
      </c>
    </row>
    <row r="32" spans="1:10" x14ac:dyDescent="0.55000000000000004">
      <c r="A32" s="216">
        <v>25</v>
      </c>
      <c r="B32" s="48" t="s">
        <v>108</v>
      </c>
      <c r="C32" s="217" t="s">
        <v>126</v>
      </c>
      <c r="D32" s="305">
        <v>79000</v>
      </c>
      <c r="E32" s="930"/>
      <c r="F32" s="305">
        <v>3000</v>
      </c>
      <c r="G32" s="231">
        <f t="shared" si="0"/>
        <v>76000</v>
      </c>
      <c r="H32" s="528">
        <f t="shared" si="1"/>
        <v>3.7974683544303796</v>
      </c>
      <c r="I32" s="528">
        <f t="shared" si="2"/>
        <v>3.7974683544303796</v>
      </c>
      <c r="J32" s="223">
        <f t="shared" si="3"/>
        <v>3000</v>
      </c>
    </row>
    <row r="33" spans="1:10" x14ac:dyDescent="0.55000000000000004">
      <c r="A33" s="216">
        <v>27</v>
      </c>
      <c r="B33" s="48" t="s">
        <v>108</v>
      </c>
      <c r="C33" s="217" t="s">
        <v>127</v>
      </c>
      <c r="D33" s="305">
        <v>5000</v>
      </c>
      <c r="E33" s="930"/>
      <c r="F33" s="930"/>
      <c r="G33" s="231">
        <f t="shared" si="0"/>
        <v>5000</v>
      </c>
      <c r="H33" s="528">
        <f t="shared" si="1"/>
        <v>0</v>
      </c>
      <c r="I33" s="528">
        <f t="shared" si="2"/>
        <v>0</v>
      </c>
      <c r="J33" s="223">
        <f t="shared" si="3"/>
        <v>0</v>
      </c>
    </row>
    <row r="34" spans="1:10" x14ac:dyDescent="0.55000000000000004">
      <c r="A34" s="216">
        <v>28</v>
      </c>
      <c r="B34" s="48" t="s">
        <v>108</v>
      </c>
      <c r="C34" s="217" t="s">
        <v>23</v>
      </c>
      <c r="D34" s="305">
        <v>108000</v>
      </c>
      <c r="E34" s="930"/>
      <c r="F34" s="930"/>
      <c r="G34" s="231">
        <f t="shared" si="0"/>
        <v>108000</v>
      </c>
      <c r="H34" s="528">
        <f t="shared" si="1"/>
        <v>0</v>
      </c>
      <c r="I34" s="528">
        <f t="shared" si="2"/>
        <v>0</v>
      </c>
      <c r="J34" s="223">
        <f t="shared" si="3"/>
        <v>0</v>
      </c>
    </row>
    <row r="35" spans="1:10" x14ac:dyDescent="0.55000000000000004">
      <c r="A35" s="216">
        <v>29</v>
      </c>
      <c r="B35" s="48" t="s">
        <v>108</v>
      </c>
      <c r="C35" s="217" t="s">
        <v>24</v>
      </c>
      <c r="D35" s="305">
        <v>116000</v>
      </c>
      <c r="E35" s="930"/>
      <c r="F35" s="305">
        <v>36700</v>
      </c>
      <c r="G35" s="231">
        <f t="shared" si="0"/>
        <v>79300</v>
      </c>
      <c r="H35" s="528">
        <f t="shared" si="1"/>
        <v>31.637931034482758</v>
      </c>
      <c r="I35" s="528">
        <f t="shared" si="2"/>
        <v>31.637931034482758</v>
      </c>
      <c r="J35" s="223">
        <f t="shared" si="3"/>
        <v>36700</v>
      </c>
    </row>
    <row r="36" spans="1:10" x14ac:dyDescent="0.55000000000000004">
      <c r="A36" s="216">
        <v>30</v>
      </c>
      <c r="B36" s="48" t="s">
        <v>108</v>
      </c>
      <c r="C36" s="217" t="s">
        <v>25</v>
      </c>
      <c r="D36" s="305">
        <v>5000</v>
      </c>
      <c r="E36" s="930"/>
      <c r="F36" s="930"/>
      <c r="G36" s="231">
        <f t="shared" si="0"/>
        <v>5000</v>
      </c>
      <c r="H36" s="528">
        <f t="shared" si="1"/>
        <v>0</v>
      </c>
      <c r="I36" s="528">
        <f t="shared" si="2"/>
        <v>0</v>
      </c>
      <c r="J36" s="223">
        <f t="shared" si="3"/>
        <v>0</v>
      </c>
    </row>
    <row r="37" spans="1:10" x14ac:dyDescent="0.55000000000000004">
      <c r="A37" s="216">
        <v>31</v>
      </c>
      <c r="B37" s="48" t="s">
        <v>108</v>
      </c>
      <c r="C37" s="217" t="s">
        <v>173</v>
      </c>
      <c r="D37" s="305">
        <v>5000</v>
      </c>
      <c r="E37" s="930"/>
      <c r="F37" s="930"/>
      <c r="G37" s="231">
        <f t="shared" si="0"/>
        <v>5000</v>
      </c>
      <c r="H37" s="528">
        <f t="shared" si="1"/>
        <v>0</v>
      </c>
      <c r="I37" s="528">
        <f t="shared" si="2"/>
        <v>0</v>
      </c>
      <c r="J37" s="223">
        <f t="shared" si="3"/>
        <v>0</v>
      </c>
    </row>
    <row r="38" spans="1:10" x14ac:dyDescent="0.55000000000000004">
      <c r="A38" s="216">
        <v>32</v>
      </c>
      <c r="B38" s="48" t="s">
        <v>108</v>
      </c>
      <c r="C38" s="217" t="s">
        <v>26</v>
      </c>
      <c r="D38" s="305">
        <v>192000</v>
      </c>
      <c r="E38" s="930"/>
      <c r="F38" s="305">
        <v>8500</v>
      </c>
      <c r="G38" s="231">
        <f t="shared" si="0"/>
        <v>183500</v>
      </c>
      <c r="H38" s="528">
        <f t="shared" si="1"/>
        <v>4.427083333333333</v>
      </c>
      <c r="I38" s="528">
        <f t="shared" si="2"/>
        <v>4.427083333333333</v>
      </c>
      <c r="J38" s="223">
        <f t="shared" si="3"/>
        <v>8500</v>
      </c>
    </row>
    <row r="39" spans="1:10" x14ac:dyDescent="0.55000000000000004">
      <c r="A39" s="216">
        <v>33</v>
      </c>
      <c r="B39" s="48" t="s">
        <v>108</v>
      </c>
      <c r="C39" s="217" t="s">
        <v>27</v>
      </c>
      <c r="D39" s="305">
        <v>5000</v>
      </c>
      <c r="E39" s="930"/>
      <c r="F39" s="930"/>
      <c r="G39" s="231">
        <f t="shared" si="0"/>
        <v>5000</v>
      </c>
      <c r="H39" s="528">
        <f t="shared" si="1"/>
        <v>0</v>
      </c>
      <c r="I39" s="528">
        <f t="shared" si="2"/>
        <v>0</v>
      </c>
      <c r="J39" s="223">
        <f t="shared" si="3"/>
        <v>0</v>
      </c>
    </row>
    <row r="40" spans="1:10" x14ac:dyDescent="0.55000000000000004">
      <c r="A40" s="216">
        <v>34</v>
      </c>
      <c r="B40" s="48" t="s">
        <v>108</v>
      </c>
      <c r="C40" s="217" t="s">
        <v>28</v>
      </c>
      <c r="D40" s="305">
        <v>105000</v>
      </c>
      <c r="E40" s="930"/>
      <c r="F40" s="930"/>
      <c r="G40" s="231">
        <f t="shared" si="0"/>
        <v>105000</v>
      </c>
      <c r="H40" s="528">
        <f t="shared" si="1"/>
        <v>0</v>
      </c>
      <c r="I40" s="528">
        <f t="shared" si="2"/>
        <v>0</v>
      </c>
      <c r="J40" s="223">
        <f t="shared" si="3"/>
        <v>0</v>
      </c>
    </row>
    <row r="41" spans="1:10" x14ac:dyDescent="0.55000000000000004">
      <c r="A41" s="216">
        <v>35</v>
      </c>
      <c r="B41" s="48" t="s">
        <v>108</v>
      </c>
      <c r="C41" s="217" t="s">
        <v>128</v>
      </c>
      <c r="D41" s="305">
        <v>163000</v>
      </c>
      <c r="E41" s="930"/>
      <c r="F41" s="305">
        <v>26796.75</v>
      </c>
      <c r="G41" s="231">
        <f t="shared" si="0"/>
        <v>136203.25</v>
      </c>
      <c r="H41" s="528">
        <f t="shared" si="1"/>
        <v>16.439723926380367</v>
      </c>
      <c r="I41" s="528">
        <f t="shared" si="2"/>
        <v>16.439723926380367</v>
      </c>
      <c r="J41" s="223">
        <f t="shared" si="3"/>
        <v>26796.75</v>
      </c>
    </row>
    <row r="42" spans="1:10" x14ac:dyDescent="0.55000000000000004">
      <c r="A42" s="216">
        <v>36</v>
      </c>
      <c r="B42" s="48" t="s">
        <v>108</v>
      </c>
      <c r="C42" s="217" t="s">
        <v>29</v>
      </c>
      <c r="D42" s="305">
        <v>86000</v>
      </c>
      <c r="E42" s="930"/>
      <c r="F42" s="305">
        <v>3200</v>
      </c>
      <c r="G42" s="231">
        <f t="shared" si="0"/>
        <v>82800</v>
      </c>
      <c r="H42" s="528">
        <f t="shared" si="1"/>
        <v>3.7209302325581395</v>
      </c>
      <c r="I42" s="528">
        <f t="shared" si="2"/>
        <v>3.7209302325581395</v>
      </c>
      <c r="J42" s="223">
        <f t="shared" si="3"/>
        <v>3200</v>
      </c>
    </row>
    <row r="43" spans="1:10" x14ac:dyDescent="0.55000000000000004">
      <c r="A43" s="216">
        <v>37</v>
      </c>
      <c r="B43" s="48" t="s">
        <v>108</v>
      </c>
      <c r="C43" s="217" t="s">
        <v>30</v>
      </c>
      <c r="D43" s="305">
        <v>163000</v>
      </c>
      <c r="E43" s="930"/>
      <c r="F43" s="305">
        <v>28960</v>
      </c>
      <c r="G43" s="231">
        <f t="shared" si="0"/>
        <v>134040</v>
      </c>
      <c r="H43" s="528">
        <f t="shared" si="1"/>
        <v>17.766871165644172</v>
      </c>
      <c r="I43" s="528">
        <f t="shared" si="2"/>
        <v>17.766871165644172</v>
      </c>
      <c r="J43" s="223">
        <f t="shared" si="3"/>
        <v>28960</v>
      </c>
    </row>
    <row r="44" spans="1:10" x14ac:dyDescent="0.55000000000000004">
      <c r="A44" s="216">
        <v>38</v>
      </c>
      <c r="B44" s="48" t="s">
        <v>108</v>
      </c>
      <c r="C44" s="217" t="s">
        <v>31</v>
      </c>
      <c r="D44" s="305">
        <v>88000</v>
      </c>
      <c r="E44" s="930"/>
      <c r="F44" s="930"/>
      <c r="G44" s="231">
        <f t="shared" si="0"/>
        <v>88000</v>
      </c>
      <c r="H44" s="528">
        <f t="shared" si="1"/>
        <v>0</v>
      </c>
      <c r="I44" s="528">
        <f t="shared" si="2"/>
        <v>0</v>
      </c>
      <c r="J44" s="223">
        <f t="shared" si="3"/>
        <v>0</v>
      </c>
    </row>
    <row r="45" spans="1:10" x14ac:dyDescent="0.55000000000000004">
      <c r="A45" s="216">
        <v>39</v>
      </c>
      <c r="B45" s="48" t="s">
        <v>108</v>
      </c>
      <c r="C45" s="217" t="s">
        <v>129</v>
      </c>
      <c r="D45" s="305">
        <v>5000</v>
      </c>
      <c r="E45" s="930"/>
      <c r="F45" s="930"/>
      <c r="G45" s="231">
        <f t="shared" si="0"/>
        <v>5000</v>
      </c>
      <c r="H45" s="528">
        <f t="shared" si="1"/>
        <v>0</v>
      </c>
      <c r="I45" s="528">
        <f t="shared" si="2"/>
        <v>0</v>
      </c>
      <c r="J45" s="223">
        <f t="shared" si="3"/>
        <v>0</v>
      </c>
    </row>
    <row r="46" spans="1:10" x14ac:dyDescent="0.55000000000000004">
      <c r="A46" s="216">
        <v>40</v>
      </c>
      <c r="B46" s="48" t="s">
        <v>108</v>
      </c>
      <c r="C46" s="217" t="s">
        <v>32</v>
      </c>
      <c r="D46" s="305">
        <v>79000</v>
      </c>
      <c r="E46" s="930"/>
      <c r="F46" s="305">
        <v>7727</v>
      </c>
      <c r="G46" s="231">
        <f t="shared" si="0"/>
        <v>71273</v>
      </c>
      <c r="H46" s="528">
        <f t="shared" si="1"/>
        <v>9.7810126582278478</v>
      </c>
      <c r="I46" s="528">
        <f t="shared" si="2"/>
        <v>9.7810126582278478</v>
      </c>
      <c r="J46" s="223">
        <f t="shared" si="3"/>
        <v>7727</v>
      </c>
    </row>
    <row r="47" spans="1:10" x14ac:dyDescent="0.55000000000000004">
      <c r="A47" s="216">
        <v>41</v>
      </c>
      <c r="B47" s="48" t="s">
        <v>108</v>
      </c>
      <c r="C47" s="217" t="s">
        <v>33</v>
      </c>
      <c r="D47" s="305">
        <v>105000</v>
      </c>
      <c r="E47" s="930"/>
      <c r="F47" s="305">
        <v>23400</v>
      </c>
      <c r="G47" s="231">
        <f t="shared" si="0"/>
        <v>81600</v>
      </c>
      <c r="H47" s="528">
        <f t="shared" si="1"/>
        <v>22.285714285714285</v>
      </c>
      <c r="I47" s="528">
        <f t="shared" si="2"/>
        <v>22.285714285714285</v>
      </c>
      <c r="J47" s="223">
        <f t="shared" si="3"/>
        <v>23400</v>
      </c>
    </row>
    <row r="48" spans="1:10" x14ac:dyDescent="0.55000000000000004">
      <c r="A48" s="216">
        <v>42</v>
      </c>
      <c r="B48" s="48" t="s">
        <v>108</v>
      </c>
      <c r="C48" s="217" t="s">
        <v>34</v>
      </c>
      <c r="D48" s="305">
        <v>5000</v>
      </c>
      <c r="E48" s="930"/>
      <c r="F48" s="930"/>
      <c r="G48" s="231">
        <f t="shared" si="0"/>
        <v>5000</v>
      </c>
      <c r="H48" s="528">
        <f t="shared" si="1"/>
        <v>0</v>
      </c>
      <c r="I48" s="528">
        <f t="shared" si="2"/>
        <v>0</v>
      </c>
      <c r="J48" s="223">
        <f t="shared" si="3"/>
        <v>0</v>
      </c>
    </row>
    <row r="49" spans="1:10" x14ac:dyDescent="0.55000000000000004">
      <c r="A49" s="216">
        <v>43</v>
      </c>
      <c r="B49" s="48" t="s">
        <v>108</v>
      </c>
      <c r="C49" s="217" t="s">
        <v>35</v>
      </c>
      <c r="D49" s="305">
        <v>107000</v>
      </c>
      <c r="E49" s="930"/>
      <c r="F49" s="305">
        <v>25000</v>
      </c>
      <c r="G49" s="231">
        <f t="shared" si="0"/>
        <v>82000</v>
      </c>
      <c r="H49" s="528">
        <f t="shared" si="1"/>
        <v>23.364485981308412</v>
      </c>
      <c r="I49" s="528">
        <f t="shared" si="2"/>
        <v>23.364485981308412</v>
      </c>
      <c r="J49" s="223">
        <f t="shared" si="3"/>
        <v>25000</v>
      </c>
    </row>
    <row r="50" spans="1:10" x14ac:dyDescent="0.55000000000000004">
      <c r="A50" s="216">
        <v>44</v>
      </c>
      <c r="B50" s="48" t="s">
        <v>108</v>
      </c>
      <c r="C50" s="217" t="s">
        <v>130</v>
      </c>
      <c r="D50" s="305">
        <v>15000</v>
      </c>
      <c r="E50" s="930"/>
      <c r="F50" s="305">
        <v>15000</v>
      </c>
      <c r="G50" s="231">
        <f t="shared" si="0"/>
        <v>0</v>
      </c>
      <c r="H50" s="528">
        <f t="shared" si="1"/>
        <v>100</v>
      </c>
      <c r="I50" s="528">
        <f t="shared" si="2"/>
        <v>100</v>
      </c>
      <c r="J50" s="223">
        <f t="shared" si="3"/>
        <v>15000</v>
      </c>
    </row>
    <row r="51" spans="1:10" x14ac:dyDescent="0.55000000000000004">
      <c r="A51" s="216">
        <v>45</v>
      </c>
      <c r="B51" s="48" t="s">
        <v>108</v>
      </c>
      <c r="C51" s="217" t="s">
        <v>36</v>
      </c>
      <c r="D51" s="305">
        <v>78000</v>
      </c>
      <c r="E51" s="930"/>
      <c r="F51" s="305">
        <v>10000</v>
      </c>
      <c r="G51" s="231">
        <f t="shared" si="0"/>
        <v>68000</v>
      </c>
      <c r="H51" s="528">
        <f t="shared" si="1"/>
        <v>12.820512820512821</v>
      </c>
      <c r="I51" s="528">
        <f t="shared" si="2"/>
        <v>12.820512820512821</v>
      </c>
      <c r="J51" s="223">
        <f t="shared" si="3"/>
        <v>10000</v>
      </c>
    </row>
    <row r="52" spans="1:10" x14ac:dyDescent="0.55000000000000004">
      <c r="A52" s="216">
        <v>46</v>
      </c>
      <c r="B52" s="48" t="s">
        <v>108</v>
      </c>
      <c r="C52" s="217" t="s">
        <v>37</v>
      </c>
      <c r="D52" s="305">
        <v>74000</v>
      </c>
      <c r="E52" s="930"/>
      <c r="F52" s="305">
        <v>34350</v>
      </c>
      <c r="G52" s="231">
        <f t="shared" si="0"/>
        <v>39650</v>
      </c>
      <c r="H52" s="528">
        <f t="shared" si="1"/>
        <v>46.418918918918919</v>
      </c>
      <c r="I52" s="528">
        <f t="shared" si="2"/>
        <v>46.418918918918919</v>
      </c>
      <c r="J52" s="223">
        <f t="shared" si="3"/>
        <v>34350</v>
      </c>
    </row>
    <row r="53" spans="1:10" x14ac:dyDescent="0.55000000000000004">
      <c r="A53" s="216">
        <v>47</v>
      </c>
      <c r="B53" s="48" t="s">
        <v>108</v>
      </c>
      <c r="C53" s="217" t="s">
        <v>38</v>
      </c>
      <c r="D53" s="305">
        <v>89000</v>
      </c>
      <c r="E53" s="930"/>
      <c r="F53" s="305">
        <v>22897</v>
      </c>
      <c r="G53" s="231">
        <f t="shared" si="0"/>
        <v>66103</v>
      </c>
      <c r="H53" s="528">
        <f t="shared" si="1"/>
        <v>25.726966292134833</v>
      </c>
      <c r="I53" s="528">
        <f t="shared" si="2"/>
        <v>25.726966292134833</v>
      </c>
      <c r="J53" s="223">
        <f t="shared" si="3"/>
        <v>22897</v>
      </c>
    </row>
    <row r="54" spans="1:10" x14ac:dyDescent="0.55000000000000004">
      <c r="A54" s="216">
        <v>48</v>
      </c>
      <c r="B54" s="48" t="s">
        <v>108</v>
      </c>
      <c r="C54" s="217" t="s">
        <v>131</v>
      </c>
      <c r="D54" s="305">
        <v>78000</v>
      </c>
      <c r="E54" s="930"/>
      <c r="F54" s="305">
        <v>4000</v>
      </c>
      <c r="G54" s="231">
        <f t="shared" si="0"/>
        <v>74000</v>
      </c>
      <c r="H54" s="528">
        <f t="shared" si="1"/>
        <v>5.1282051282051286</v>
      </c>
      <c r="I54" s="528">
        <f t="shared" si="2"/>
        <v>5.1282051282051286</v>
      </c>
      <c r="J54" s="223">
        <f t="shared" si="3"/>
        <v>4000</v>
      </c>
    </row>
    <row r="55" spans="1:10" x14ac:dyDescent="0.55000000000000004">
      <c r="A55" s="216">
        <v>49</v>
      </c>
      <c r="B55" s="48" t="s">
        <v>108</v>
      </c>
      <c r="C55" s="217" t="s">
        <v>132</v>
      </c>
      <c r="D55" s="305">
        <v>5000</v>
      </c>
      <c r="E55" s="930"/>
      <c r="F55" s="930"/>
      <c r="G55" s="231">
        <f t="shared" si="0"/>
        <v>5000</v>
      </c>
      <c r="H55" s="528">
        <f t="shared" si="1"/>
        <v>0</v>
      </c>
      <c r="I55" s="528">
        <f t="shared" si="2"/>
        <v>0</v>
      </c>
      <c r="J55" s="223">
        <f t="shared" si="3"/>
        <v>0</v>
      </c>
    </row>
    <row r="56" spans="1:10" x14ac:dyDescent="0.55000000000000004">
      <c r="A56" s="216">
        <v>50</v>
      </c>
      <c r="B56" s="48" t="s">
        <v>108</v>
      </c>
      <c r="C56" s="217" t="s">
        <v>133</v>
      </c>
      <c r="D56" s="305">
        <v>5000</v>
      </c>
      <c r="E56" s="930"/>
      <c r="F56" s="930"/>
      <c r="G56" s="231">
        <f t="shared" si="0"/>
        <v>5000</v>
      </c>
      <c r="H56" s="528">
        <f t="shared" si="1"/>
        <v>0</v>
      </c>
      <c r="I56" s="528">
        <f t="shared" si="2"/>
        <v>0</v>
      </c>
      <c r="J56" s="223">
        <f t="shared" si="3"/>
        <v>0</v>
      </c>
    </row>
    <row r="57" spans="1:10" x14ac:dyDescent="0.55000000000000004">
      <c r="A57" s="216">
        <v>51</v>
      </c>
      <c r="B57" s="48" t="s">
        <v>108</v>
      </c>
      <c r="C57" s="217" t="s">
        <v>134</v>
      </c>
      <c r="D57" s="305">
        <v>74000</v>
      </c>
      <c r="E57" s="930"/>
      <c r="F57" s="930"/>
      <c r="G57" s="231">
        <f t="shared" si="0"/>
        <v>74000</v>
      </c>
      <c r="H57" s="528">
        <f t="shared" si="1"/>
        <v>0</v>
      </c>
      <c r="I57" s="528">
        <f t="shared" si="2"/>
        <v>0</v>
      </c>
      <c r="J57" s="223">
        <f t="shared" si="3"/>
        <v>0</v>
      </c>
    </row>
    <row r="58" spans="1:10" x14ac:dyDescent="0.55000000000000004">
      <c r="A58" s="216">
        <v>52</v>
      </c>
      <c r="B58" s="48" t="s">
        <v>108</v>
      </c>
      <c r="C58" s="217" t="s">
        <v>135</v>
      </c>
      <c r="D58" s="305">
        <v>65000</v>
      </c>
      <c r="E58" s="930"/>
      <c r="F58" s="305">
        <v>5000</v>
      </c>
      <c r="G58" s="231">
        <f t="shared" si="0"/>
        <v>60000</v>
      </c>
      <c r="H58" s="528">
        <f t="shared" si="1"/>
        <v>7.6923076923076925</v>
      </c>
      <c r="I58" s="528">
        <f t="shared" si="2"/>
        <v>7.6923076923076925</v>
      </c>
      <c r="J58" s="223">
        <f t="shared" si="3"/>
        <v>5000</v>
      </c>
    </row>
    <row r="59" spans="1:10" x14ac:dyDescent="0.55000000000000004">
      <c r="A59" s="216">
        <v>53</v>
      </c>
      <c r="B59" s="48" t="s">
        <v>108</v>
      </c>
      <c r="C59" s="217" t="s">
        <v>136</v>
      </c>
      <c r="D59" s="305">
        <v>100000</v>
      </c>
      <c r="E59" s="930"/>
      <c r="F59" s="930"/>
      <c r="G59" s="231">
        <f t="shared" si="0"/>
        <v>100000</v>
      </c>
      <c r="H59" s="528">
        <f t="shared" si="1"/>
        <v>0</v>
      </c>
      <c r="I59" s="528">
        <f t="shared" si="2"/>
        <v>0</v>
      </c>
      <c r="J59" s="223">
        <f t="shared" si="3"/>
        <v>0</v>
      </c>
    </row>
    <row r="60" spans="1:10" x14ac:dyDescent="0.55000000000000004">
      <c r="A60" s="216">
        <v>54</v>
      </c>
      <c r="B60" s="48" t="s">
        <v>108</v>
      </c>
      <c r="C60" s="217" t="s">
        <v>137</v>
      </c>
      <c r="D60" s="305">
        <v>206400</v>
      </c>
      <c r="E60" s="930"/>
      <c r="F60" s="305">
        <v>20400</v>
      </c>
      <c r="G60" s="231">
        <f t="shared" si="0"/>
        <v>186000</v>
      </c>
      <c r="H60" s="528">
        <f t="shared" si="1"/>
        <v>9.8837209302325579</v>
      </c>
      <c r="I60" s="528">
        <f t="shared" si="2"/>
        <v>9.8837209302325579</v>
      </c>
      <c r="J60" s="223">
        <f t="shared" si="3"/>
        <v>20400</v>
      </c>
    </row>
    <row r="61" spans="1:10" x14ac:dyDescent="0.55000000000000004">
      <c r="A61" s="216">
        <v>55</v>
      </c>
      <c r="B61" s="48" t="s">
        <v>108</v>
      </c>
      <c r="C61" s="217" t="s">
        <v>39</v>
      </c>
      <c r="D61" s="305">
        <v>75000</v>
      </c>
      <c r="E61" s="930"/>
      <c r="F61" s="930"/>
      <c r="G61" s="231">
        <f t="shared" si="0"/>
        <v>75000</v>
      </c>
      <c r="H61" s="528">
        <f t="shared" si="1"/>
        <v>0</v>
      </c>
      <c r="I61" s="528">
        <f t="shared" si="2"/>
        <v>0</v>
      </c>
      <c r="J61" s="223">
        <f t="shared" si="3"/>
        <v>0</v>
      </c>
    </row>
    <row r="62" spans="1:10" x14ac:dyDescent="0.55000000000000004">
      <c r="A62" s="216">
        <v>56</v>
      </c>
      <c r="B62" s="48" t="s">
        <v>108</v>
      </c>
      <c r="C62" s="217" t="s">
        <v>138</v>
      </c>
      <c r="D62" s="305">
        <v>95000</v>
      </c>
      <c r="E62" s="930"/>
      <c r="F62" s="305">
        <v>27090</v>
      </c>
      <c r="G62" s="231">
        <f t="shared" si="0"/>
        <v>67910</v>
      </c>
      <c r="H62" s="528">
        <f t="shared" si="1"/>
        <v>28.515789473684212</v>
      </c>
      <c r="I62" s="528">
        <f t="shared" si="2"/>
        <v>28.515789473684212</v>
      </c>
      <c r="J62" s="223">
        <f t="shared" si="3"/>
        <v>27090</v>
      </c>
    </row>
    <row r="63" spans="1:10" x14ac:dyDescent="0.55000000000000004">
      <c r="A63" s="216">
        <v>57</v>
      </c>
      <c r="B63" s="48" t="s">
        <v>108</v>
      </c>
      <c r="C63" s="217" t="s">
        <v>139</v>
      </c>
      <c r="D63" s="305">
        <v>115400</v>
      </c>
      <c r="E63" s="930"/>
      <c r="F63" s="930"/>
      <c r="G63" s="231">
        <f t="shared" si="0"/>
        <v>115400</v>
      </c>
      <c r="H63" s="528">
        <f t="shared" si="1"/>
        <v>0</v>
      </c>
      <c r="I63" s="528">
        <f t="shared" si="2"/>
        <v>0</v>
      </c>
      <c r="J63" s="223">
        <f t="shared" si="3"/>
        <v>0</v>
      </c>
    </row>
    <row r="64" spans="1:10" x14ac:dyDescent="0.55000000000000004">
      <c r="A64" s="216">
        <v>58</v>
      </c>
      <c r="B64" s="48" t="s">
        <v>108</v>
      </c>
      <c r="C64" s="217" t="s">
        <v>40</v>
      </c>
      <c r="D64" s="305">
        <v>106000</v>
      </c>
      <c r="E64" s="930"/>
      <c r="F64" s="930"/>
      <c r="G64" s="231">
        <f t="shared" si="0"/>
        <v>106000</v>
      </c>
      <c r="H64" s="528">
        <f t="shared" si="1"/>
        <v>0</v>
      </c>
      <c r="I64" s="528">
        <f t="shared" si="2"/>
        <v>0</v>
      </c>
      <c r="J64" s="223">
        <f t="shared" si="3"/>
        <v>0</v>
      </c>
    </row>
    <row r="65" spans="1:10" x14ac:dyDescent="0.55000000000000004">
      <c r="A65" s="216">
        <v>59</v>
      </c>
      <c r="B65" s="48" t="s">
        <v>108</v>
      </c>
      <c r="C65" s="217" t="s">
        <v>140</v>
      </c>
      <c r="D65" s="305">
        <v>164900</v>
      </c>
      <c r="E65" s="930"/>
      <c r="F65" s="305">
        <v>14986.56</v>
      </c>
      <c r="G65" s="231">
        <f t="shared" si="0"/>
        <v>149913.44</v>
      </c>
      <c r="H65" s="528">
        <f t="shared" si="1"/>
        <v>9.0882716798059437</v>
      </c>
      <c r="I65" s="528">
        <f t="shared" si="2"/>
        <v>9.0882716798059437</v>
      </c>
      <c r="J65" s="223">
        <f t="shared" si="3"/>
        <v>14986.56</v>
      </c>
    </row>
    <row r="66" spans="1:10" x14ac:dyDescent="0.55000000000000004">
      <c r="A66" s="216">
        <v>60</v>
      </c>
      <c r="B66" s="48" t="s">
        <v>108</v>
      </c>
      <c r="C66" s="217" t="s">
        <v>141</v>
      </c>
      <c r="D66" s="305">
        <v>8000</v>
      </c>
      <c r="E66" s="930"/>
      <c r="F66" s="930"/>
      <c r="G66" s="231">
        <f t="shared" si="0"/>
        <v>8000</v>
      </c>
      <c r="H66" s="528">
        <f t="shared" si="1"/>
        <v>0</v>
      </c>
      <c r="I66" s="528">
        <f t="shared" si="2"/>
        <v>0</v>
      </c>
      <c r="J66" s="223">
        <f t="shared" si="3"/>
        <v>0</v>
      </c>
    </row>
    <row r="67" spans="1:10" x14ac:dyDescent="0.55000000000000004">
      <c r="A67" s="216">
        <v>61</v>
      </c>
      <c r="B67" s="48" t="s">
        <v>108</v>
      </c>
      <c r="C67" s="217" t="s">
        <v>142</v>
      </c>
      <c r="D67" s="305">
        <v>5000</v>
      </c>
      <c r="E67" s="930"/>
      <c r="F67" s="930"/>
      <c r="G67" s="231">
        <f t="shared" si="0"/>
        <v>5000</v>
      </c>
      <c r="H67" s="528">
        <f t="shared" si="1"/>
        <v>0</v>
      </c>
      <c r="I67" s="528">
        <f t="shared" si="2"/>
        <v>0</v>
      </c>
      <c r="J67" s="223">
        <f t="shared" si="3"/>
        <v>0</v>
      </c>
    </row>
    <row r="68" spans="1:10" x14ac:dyDescent="0.55000000000000004">
      <c r="A68" s="216">
        <v>62</v>
      </c>
      <c r="B68" s="48" t="s">
        <v>108</v>
      </c>
      <c r="C68" s="217" t="s">
        <v>143</v>
      </c>
      <c r="D68" s="305">
        <v>8000</v>
      </c>
      <c r="E68" s="930"/>
      <c r="F68" s="930"/>
      <c r="G68" s="231">
        <f t="shared" si="0"/>
        <v>8000</v>
      </c>
      <c r="H68" s="528">
        <f t="shared" si="1"/>
        <v>0</v>
      </c>
      <c r="I68" s="528">
        <f t="shared" si="2"/>
        <v>0</v>
      </c>
      <c r="J68" s="223">
        <f t="shared" si="3"/>
        <v>0</v>
      </c>
    </row>
    <row r="69" spans="1:10" x14ac:dyDescent="0.55000000000000004">
      <c r="A69" s="216">
        <v>63</v>
      </c>
      <c r="B69" s="48" t="s">
        <v>108</v>
      </c>
      <c r="C69" s="217" t="s">
        <v>144</v>
      </c>
      <c r="D69" s="305">
        <v>5000</v>
      </c>
      <c r="E69" s="930"/>
      <c r="F69" s="930"/>
      <c r="G69" s="231">
        <f t="shared" si="0"/>
        <v>5000</v>
      </c>
      <c r="H69" s="528">
        <f t="shared" si="1"/>
        <v>0</v>
      </c>
      <c r="I69" s="528">
        <f t="shared" si="2"/>
        <v>0</v>
      </c>
      <c r="J69" s="223">
        <f t="shared" si="3"/>
        <v>0</v>
      </c>
    </row>
    <row r="70" spans="1:10" x14ac:dyDescent="0.55000000000000004">
      <c r="A70" s="216">
        <v>64</v>
      </c>
      <c r="B70" s="48" t="s">
        <v>108</v>
      </c>
      <c r="C70" s="217" t="s">
        <v>41</v>
      </c>
      <c r="D70" s="305">
        <v>5000</v>
      </c>
      <c r="E70" s="930"/>
      <c r="F70" s="305">
        <v>5000</v>
      </c>
      <c r="G70" s="231">
        <f t="shared" si="0"/>
        <v>0</v>
      </c>
      <c r="H70" s="528">
        <f t="shared" si="1"/>
        <v>100</v>
      </c>
      <c r="I70" s="528">
        <f t="shared" si="2"/>
        <v>100</v>
      </c>
      <c r="J70" s="223">
        <f t="shared" si="3"/>
        <v>5000</v>
      </c>
    </row>
    <row r="71" spans="1:10" x14ac:dyDescent="0.55000000000000004">
      <c r="A71" s="216">
        <v>65</v>
      </c>
      <c r="B71" s="48" t="s">
        <v>108</v>
      </c>
      <c r="C71" s="217" t="s">
        <v>42</v>
      </c>
      <c r="D71" s="305">
        <v>5000</v>
      </c>
      <c r="E71" s="930"/>
      <c r="F71" s="930"/>
      <c r="G71" s="231">
        <f t="shared" si="0"/>
        <v>5000</v>
      </c>
      <c r="H71" s="528">
        <f t="shared" si="1"/>
        <v>0</v>
      </c>
      <c r="I71" s="528">
        <f t="shared" si="2"/>
        <v>0</v>
      </c>
      <c r="J71" s="223">
        <f t="shared" si="3"/>
        <v>0</v>
      </c>
    </row>
    <row r="72" spans="1:10" x14ac:dyDescent="0.55000000000000004">
      <c r="A72" s="216">
        <v>66</v>
      </c>
      <c r="B72" s="48" t="s">
        <v>108</v>
      </c>
      <c r="C72" s="217" t="s">
        <v>43</v>
      </c>
      <c r="D72" s="305">
        <v>5000</v>
      </c>
      <c r="E72" s="930"/>
      <c r="F72" s="305">
        <v>5000</v>
      </c>
      <c r="G72" s="231">
        <f t="shared" ref="G72:G102" si="4">+D72-E72-F72</f>
        <v>0</v>
      </c>
      <c r="H72" s="528">
        <f t="shared" ref="H72:H102" si="5">F72*100/D72</f>
        <v>100</v>
      </c>
      <c r="I72" s="528">
        <f t="shared" ref="I72:I102" si="6">+J72*100/D72</f>
        <v>100</v>
      </c>
      <c r="J72" s="223">
        <f t="shared" ref="J72:J103" si="7">+E72+F72</f>
        <v>5000</v>
      </c>
    </row>
    <row r="73" spans="1:10" x14ac:dyDescent="0.55000000000000004">
      <c r="A73" s="216">
        <v>67</v>
      </c>
      <c r="B73" s="48" t="s">
        <v>108</v>
      </c>
      <c r="C73" s="217" t="s">
        <v>44</v>
      </c>
      <c r="D73" s="305">
        <v>79000</v>
      </c>
      <c r="E73" s="930"/>
      <c r="F73" s="305">
        <v>21721</v>
      </c>
      <c r="G73" s="231">
        <f t="shared" si="4"/>
        <v>57279</v>
      </c>
      <c r="H73" s="528">
        <f t="shared" si="5"/>
        <v>27.494936708860759</v>
      </c>
      <c r="I73" s="528">
        <f t="shared" si="6"/>
        <v>27.494936708860759</v>
      </c>
      <c r="J73" s="223">
        <f t="shared" si="7"/>
        <v>21721</v>
      </c>
    </row>
    <row r="74" spans="1:10" x14ac:dyDescent="0.55000000000000004">
      <c r="A74" s="216">
        <v>68</v>
      </c>
      <c r="B74" s="48" t="s">
        <v>108</v>
      </c>
      <c r="C74" s="217" t="s">
        <v>45</v>
      </c>
      <c r="D74" s="305">
        <v>8000</v>
      </c>
      <c r="E74" s="930"/>
      <c r="F74" s="930"/>
      <c r="G74" s="231">
        <f t="shared" si="4"/>
        <v>8000</v>
      </c>
      <c r="H74" s="528">
        <f t="shared" si="5"/>
        <v>0</v>
      </c>
      <c r="I74" s="528">
        <f t="shared" si="6"/>
        <v>0</v>
      </c>
      <c r="J74" s="223">
        <f t="shared" si="7"/>
        <v>0</v>
      </c>
    </row>
    <row r="75" spans="1:10" x14ac:dyDescent="0.55000000000000004">
      <c r="A75" s="216">
        <v>69</v>
      </c>
      <c r="B75" s="48" t="s">
        <v>108</v>
      </c>
      <c r="C75" s="217" t="s">
        <v>63</v>
      </c>
      <c r="D75" s="305">
        <v>8000</v>
      </c>
      <c r="E75" s="930"/>
      <c r="F75" s="930"/>
      <c r="G75" s="231">
        <f t="shared" si="4"/>
        <v>8000</v>
      </c>
      <c r="H75" s="528">
        <f t="shared" si="5"/>
        <v>0</v>
      </c>
      <c r="I75" s="528">
        <f t="shared" si="6"/>
        <v>0</v>
      </c>
      <c r="J75" s="223">
        <f t="shared" si="7"/>
        <v>0</v>
      </c>
    </row>
    <row r="76" spans="1:10" x14ac:dyDescent="0.55000000000000004">
      <c r="A76" s="216">
        <v>70</v>
      </c>
      <c r="B76" s="48" t="s">
        <v>108</v>
      </c>
      <c r="C76" s="217" t="s">
        <v>145</v>
      </c>
      <c r="D76" s="305">
        <v>23000</v>
      </c>
      <c r="E76" s="930"/>
      <c r="F76" s="930"/>
      <c r="G76" s="231">
        <f t="shared" si="4"/>
        <v>23000</v>
      </c>
      <c r="H76" s="528">
        <f t="shared" si="5"/>
        <v>0</v>
      </c>
      <c r="I76" s="528">
        <f t="shared" si="6"/>
        <v>0</v>
      </c>
      <c r="J76" s="223">
        <f t="shared" si="7"/>
        <v>0</v>
      </c>
    </row>
    <row r="77" spans="1:10" x14ac:dyDescent="0.55000000000000004">
      <c r="A77" s="216">
        <v>71</v>
      </c>
      <c r="B77" s="48" t="s">
        <v>108</v>
      </c>
      <c r="C77" s="217" t="s">
        <v>46</v>
      </c>
      <c r="D77" s="305">
        <v>72000</v>
      </c>
      <c r="E77" s="930"/>
      <c r="F77" s="305">
        <v>9050</v>
      </c>
      <c r="G77" s="231">
        <f t="shared" si="4"/>
        <v>62950</v>
      </c>
      <c r="H77" s="528">
        <f t="shared" si="5"/>
        <v>12.569444444444445</v>
      </c>
      <c r="I77" s="528">
        <f t="shared" si="6"/>
        <v>12.569444444444445</v>
      </c>
      <c r="J77" s="223">
        <f t="shared" si="7"/>
        <v>9050</v>
      </c>
    </row>
    <row r="78" spans="1:10" x14ac:dyDescent="0.55000000000000004">
      <c r="A78" s="216">
        <v>72</v>
      </c>
      <c r="B78" s="48" t="s">
        <v>108</v>
      </c>
      <c r="C78" s="217" t="s">
        <v>146</v>
      </c>
      <c r="D78" s="305">
        <v>8000</v>
      </c>
      <c r="E78" s="930"/>
      <c r="F78" s="305">
        <v>2399</v>
      </c>
      <c r="G78" s="231">
        <f t="shared" si="4"/>
        <v>5601</v>
      </c>
      <c r="H78" s="528">
        <f t="shared" si="5"/>
        <v>29.987500000000001</v>
      </c>
      <c r="I78" s="528">
        <f t="shared" si="6"/>
        <v>29.987500000000001</v>
      </c>
      <c r="J78" s="223">
        <f t="shared" si="7"/>
        <v>2399</v>
      </c>
    </row>
    <row r="79" spans="1:10" x14ac:dyDescent="0.55000000000000004">
      <c r="A79" s="216">
        <v>73</v>
      </c>
      <c r="B79" s="48" t="s">
        <v>108</v>
      </c>
      <c r="C79" s="217" t="s">
        <v>147</v>
      </c>
      <c r="D79" s="305">
        <v>5000</v>
      </c>
      <c r="E79" s="930"/>
      <c r="F79" s="930"/>
      <c r="G79" s="231">
        <f t="shared" si="4"/>
        <v>5000</v>
      </c>
      <c r="H79" s="528">
        <f t="shared" si="5"/>
        <v>0</v>
      </c>
      <c r="I79" s="528">
        <f t="shared" si="6"/>
        <v>0</v>
      </c>
      <c r="J79" s="223">
        <f t="shared" si="7"/>
        <v>0</v>
      </c>
    </row>
    <row r="80" spans="1:10" x14ac:dyDescent="0.55000000000000004">
      <c r="A80" s="216">
        <v>74</v>
      </c>
      <c r="B80" s="48" t="s">
        <v>108</v>
      </c>
      <c r="C80" s="217" t="s">
        <v>47</v>
      </c>
      <c r="D80" s="305">
        <v>5000</v>
      </c>
      <c r="E80" s="930"/>
      <c r="F80" s="930"/>
      <c r="G80" s="231">
        <f t="shared" si="4"/>
        <v>5000</v>
      </c>
      <c r="H80" s="528">
        <f t="shared" si="5"/>
        <v>0</v>
      </c>
      <c r="I80" s="528">
        <f t="shared" si="6"/>
        <v>0</v>
      </c>
      <c r="J80" s="223">
        <f t="shared" si="7"/>
        <v>0</v>
      </c>
    </row>
    <row r="81" spans="1:10" x14ac:dyDescent="0.55000000000000004">
      <c r="A81" s="216">
        <v>75</v>
      </c>
      <c r="B81" s="48" t="s">
        <v>108</v>
      </c>
      <c r="C81" s="217" t="s">
        <v>148</v>
      </c>
      <c r="D81" s="305">
        <v>5000</v>
      </c>
      <c r="E81" s="930"/>
      <c r="F81" s="305">
        <v>3000</v>
      </c>
      <c r="G81" s="231">
        <f t="shared" si="4"/>
        <v>2000</v>
      </c>
      <c r="H81" s="528">
        <f t="shared" si="5"/>
        <v>60</v>
      </c>
      <c r="I81" s="528">
        <f t="shared" si="6"/>
        <v>60</v>
      </c>
      <c r="J81" s="223">
        <f t="shared" si="7"/>
        <v>3000</v>
      </c>
    </row>
    <row r="82" spans="1:10" x14ac:dyDescent="0.55000000000000004">
      <c r="A82" s="216">
        <v>76</v>
      </c>
      <c r="B82" s="48" t="s">
        <v>108</v>
      </c>
      <c r="C82" s="217" t="s">
        <v>48</v>
      </c>
      <c r="D82" s="305">
        <v>5000</v>
      </c>
      <c r="E82" s="930"/>
      <c r="F82" s="930"/>
      <c r="G82" s="231">
        <f t="shared" si="4"/>
        <v>5000</v>
      </c>
      <c r="H82" s="528">
        <f t="shared" si="5"/>
        <v>0</v>
      </c>
      <c r="I82" s="528">
        <f t="shared" si="6"/>
        <v>0</v>
      </c>
      <c r="J82" s="223">
        <f t="shared" si="7"/>
        <v>0</v>
      </c>
    </row>
    <row r="83" spans="1:10" x14ac:dyDescent="0.55000000000000004">
      <c r="A83" s="216">
        <v>77</v>
      </c>
      <c r="B83" s="48" t="s">
        <v>108</v>
      </c>
      <c r="C83" s="217" t="s">
        <v>149</v>
      </c>
      <c r="D83" s="305">
        <v>5000</v>
      </c>
      <c r="E83" s="930"/>
      <c r="F83" s="930"/>
      <c r="G83" s="231">
        <f t="shared" si="4"/>
        <v>5000</v>
      </c>
      <c r="H83" s="528">
        <f t="shared" si="5"/>
        <v>0</v>
      </c>
      <c r="I83" s="528">
        <f t="shared" si="6"/>
        <v>0</v>
      </c>
      <c r="J83" s="223">
        <f t="shared" si="7"/>
        <v>0</v>
      </c>
    </row>
    <row r="84" spans="1:10" x14ac:dyDescent="0.55000000000000004">
      <c r="A84" s="216">
        <v>78</v>
      </c>
      <c r="B84" s="48" t="s">
        <v>108</v>
      </c>
      <c r="C84" s="217" t="s">
        <v>49</v>
      </c>
      <c r="D84" s="305">
        <v>8000</v>
      </c>
      <c r="E84" s="930"/>
      <c r="F84" s="930"/>
      <c r="G84" s="231">
        <f t="shared" si="4"/>
        <v>8000</v>
      </c>
      <c r="H84" s="528">
        <f t="shared" si="5"/>
        <v>0</v>
      </c>
      <c r="I84" s="528">
        <f t="shared" si="6"/>
        <v>0</v>
      </c>
      <c r="J84" s="223">
        <f t="shared" si="7"/>
        <v>0</v>
      </c>
    </row>
    <row r="85" spans="1:10" x14ac:dyDescent="0.55000000000000004">
      <c r="A85" s="216">
        <v>79</v>
      </c>
      <c r="B85" s="48" t="s">
        <v>108</v>
      </c>
      <c r="C85" s="217" t="s">
        <v>50</v>
      </c>
      <c r="D85" s="305">
        <v>8000</v>
      </c>
      <c r="E85" s="930"/>
      <c r="F85" s="930"/>
      <c r="G85" s="231">
        <f t="shared" si="4"/>
        <v>8000</v>
      </c>
      <c r="H85" s="528">
        <f t="shared" si="5"/>
        <v>0</v>
      </c>
      <c r="I85" s="528">
        <f t="shared" si="6"/>
        <v>0</v>
      </c>
      <c r="J85" s="223">
        <f t="shared" si="7"/>
        <v>0</v>
      </c>
    </row>
    <row r="86" spans="1:10" x14ac:dyDescent="0.55000000000000004">
      <c r="A86" s="216">
        <v>80</v>
      </c>
      <c r="B86" s="48" t="s">
        <v>108</v>
      </c>
      <c r="C86" s="217" t="s">
        <v>150</v>
      </c>
      <c r="D86" s="305">
        <v>5000</v>
      </c>
      <c r="E86" s="930"/>
      <c r="F86" s="930"/>
      <c r="G86" s="231">
        <f t="shared" si="4"/>
        <v>5000</v>
      </c>
      <c r="H86" s="528">
        <f t="shared" si="5"/>
        <v>0</v>
      </c>
      <c r="I86" s="528">
        <f t="shared" si="6"/>
        <v>0</v>
      </c>
      <c r="J86" s="223">
        <f t="shared" si="7"/>
        <v>0</v>
      </c>
    </row>
    <row r="87" spans="1:10" x14ac:dyDescent="0.55000000000000004">
      <c r="A87" s="216">
        <v>81</v>
      </c>
      <c r="B87" s="48" t="s">
        <v>108</v>
      </c>
      <c r="C87" s="217" t="s">
        <v>51</v>
      </c>
      <c r="D87" s="305">
        <v>5000</v>
      </c>
      <c r="E87" s="930"/>
      <c r="F87" s="930"/>
      <c r="G87" s="231">
        <f t="shared" si="4"/>
        <v>5000</v>
      </c>
      <c r="H87" s="528">
        <f t="shared" si="5"/>
        <v>0</v>
      </c>
      <c r="I87" s="528">
        <f t="shared" si="6"/>
        <v>0</v>
      </c>
      <c r="J87" s="223">
        <f t="shared" si="7"/>
        <v>0</v>
      </c>
    </row>
    <row r="88" spans="1:10" x14ac:dyDescent="0.55000000000000004">
      <c r="A88" s="216">
        <v>82</v>
      </c>
      <c r="B88" s="48" t="s">
        <v>108</v>
      </c>
      <c r="C88" s="217" t="s">
        <v>151</v>
      </c>
      <c r="D88" s="305">
        <v>5000</v>
      </c>
      <c r="E88" s="930"/>
      <c r="F88" s="930"/>
      <c r="G88" s="231">
        <f t="shared" si="4"/>
        <v>5000</v>
      </c>
      <c r="H88" s="528">
        <f t="shared" si="5"/>
        <v>0</v>
      </c>
      <c r="I88" s="528">
        <f t="shared" si="6"/>
        <v>0</v>
      </c>
      <c r="J88" s="223">
        <f t="shared" si="7"/>
        <v>0</v>
      </c>
    </row>
    <row r="89" spans="1:10" x14ac:dyDescent="0.55000000000000004">
      <c r="A89" s="216">
        <v>83</v>
      </c>
      <c r="B89" s="48" t="s">
        <v>108</v>
      </c>
      <c r="C89" s="217" t="s">
        <v>152</v>
      </c>
      <c r="D89" s="305">
        <v>5000</v>
      </c>
      <c r="E89" s="930"/>
      <c r="F89" s="930"/>
      <c r="G89" s="231">
        <f t="shared" si="4"/>
        <v>5000</v>
      </c>
      <c r="H89" s="528">
        <f t="shared" si="5"/>
        <v>0</v>
      </c>
      <c r="I89" s="528">
        <f t="shared" si="6"/>
        <v>0</v>
      </c>
      <c r="J89" s="223">
        <f t="shared" si="7"/>
        <v>0</v>
      </c>
    </row>
    <row r="90" spans="1:10" x14ac:dyDescent="0.55000000000000004">
      <c r="A90" s="216">
        <v>84</v>
      </c>
      <c r="B90" s="48" t="s">
        <v>108</v>
      </c>
      <c r="C90" s="217" t="s">
        <v>153</v>
      </c>
      <c r="D90" s="305">
        <v>5000</v>
      </c>
      <c r="E90" s="930"/>
      <c r="F90" s="930"/>
      <c r="G90" s="231">
        <f t="shared" si="4"/>
        <v>5000</v>
      </c>
      <c r="H90" s="528">
        <f t="shared" si="5"/>
        <v>0</v>
      </c>
      <c r="I90" s="528">
        <f t="shared" si="6"/>
        <v>0</v>
      </c>
      <c r="J90" s="223">
        <f t="shared" si="7"/>
        <v>0</v>
      </c>
    </row>
    <row r="91" spans="1:10" x14ac:dyDescent="0.55000000000000004">
      <c r="A91" s="216">
        <v>85</v>
      </c>
      <c r="B91" s="48" t="s">
        <v>108</v>
      </c>
      <c r="C91" s="217" t="s">
        <v>52</v>
      </c>
      <c r="D91" s="305">
        <v>8000</v>
      </c>
      <c r="E91" s="930"/>
      <c r="F91" s="305">
        <v>5000</v>
      </c>
      <c r="G91" s="231">
        <f t="shared" si="4"/>
        <v>3000</v>
      </c>
      <c r="H91" s="528">
        <f t="shared" si="5"/>
        <v>62.5</v>
      </c>
      <c r="I91" s="528">
        <f t="shared" si="6"/>
        <v>62.5</v>
      </c>
      <c r="J91" s="223">
        <f t="shared" si="7"/>
        <v>5000</v>
      </c>
    </row>
    <row r="92" spans="1:10" x14ac:dyDescent="0.55000000000000004">
      <c r="A92" s="216">
        <v>86</v>
      </c>
      <c r="B92" s="48" t="s">
        <v>108</v>
      </c>
      <c r="C92" s="217" t="s">
        <v>53</v>
      </c>
      <c r="D92" s="305">
        <v>65000</v>
      </c>
      <c r="E92" s="930"/>
      <c r="F92" s="930"/>
      <c r="G92" s="231">
        <f t="shared" si="4"/>
        <v>65000</v>
      </c>
      <c r="H92" s="528">
        <f t="shared" si="5"/>
        <v>0</v>
      </c>
      <c r="I92" s="528">
        <f t="shared" si="6"/>
        <v>0</v>
      </c>
      <c r="J92" s="223">
        <f t="shared" si="7"/>
        <v>0</v>
      </c>
    </row>
    <row r="93" spans="1:10" x14ac:dyDescent="0.55000000000000004">
      <c r="A93" s="216">
        <v>87</v>
      </c>
      <c r="B93" s="48" t="s">
        <v>108</v>
      </c>
      <c r="C93" s="217" t="s">
        <v>154</v>
      </c>
      <c r="D93" s="305">
        <v>67000</v>
      </c>
      <c r="E93" s="930"/>
      <c r="F93" s="305">
        <v>10000</v>
      </c>
      <c r="G93" s="231">
        <f t="shared" si="4"/>
        <v>57000</v>
      </c>
      <c r="H93" s="528">
        <f t="shared" si="5"/>
        <v>14.925373134328359</v>
      </c>
      <c r="I93" s="528">
        <f t="shared" si="6"/>
        <v>14.925373134328359</v>
      </c>
      <c r="J93" s="223">
        <f t="shared" si="7"/>
        <v>10000</v>
      </c>
    </row>
    <row r="94" spans="1:10" x14ac:dyDescent="0.55000000000000004">
      <c r="A94" s="216">
        <v>88</v>
      </c>
      <c r="B94" s="48" t="s">
        <v>108</v>
      </c>
      <c r="C94" s="217" t="s">
        <v>155</v>
      </c>
      <c r="D94" s="305">
        <v>8000</v>
      </c>
      <c r="E94" s="930"/>
      <c r="F94" s="930"/>
      <c r="G94" s="231">
        <f t="shared" si="4"/>
        <v>8000</v>
      </c>
      <c r="H94" s="528">
        <f t="shared" si="5"/>
        <v>0</v>
      </c>
      <c r="I94" s="528">
        <f t="shared" si="6"/>
        <v>0</v>
      </c>
      <c r="J94" s="223">
        <f t="shared" si="7"/>
        <v>0</v>
      </c>
    </row>
    <row r="95" spans="1:10" x14ac:dyDescent="0.55000000000000004">
      <c r="A95" s="216">
        <v>89</v>
      </c>
      <c r="B95" s="48" t="s">
        <v>108</v>
      </c>
      <c r="C95" s="217" t="s">
        <v>156</v>
      </c>
      <c r="D95" s="305">
        <v>185410</v>
      </c>
      <c r="E95" s="930"/>
      <c r="F95" s="930"/>
      <c r="G95" s="231">
        <f t="shared" si="4"/>
        <v>185410</v>
      </c>
      <c r="H95" s="528">
        <f t="shared" si="5"/>
        <v>0</v>
      </c>
      <c r="I95" s="528">
        <f t="shared" si="6"/>
        <v>0</v>
      </c>
      <c r="J95" s="223">
        <f t="shared" si="7"/>
        <v>0</v>
      </c>
    </row>
    <row r="96" spans="1:10" x14ac:dyDescent="0.55000000000000004">
      <c r="A96" s="216">
        <v>90</v>
      </c>
      <c r="B96" s="48" t="s">
        <v>108</v>
      </c>
      <c r="C96" s="217" t="s">
        <v>54</v>
      </c>
      <c r="D96" s="305">
        <v>8000</v>
      </c>
      <c r="E96" s="930"/>
      <c r="F96" s="930"/>
      <c r="G96" s="231">
        <f t="shared" si="4"/>
        <v>8000</v>
      </c>
      <c r="H96" s="528">
        <f t="shared" si="5"/>
        <v>0</v>
      </c>
      <c r="I96" s="528">
        <f t="shared" si="6"/>
        <v>0</v>
      </c>
      <c r="J96" s="223">
        <f t="shared" si="7"/>
        <v>0</v>
      </c>
    </row>
    <row r="97" spans="1:14" x14ac:dyDescent="0.55000000000000004">
      <c r="A97" s="216">
        <v>91</v>
      </c>
      <c r="B97" s="48" t="s">
        <v>108</v>
      </c>
      <c r="C97" s="217" t="s">
        <v>55</v>
      </c>
      <c r="D97" s="305">
        <v>8000</v>
      </c>
      <c r="E97" s="930"/>
      <c r="F97" s="930"/>
      <c r="G97" s="231">
        <f t="shared" si="4"/>
        <v>8000</v>
      </c>
      <c r="H97" s="528">
        <f t="shared" si="5"/>
        <v>0</v>
      </c>
      <c r="I97" s="528">
        <f t="shared" si="6"/>
        <v>0</v>
      </c>
      <c r="J97" s="223">
        <f t="shared" si="7"/>
        <v>0</v>
      </c>
    </row>
    <row r="98" spans="1:14" x14ac:dyDescent="0.55000000000000004">
      <c r="A98" s="216">
        <v>92</v>
      </c>
      <c r="B98" s="48" t="s">
        <v>110</v>
      </c>
      <c r="C98" s="217" t="s">
        <v>20</v>
      </c>
      <c r="D98" s="305">
        <v>289360</v>
      </c>
      <c r="E98" s="930"/>
      <c r="F98" s="305">
        <v>10400</v>
      </c>
      <c r="G98" s="231">
        <f t="shared" si="4"/>
        <v>278960</v>
      </c>
      <c r="H98" s="528">
        <f t="shared" si="5"/>
        <v>3.5941387890517005</v>
      </c>
      <c r="I98" s="528">
        <f t="shared" si="6"/>
        <v>3.5941387890517005</v>
      </c>
      <c r="J98" s="223">
        <f t="shared" si="7"/>
        <v>10400</v>
      </c>
    </row>
    <row r="99" spans="1:14" x14ac:dyDescent="0.55000000000000004">
      <c r="A99" s="216">
        <v>93</v>
      </c>
      <c r="B99" s="48" t="s">
        <v>110</v>
      </c>
      <c r="C99" s="217" t="s">
        <v>157</v>
      </c>
      <c r="D99" s="305">
        <v>820360</v>
      </c>
      <c r="E99" s="930"/>
      <c r="F99" s="305">
        <v>48000</v>
      </c>
      <c r="G99" s="231">
        <f t="shared" si="4"/>
        <v>772360</v>
      </c>
      <c r="H99" s="528">
        <f t="shared" si="5"/>
        <v>5.851089765468819</v>
      </c>
      <c r="I99" s="528">
        <f t="shared" si="6"/>
        <v>5.851089765468819</v>
      </c>
      <c r="J99" s="223">
        <f t="shared" si="7"/>
        <v>48000</v>
      </c>
    </row>
    <row r="100" spans="1:14" x14ac:dyDescent="0.55000000000000004">
      <c r="A100" s="216">
        <v>94</v>
      </c>
      <c r="B100" s="48" t="s">
        <v>108</v>
      </c>
      <c r="C100" s="217" t="s">
        <v>86</v>
      </c>
      <c r="D100" s="305">
        <v>18000</v>
      </c>
      <c r="E100" s="930"/>
      <c r="F100" s="305">
        <v>8000</v>
      </c>
      <c r="G100" s="231">
        <f t="shared" si="4"/>
        <v>10000</v>
      </c>
      <c r="H100" s="528">
        <f t="shared" si="5"/>
        <v>44.444444444444443</v>
      </c>
      <c r="I100" s="528">
        <f t="shared" si="6"/>
        <v>44.444444444444443</v>
      </c>
      <c r="J100" s="223">
        <f t="shared" si="7"/>
        <v>8000</v>
      </c>
    </row>
    <row r="101" spans="1:14" x14ac:dyDescent="0.55000000000000004">
      <c r="A101" s="216">
        <v>95</v>
      </c>
      <c r="B101" s="48" t="s">
        <v>110</v>
      </c>
      <c r="C101" s="217" t="s">
        <v>43</v>
      </c>
      <c r="D101" s="305">
        <v>150410</v>
      </c>
      <c r="E101" s="930"/>
      <c r="F101" s="930"/>
      <c r="G101" s="231">
        <f t="shared" si="4"/>
        <v>150410</v>
      </c>
      <c r="H101" s="528">
        <f t="shared" si="5"/>
        <v>0</v>
      </c>
      <c r="I101" s="528">
        <f t="shared" si="6"/>
        <v>0</v>
      </c>
      <c r="J101" s="223">
        <f t="shared" si="7"/>
        <v>0</v>
      </c>
    </row>
    <row r="102" spans="1:14" ht="24.75" thickBot="1" x14ac:dyDescent="0.6">
      <c r="A102" s="232">
        <v>96</v>
      </c>
      <c r="B102" s="233" t="s">
        <v>110</v>
      </c>
      <c r="C102" s="234" t="s">
        <v>213</v>
      </c>
      <c r="D102" s="228">
        <f>35000+17000+5410</f>
        <v>57410</v>
      </c>
      <c r="E102" s="299">
        <v>0</v>
      </c>
      <c r="F102" s="305">
        <v>23005</v>
      </c>
      <c r="G102" s="231">
        <f t="shared" si="4"/>
        <v>34405</v>
      </c>
      <c r="H102" s="528">
        <f t="shared" si="5"/>
        <v>40.071416129594148</v>
      </c>
      <c r="I102" s="528">
        <f t="shared" si="6"/>
        <v>40.071416129594148</v>
      </c>
      <c r="J102" s="223">
        <f t="shared" si="7"/>
        <v>23005</v>
      </c>
      <c r="M102" s="521">
        <f>+D102+D13</f>
        <v>351770</v>
      </c>
    </row>
    <row r="103" spans="1:14" s="225" customFormat="1" ht="24.75" thickBot="1" x14ac:dyDescent="0.6">
      <c r="A103" s="1293" t="s">
        <v>159</v>
      </c>
      <c r="B103" s="1293"/>
      <c r="C103" s="1293"/>
      <c r="D103" s="502">
        <f>SUM(D7:D102)</f>
        <v>14396800</v>
      </c>
      <c r="E103" s="503">
        <f>SUM(E7:E102)</f>
        <v>2611120</v>
      </c>
      <c r="F103" s="503">
        <f>SUM(F7:F102)</f>
        <v>1250719.42</v>
      </c>
      <c r="G103" s="502">
        <f>SUM(G7:G102)</f>
        <v>10534960.58</v>
      </c>
      <c r="H103" s="814">
        <f>F103*100/D103</f>
        <v>8.6874820793509677</v>
      </c>
      <c r="I103" s="814">
        <f t="shared" ref="I103" si="8">+J103*100/D103</f>
        <v>26.824290258946434</v>
      </c>
      <c r="J103" s="225">
        <f t="shared" si="7"/>
        <v>3861839.42</v>
      </c>
      <c r="N103" s="705"/>
    </row>
    <row r="104" spans="1:14" s="219" customFormat="1" ht="24.75" thickTop="1" x14ac:dyDescent="0.55000000000000004">
      <c r="A104" s="225" t="s">
        <v>160</v>
      </c>
      <c r="B104" s="682"/>
      <c r="C104" s="1295" t="s">
        <v>690</v>
      </c>
      <c r="D104" s="1295"/>
      <c r="E104" s="1295"/>
      <c r="F104" s="1295"/>
      <c r="G104" s="1295"/>
      <c r="H104" s="1295"/>
      <c r="I104" s="1295"/>
      <c r="N104" s="224"/>
    </row>
    <row r="105" spans="1:14" s="219" customFormat="1" hidden="1" x14ac:dyDescent="0.55000000000000004">
      <c r="A105" s="225"/>
      <c r="B105" s="221"/>
      <c r="C105" s="1278" t="s">
        <v>697</v>
      </c>
      <c r="D105" s="1278"/>
      <c r="E105" s="1278"/>
      <c r="F105" s="1278"/>
      <c r="G105" s="1278"/>
      <c r="H105" s="1278"/>
      <c r="I105" s="1278"/>
      <c r="N105" s="224"/>
    </row>
    <row r="106" spans="1:14" hidden="1" x14ac:dyDescent="0.55000000000000004">
      <c r="C106" s="1278" t="s">
        <v>698</v>
      </c>
      <c r="D106" s="1278"/>
      <c r="E106" s="1278"/>
      <c r="F106" s="1278"/>
      <c r="G106" s="1278"/>
      <c r="H106" s="1278"/>
      <c r="I106" s="1278"/>
    </row>
    <row r="107" spans="1:14" hidden="1" x14ac:dyDescent="0.55000000000000004">
      <c r="D107" s="706">
        <f>+รายงานผู้บริหาร!B12</f>
        <v>28793900</v>
      </c>
    </row>
    <row r="111" spans="1:14" hidden="1" x14ac:dyDescent="0.55000000000000004">
      <c r="E111" s="706">
        <f>+E110-E103</f>
        <v>-2611120</v>
      </c>
    </row>
  </sheetData>
  <mergeCells count="10">
    <mergeCell ref="A1:I1"/>
    <mergeCell ref="A2:I2"/>
    <mergeCell ref="A3:I3"/>
    <mergeCell ref="A4:I4"/>
    <mergeCell ref="C104:I104"/>
    <mergeCell ref="C106:I106"/>
    <mergeCell ref="C105:I105"/>
    <mergeCell ref="A103:C103"/>
    <mergeCell ref="A5:A6"/>
    <mergeCell ref="B5:C6"/>
  </mergeCells>
  <pageMargins left="0.47244094488188998" right="0.35433070866141703" top="0.74803149606299202" bottom="0.74803149606299202" header="0.31496062992126" footer="0.31496062992126"/>
  <pageSetup paperSize="9" scale="85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R193"/>
  <sheetViews>
    <sheetView topLeftCell="A9" zoomScale="80" zoomScaleNormal="80" workbookViewId="0">
      <selection activeCell="H12" sqref="H12"/>
    </sheetView>
  </sheetViews>
  <sheetFormatPr defaultRowHeight="27.75" x14ac:dyDescent="0.65"/>
  <cols>
    <col min="1" max="1" width="8" style="581" bestFit="1" customWidth="1"/>
    <col min="2" max="2" width="27.28515625" style="553" bestFit="1" customWidth="1"/>
    <col min="3" max="3" width="13.42578125" style="581" bestFit="1" customWidth="1"/>
    <col min="4" max="4" width="14.42578125" style="581" customWidth="1"/>
    <col min="5" max="5" width="19.5703125" style="582" bestFit="1" customWidth="1"/>
    <col min="6" max="6" width="12.42578125" style="581" bestFit="1" customWidth="1"/>
    <col min="7" max="7" width="33.42578125" style="583" customWidth="1"/>
    <col min="8" max="8" width="18.85546875" style="553" customWidth="1"/>
    <col min="9" max="9" width="17.85546875" style="553" bestFit="1" customWidth="1"/>
    <col min="10" max="10" width="17.7109375" style="585" bestFit="1" customWidth="1"/>
    <col min="11" max="11" width="8.7109375" style="580" bestFit="1" customWidth="1"/>
    <col min="12" max="12" width="30.28515625" style="588" customWidth="1"/>
    <col min="13" max="13" width="25" style="553" hidden="1" customWidth="1"/>
    <col min="14" max="15" width="12.28515625" style="553" hidden="1" customWidth="1"/>
    <col min="16" max="16" width="24.7109375" style="553" hidden="1" customWidth="1"/>
    <col min="17" max="17" width="14.140625" style="553" hidden="1" customWidth="1"/>
    <col min="18" max="64" width="0" style="553" hidden="1" customWidth="1"/>
    <col min="65" max="261" width="9.140625" style="553"/>
    <col min="262" max="262" width="6.42578125" style="553" bestFit="1" customWidth="1"/>
    <col min="263" max="263" width="32" style="553" bestFit="1" customWidth="1"/>
    <col min="264" max="264" width="14.5703125" style="553" bestFit="1" customWidth="1"/>
    <col min="265" max="265" width="12.42578125" style="553" bestFit="1" customWidth="1"/>
    <col min="266" max="266" width="51.28515625" style="553" bestFit="1" customWidth="1"/>
    <col min="267" max="267" width="14.85546875" style="553" bestFit="1" customWidth="1"/>
    <col min="268" max="268" width="25" style="553" bestFit="1" customWidth="1"/>
    <col min="269" max="270" width="12.28515625" style="553" bestFit="1" customWidth="1"/>
    <col min="271" max="271" width="24.7109375" style="553" bestFit="1" customWidth="1"/>
    <col min="272" max="272" width="15" style="553" bestFit="1" customWidth="1"/>
    <col min="273" max="517" width="9.140625" style="553"/>
    <col min="518" max="518" width="6.42578125" style="553" bestFit="1" customWidth="1"/>
    <col min="519" max="519" width="32" style="553" bestFit="1" customWidth="1"/>
    <col min="520" max="520" width="14.5703125" style="553" bestFit="1" customWidth="1"/>
    <col min="521" max="521" width="12.42578125" style="553" bestFit="1" customWidth="1"/>
    <col min="522" max="522" width="51.28515625" style="553" bestFit="1" customWidth="1"/>
    <col min="523" max="523" width="14.85546875" style="553" bestFit="1" customWidth="1"/>
    <col min="524" max="524" width="25" style="553" bestFit="1" customWidth="1"/>
    <col min="525" max="526" width="12.28515625" style="553" bestFit="1" customWidth="1"/>
    <col min="527" max="527" width="24.7109375" style="553" bestFit="1" customWidth="1"/>
    <col min="528" max="528" width="15" style="553" bestFit="1" customWidth="1"/>
    <col min="529" max="773" width="9.140625" style="553"/>
    <col min="774" max="774" width="6.42578125" style="553" bestFit="1" customWidth="1"/>
    <col min="775" max="775" width="32" style="553" bestFit="1" customWidth="1"/>
    <col min="776" max="776" width="14.5703125" style="553" bestFit="1" customWidth="1"/>
    <col min="777" max="777" width="12.42578125" style="553" bestFit="1" customWidth="1"/>
    <col min="778" max="778" width="51.28515625" style="553" bestFit="1" customWidth="1"/>
    <col min="779" max="779" width="14.85546875" style="553" bestFit="1" customWidth="1"/>
    <col min="780" max="780" width="25" style="553" bestFit="1" customWidth="1"/>
    <col min="781" max="782" width="12.28515625" style="553" bestFit="1" customWidth="1"/>
    <col min="783" max="783" width="24.7109375" style="553" bestFit="1" customWidth="1"/>
    <col min="784" max="784" width="15" style="553" bestFit="1" customWidth="1"/>
    <col min="785" max="1029" width="9.140625" style="553"/>
    <col min="1030" max="1030" width="6.42578125" style="553" bestFit="1" customWidth="1"/>
    <col min="1031" max="1031" width="32" style="553" bestFit="1" customWidth="1"/>
    <col min="1032" max="1032" width="14.5703125" style="553" bestFit="1" customWidth="1"/>
    <col min="1033" max="1033" width="12.42578125" style="553" bestFit="1" customWidth="1"/>
    <col min="1034" max="1034" width="51.28515625" style="553" bestFit="1" customWidth="1"/>
    <col min="1035" max="1035" width="14.85546875" style="553" bestFit="1" customWidth="1"/>
    <col min="1036" max="1036" width="25" style="553" bestFit="1" customWidth="1"/>
    <col min="1037" max="1038" width="12.28515625" style="553" bestFit="1" customWidth="1"/>
    <col min="1039" max="1039" width="24.7109375" style="553" bestFit="1" customWidth="1"/>
    <col min="1040" max="1040" width="15" style="553" bestFit="1" customWidth="1"/>
    <col min="1041" max="1285" width="9.140625" style="553"/>
    <col min="1286" max="1286" width="6.42578125" style="553" bestFit="1" customWidth="1"/>
    <col min="1287" max="1287" width="32" style="553" bestFit="1" customWidth="1"/>
    <col min="1288" max="1288" width="14.5703125" style="553" bestFit="1" customWidth="1"/>
    <col min="1289" max="1289" width="12.42578125" style="553" bestFit="1" customWidth="1"/>
    <col min="1290" max="1290" width="51.28515625" style="553" bestFit="1" customWidth="1"/>
    <col min="1291" max="1291" width="14.85546875" style="553" bestFit="1" customWidth="1"/>
    <col min="1292" max="1292" width="25" style="553" bestFit="1" customWidth="1"/>
    <col min="1293" max="1294" width="12.28515625" style="553" bestFit="1" customWidth="1"/>
    <col min="1295" max="1295" width="24.7109375" style="553" bestFit="1" customWidth="1"/>
    <col min="1296" max="1296" width="15" style="553" bestFit="1" customWidth="1"/>
    <col min="1297" max="1541" width="9.140625" style="553"/>
    <col min="1542" max="1542" width="6.42578125" style="553" bestFit="1" customWidth="1"/>
    <col min="1543" max="1543" width="32" style="553" bestFit="1" customWidth="1"/>
    <col min="1544" max="1544" width="14.5703125" style="553" bestFit="1" customWidth="1"/>
    <col min="1545" max="1545" width="12.42578125" style="553" bestFit="1" customWidth="1"/>
    <col min="1546" max="1546" width="51.28515625" style="553" bestFit="1" customWidth="1"/>
    <col min="1547" max="1547" width="14.85546875" style="553" bestFit="1" customWidth="1"/>
    <col min="1548" max="1548" width="25" style="553" bestFit="1" customWidth="1"/>
    <col min="1549" max="1550" width="12.28515625" style="553" bestFit="1" customWidth="1"/>
    <col min="1551" max="1551" width="24.7109375" style="553" bestFit="1" customWidth="1"/>
    <col min="1552" max="1552" width="15" style="553" bestFit="1" customWidth="1"/>
    <col min="1553" max="1797" width="9.140625" style="553"/>
    <col min="1798" max="1798" width="6.42578125" style="553" bestFit="1" customWidth="1"/>
    <col min="1799" max="1799" width="32" style="553" bestFit="1" customWidth="1"/>
    <col min="1800" max="1800" width="14.5703125" style="553" bestFit="1" customWidth="1"/>
    <col min="1801" max="1801" width="12.42578125" style="553" bestFit="1" customWidth="1"/>
    <col min="1802" max="1802" width="51.28515625" style="553" bestFit="1" customWidth="1"/>
    <col min="1803" max="1803" width="14.85546875" style="553" bestFit="1" customWidth="1"/>
    <col min="1804" max="1804" width="25" style="553" bestFit="1" customWidth="1"/>
    <col min="1805" max="1806" width="12.28515625" style="553" bestFit="1" customWidth="1"/>
    <col min="1807" max="1807" width="24.7109375" style="553" bestFit="1" customWidth="1"/>
    <col min="1808" max="1808" width="15" style="553" bestFit="1" customWidth="1"/>
    <col min="1809" max="2053" width="9.140625" style="553"/>
    <col min="2054" max="2054" width="6.42578125" style="553" bestFit="1" customWidth="1"/>
    <col min="2055" max="2055" width="32" style="553" bestFit="1" customWidth="1"/>
    <col min="2056" max="2056" width="14.5703125" style="553" bestFit="1" customWidth="1"/>
    <col min="2057" max="2057" width="12.42578125" style="553" bestFit="1" customWidth="1"/>
    <col min="2058" max="2058" width="51.28515625" style="553" bestFit="1" customWidth="1"/>
    <col min="2059" max="2059" width="14.85546875" style="553" bestFit="1" customWidth="1"/>
    <col min="2060" max="2060" width="25" style="553" bestFit="1" customWidth="1"/>
    <col min="2061" max="2062" width="12.28515625" style="553" bestFit="1" customWidth="1"/>
    <col min="2063" max="2063" width="24.7109375" style="553" bestFit="1" customWidth="1"/>
    <col min="2064" max="2064" width="15" style="553" bestFit="1" customWidth="1"/>
    <col min="2065" max="2309" width="9.140625" style="553"/>
    <col min="2310" max="2310" width="6.42578125" style="553" bestFit="1" customWidth="1"/>
    <col min="2311" max="2311" width="32" style="553" bestFit="1" customWidth="1"/>
    <col min="2312" max="2312" width="14.5703125" style="553" bestFit="1" customWidth="1"/>
    <col min="2313" max="2313" width="12.42578125" style="553" bestFit="1" customWidth="1"/>
    <col min="2314" max="2314" width="51.28515625" style="553" bestFit="1" customWidth="1"/>
    <col min="2315" max="2315" width="14.85546875" style="553" bestFit="1" customWidth="1"/>
    <col min="2316" max="2316" width="25" style="553" bestFit="1" customWidth="1"/>
    <col min="2317" max="2318" width="12.28515625" style="553" bestFit="1" customWidth="1"/>
    <col min="2319" max="2319" width="24.7109375" style="553" bestFit="1" customWidth="1"/>
    <col min="2320" max="2320" width="15" style="553" bestFit="1" customWidth="1"/>
    <col min="2321" max="2565" width="9.140625" style="553"/>
    <col min="2566" max="2566" width="6.42578125" style="553" bestFit="1" customWidth="1"/>
    <col min="2567" max="2567" width="32" style="553" bestFit="1" customWidth="1"/>
    <col min="2568" max="2568" width="14.5703125" style="553" bestFit="1" customWidth="1"/>
    <col min="2569" max="2569" width="12.42578125" style="553" bestFit="1" customWidth="1"/>
    <col min="2570" max="2570" width="51.28515625" style="553" bestFit="1" customWidth="1"/>
    <col min="2571" max="2571" width="14.85546875" style="553" bestFit="1" customWidth="1"/>
    <col min="2572" max="2572" width="25" style="553" bestFit="1" customWidth="1"/>
    <col min="2573" max="2574" width="12.28515625" style="553" bestFit="1" customWidth="1"/>
    <col min="2575" max="2575" width="24.7109375" style="553" bestFit="1" customWidth="1"/>
    <col min="2576" max="2576" width="15" style="553" bestFit="1" customWidth="1"/>
    <col min="2577" max="2821" width="9.140625" style="553"/>
    <col min="2822" max="2822" width="6.42578125" style="553" bestFit="1" customWidth="1"/>
    <col min="2823" max="2823" width="32" style="553" bestFit="1" customWidth="1"/>
    <col min="2824" max="2824" width="14.5703125" style="553" bestFit="1" customWidth="1"/>
    <col min="2825" max="2825" width="12.42578125" style="553" bestFit="1" customWidth="1"/>
    <col min="2826" max="2826" width="51.28515625" style="553" bestFit="1" customWidth="1"/>
    <col min="2827" max="2827" width="14.85546875" style="553" bestFit="1" customWidth="1"/>
    <col min="2828" max="2828" width="25" style="553" bestFit="1" customWidth="1"/>
    <col min="2829" max="2830" width="12.28515625" style="553" bestFit="1" customWidth="1"/>
    <col min="2831" max="2831" width="24.7109375" style="553" bestFit="1" customWidth="1"/>
    <col min="2832" max="2832" width="15" style="553" bestFit="1" customWidth="1"/>
    <col min="2833" max="3077" width="9.140625" style="553"/>
    <col min="3078" max="3078" width="6.42578125" style="553" bestFit="1" customWidth="1"/>
    <col min="3079" max="3079" width="32" style="553" bestFit="1" customWidth="1"/>
    <col min="3080" max="3080" width="14.5703125" style="553" bestFit="1" customWidth="1"/>
    <col min="3081" max="3081" width="12.42578125" style="553" bestFit="1" customWidth="1"/>
    <col min="3082" max="3082" width="51.28515625" style="553" bestFit="1" customWidth="1"/>
    <col min="3083" max="3083" width="14.85546875" style="553" bestFit="1" customWidth="1"/>
    <col min="3084" max="3084" width="25" style="553" bestFit="1" customWidth="1"/>
    <col min="3085" max="3086" width="12.28515625" style="553" bestFit="1" customWidth="1"/>
    <col min="3087" max="3087" width="24.7109375" style="553" bestFit="1" customWidth="1"/>
    <col min="3088" max="3088" width="15" style="553" bestFit="1" customWidth="1"/>
    <col min="3089" max="3333" width="9.140625" style="553"/>
    <col min="3334" max="3334" width="6.42578125" style="553" bestFit="1" customWidth="1"/>
    <col min="3335" max="3335" width="32" style="553" bestFit="1" customWidth="1"/>
    <col min="3336" max="3336" width="14.5703125" style="553" bestFit="1" customWidth="1"/>
    <col min="3337" max="3337" width="12.42578125" style="553" bestFit="1" customWidth="1"/>
    <col min="3338" max="3338" width="51.28515625" style="553" bestFit="1" customWidth="1"/>
    <col min="3339" max="3339" width="14.85546875" style="553" bestFit="1" customWidth="1"/>
    <col min="3340" max="3340" width="25" style="553" bestFit="1" customWidth="1"/>
    <col min="3341" max="3342" width="12.28515625" style="553" bestFit="1" customWidth="1"/>
    <col min="3343" max="3343" width="24.7109375" style="553" bestFit="1" customWidth="1"/>
    <col min="3344" max="3344" width="15" style="553" bestFit="1" customWidth="1"/>
    <col min="3345" max="3589" width="9.140625" style="553"/>
    <col min="3590" max="3590" width="6.42578125" style="553" bestFit="1" customWidth="1"/>
    <col min="3591" max="3591" width="32" style="553" bestFit="1" customWidth="1"/>
    <col min="3592" max="3592" width="14.5703125" style="553" bestFit="1" customWidth="1"/>
    <col min="3593" max="3593" width="12.42578125" style="553" bestFit="1" customWidth="1"/>
    <col min="3594" max="3594" width="51.28515625" style="553" bestFit="1" customWidth="1"/>
    <col min="3595" max="3595" width="14.85546875" style="553" bestFit="1" customWidth="1"/>
    <col min="3596" max="3596" width="25" style="553" bestFit="1" customWidth="1"/>
    <col min="3597" max="3598" width="12.28515625" style="553" bestFit="1" customWidth="1"/>
    <col min="3599" max="3599" width="24.7109375" style="553" bestFit="1" customWidth="1"/>
    <col min="3600" max="3600" width="15" style="553" bestFit="1" customWidth="1"/>
    <col min="3601" max="3845" width="9.140625" style="553"/>
    <col min="3846" max="3846" width="6.42578125" style="553" bestFit="1" customWidth="1"/>
    <col min="3847" max="3847" width="32" style="553" bestFit="1" customWidth="1"/>
    <col min="3848" max="3848" width="14.5703125" style="553" bestFit="1" customWidth="1"/>
    <col min="3849" max="3849" width="12.42578125" style="553" bestFit="1" customWidth="1"/>
    <col min="3850" max="3850" width="51.28515625" style="553" bestFit="1" customWidth="1"/>
    <col min="3851" max="3851" width="14.85546875" style="553" bestFit="1" customWidth="1"/>
    <col min="3852" max="3852" width="25" style="553" bestFit="1" customWidth="1"/>
    <col min="3853" max="3854" width="12.28515625" style="553" bestFit="1" customWidth="1"/>
    <col min="3855" max="3855" width="24.7109375" style="553" bestFit="1" customWidth="1"/>
    <col min="3856" max="3856" width="15" style="553" bestFit="1" customWidth="1"/>
    <col min="3857" max="4101" width="9.140625" style="553"/>
    <col min="4102" max="4102" width="6.42578125" style="553" bestFit="1" customWidth="1"/>
    <col min="4103" max="4103" width="32" style="553" bestFit="1" customWidth="1"/>
    <col min="4104" max="4104" width="14.5703125" style="553" bestFit="1" customWidth="1"/>
    <col min="4105" max="4105" width="12.42578125" style="553" bestFit="1" customWidth="1"/>
    <col min="4106" max="4106" width="51.28515625" style="553" bestFit="1" customWidth="1"/>
    <col min="4107" max="4107" width="14.85546875" style="553" bestFit="1" customWidth="1"/>
    <col min="4108" max="4108" width="25" style="553" bestFit="1" customWidth="1"/>
    <col min="4109" max="4110" width="12.28515625" style="553" bestFit="1" customWidth="1"/>
    <col min="4111" max="4111" width="24.7109375" style="553" bestFit="1" customWidth="1"/>
    <col min="4112" max="4112" width="15" style="553" bestFit="1" customWidth="1"/>
    <col min="4113" max="4357" width="9.140625" style="553"/>
    <col min="4358" max="4358" width="6.42578125" style="553" bestFit="1" customWidth="1"/>
    <col min="4359" max="4359" width="32" style="553" bestFit="1" customWidth="1"/>
    <col min="4360" max="4360" width="14.5703125" style="553" bestFit="1" customWidth="1"/>
    <col min="4361" max="4361" width="12.42578125" style="553" bestFit="1" customWidth="1"/>
    <col min="4362" max="4362" width="51.28515625" style="553" bestFit="1" customWidth="1"/>
    <col min="4363" max="4363" width="14.85546875" style="553" bestFit="1" customWidth="1"/>
    <col min="4364" max="4364" width="25" style="553" bestFit="1" customWidth="1"/>
    <col min="4365" max="4366" width="12.28515625" style="553" bestFit="1" customWidth="1"/>
    <col min="4367" max="4367" width="24.7109375" style="553" bestFit="1" customWidth="1"/>
    <col min="4368" max="4368" width="15" style="553" bestFit="1" customWidth="1"/>
    <col min="4369" max="4613" width="9.140625" style="553"/>
    <col min="4614" max="4614" width="6.42578125" style="553" bestFit="1" customWidth="1"/>
    <col min="4615" max="4615" width="32" style="553" bestFit="1" customWidth="1"/>
    <col min="4616" max="4616" width="14.5703125" style="553" bestFit="1" customWidth="1"/>
    <col min="4617" max="4617" width="12.42578125" style="553" bestFit="1" customWidth="1"/>
    <col min="4618" max="4618" width="51.28515625" style="553" bestFit="1" customWidth="1"/>
    <col min="4619" max="4619" width="14.85546875" style="553" bestFit="1" customWidth="1"/>
    <col min="4620" max="4620" width="25" style="553" bestFit="1" customWidth="1"/>
    <col min="4621" max="4622" width="12.28515625" style="553" bestFit="1" customWidth="1"/>
    <col min="4623" max="4623" width="24.7109375" style="553" bestFit="1" customWidth="1"/>
    <col min="4624" max="4624" width="15" style="553" bestFit="1" customWidth="1"/>
    <col min="4625" max="4869" width="9.140625" style="553"/>
    <col min="4870" max="4870" width="6.42578125" style="553" bestFit="1" customWidth="1"/>
    <col min="4871" max="4871" width="32" style="553" bestFit="1" customWidth="1"/>
    <col min="4872" max="4872" width="14.5703125" style="553" bestFit="1" customWidth="1"/>
    <col min="4873" max="4873" width="12.42578125" style="553" bestFit="1" customWidth="1"/>
    <col min="4874" max="4874" width="51.28515625" style="553" bestFit="1" customWidth="1"/>
    <col min="4875" max="4875" width="14.85546875" style="553" bestFit="1" customWidth="1"/>
    <col min="4876" max="4876" width="25" style="553" bestFit="1" customWidth="1"/>
    <col min="4877" max="4878" width="12.28515625" style="553" bestFit="1" customWidth="1"/>
    <col min="4879" max="4879" width="24.7109375" style="553" bestFit="1" customWidth="1"/>
    <col min="4880" max="4880" width="15" style="553" bestFit="1" customWidth="1"/>
    <col min="4881" max="5125" width="9.140625" style="553"/>
    <col min="5126" max="5126" width="6.42578125" style="553" bestFit="1" customWidth="1"/>
    <col min="5127" max="5127" width="32" style="553" bestFit="1" customWidth="1"/>
    <col min="5128" max="5128" width="14.5703125" style="553" bestFit="1" customWidth="1"/>
    <col min="5129" max="5129" width="12.42578125" style="553" bestFit="1" customWidth="1"/>
    <col min="5130" max="5130" width="51.28515625" style="553" bestFit="1" customWidth="1"/>
    <col min="5131" max="5131" width="14.85546875" style="553" bestFit="1" customWidth="1"/>
    <col min="5132" max="5132" width="25" style="553" bestFit="1" customWidth="1"/>
    <col min="5133" max="5134" width="12.28515625" style="553" bestFit="1" customWidth="1"/>
    <col min="5135" max="5135" width="24.7109375" style="553" bestFit="1" customWidth="1"/>
    <col min="5136" max="5136" width="15" style="553" bestFit="1" customWidth="1"/>
    <col min="5137" max="5381" width="9.140625" style="553"/>
    <col min="5382" max="5382" width="6.42578125" style="553" bestFit="1" customWidth="1"/>
    <col min="5383" max="5383" width="32" style="553" bestFit="1" customWidth="1"/>
    <col min="5384" max="5384" width="14.5703125" style="553" bestFit="1" customWidth="1"/>
    <col min="5385" max="5385" width="12.42578125" style="553" bestFit="1" customWidth="1"/>
    <col min="5386" max="5386" width="51.28515625" style="553" bestFit="1" customWidth="1"/>
    <col min="5387" max="5387" width="14.85546875" style="553" bestFit="1" customWidth="1"/>
    <col min="5388" max="5388" width="25" style="553" bestFit="1" customWidth="1"/>
    <col min="5389" max="5390" width="12.28515625" style="553" bestFit="1" customWidth="1"/>
    <col min="5391" max="5391" width="24.7109375" style="553" bestFit="1" customWidth="1"/>
    <col min="5392" max="5392" width="15" style="553" bestFit="1" customWidth="1"/>
    <col min="5393" max="5637" width="9.140625" style="553"/>
    <col min="5638" max="5638" width="6.42578125" style="553" bestFit="1" customWidth="1"/>
    <col min="5639" max="5639" width="32" style="553" bestFit="1" customWidth="1"/>
    <col min="5640" max="5640" width="14.5703125" style="553" bestFit="1" customWidth="1"/>
    <col min="5641" max="5641" width="12.42578125" style="553" bestFit="1" customWidth="1"/>
    <col min="5642" max="5642" width="51.28515625" style="553" bestFit="1" customWidth="1"/>
    <col min="5643" max="5643" width="14.85546875" style="553" bestFit="1" customWidth="1"/>
    <col min="5644" max="5644" width="25" style="553" bestFit="1" customWidth="1"/>
    <col min="5645" max="5646" width="12.28515625" style="553" bestFit="1" customWidth="1"/>
    <col min="5647" max="5647" width="24.7109375" style="553" bestFit="1" customWidth="1"/>
    <col min="5648" max="5648" width="15" style="553" bestFit="1" customWidth="1"/>
    <col min="5649" max="5893" width="9.140625" style="553"/>
    <col min="5894" max="5894" width="6.42578125" style="553" bestFit="1" customWidth="1"/>
    <col min="5895" max="5895" width="32" style="553" bestFit="1" customWidth="1"/>
    <col min="5896" max="5896" width="14.5703125" style="553" bestFit="1" customWidth="1"/>
    <col min="5897" max="5897" width="12.42578125" style="553" bestFit="1" customWidth="1"/>
    <col min="5898" max="5898" width="51.28515625" style="553" bestFit="1" customWidth="1"/>
    <col min="5899" max="5899" width="14.85546875" style="553" bestFit="1" customWidth="1"/>
    <col min="5900" max="5900" width="25" style="553" bestFit="1" customWidth="1"/>
    <col min="5901" max="5902" width="12.28515625" style="553" bestFit="1" customWidth="1"/>
    <col min="5903" max="5903" width="24.7109375" style="553" bestFit="1" customWidth="1"/>
    <col min="5904" max="5904" width="15" style="553" bestFit="1" customWidth="1"/>
    <col min="5905" max="6149" width="9.140625" style="553"/>
    <col min="6150" max="6150" width="6.42578125" style="553" bestFit="1" customWidth="1"/>
    <col min="6151" max="6151" width="32" style="553" bestFit="1" customWidth="1"/>
    <col min="6152" max="6152" width="14.5703125" style="553" bestFit="1" customWidth="1"/>
    <col min="6153" max="6153" width="12.42578125" style="553" bestFit="1" customWidth="1"/>
    <col min="6154" max="6154" width="51.28515625" style="553" bestFit="1" customWidth="1"/>
    <col min="6155" max="6155" width="14.85546875" style="553" bestFit="1" customWidth="1"/>
    <col min="6156" max="6156" width="25" style="553" bestFit="1" customWidth="1"/>
    <col min="6157" max="6158" width="12.28515625" style="553" bestFit="1" customWidth="1"/>
    <col min="6159" max="6159" width="24.7109375" style="553" bestFit="1" customWidth="1"/>
    <col min="6160" max="6160" width="15" style="553" bestFit="1" customWidth="1"/>
    <col min="6161" max="6405" width="9.140625" style="553"/>
    <col min="6406" max="6406" width="6.42578125" style="553" bestFit="1" customWidth="1"/>
    <col min="6407" max="6407" width="32" style="553" bestFit="1" customWidth="1"/>
    <col min="6408" max="6408" width="14.5703125" style="553" bestFit="1" customWidth="1"/>
    <col min="6409" max="6409" width="12.42578125" style="553" bestFit="1" customWidth="1"/>
    <col min="6410" max="6410" width="51.28515625" style="553" bestFit="1" customWidth="1"/>
    <col min="6411" max="6411" width="14.85546875" style="553" bestFit="1" customWidth="1"/>
    <col min="6412" max="6412" width="25" style="553" bestFit="1" customWidth="1"/>
    <col min="6413" max="6414" width="12.28515625" style="553" bestFit="1" customWidth="1"/>
    <col min="6415" max="6415" width="24.7109375" style="553" bestFit="1" customWidth="1"/>
    <col min="6416" max="6416" width="15" style="553" bestFit="1" customWidth="1"/>
    <col min="6417" max="6661" width="9.140625" style="553"/>
    <col min="6662" max="6662" width="6.42578125" style="553" bestFit="1" customWidth="1"/>
    <col min="6663" max="6663" width="32" style="553" bestFit="1" customWidth="1"/>
    <col min="6664" max="6664" width="14.5703125" style="553" bestFit="1" customWidth="1"/>
    <col min="6665" max="6665" width="12.42578125" style="553" bestFit="1" customWidth="1"/>
    <col min="6666" max="6666" width="51.28515625" style="553" bestFit="1" customWidth="1"/>
    <col min="6667" max="6667" width="14.85546875" style="553" bestFit="1" customWidth="1"/>
    <col min="6668" max="6668" width="25" style="553" bestFit="1" customWidth="1"/>
    <col min="6669" max="6670" width="12.28515625" style="553" bestFit="1" customWidth="1"/>
    <col min="6671" max="6671" width="24.7109375" style="553" bestFit="1" customWidth="1"/>
    <col min="6672" max="6672" width="15" style="553" bestFit="1" customWidth="1"/>
    <col min="6673" max="6917" width="9.140625" style="553"/>
    <col min="6918" max="6918" width="6.42578125" style="553" bestFit="1" customWidth="1"/>
    <col min="6919" max="6919" width="32" style="553" bestFit="1" customWidth="1"/>
    <col min="6920" max="6920" width="14.5703125" style="553" bestFit="1" customWidth="1"/>
    <col min="6921" max="6921" width="12.42578125" style="553" bestFit="1" customWidth="1"/>
    <col min="6922" max="6922" width="51.28515625" style="553" bestFit="1" customWidth="1"/>
    <col min="6923" max="6923" width="14.85546875" style="553" bestFit="1" customWidth="1"/>
    <col min="6924" max="6924" width="25" style="553" bestFit="1" customWidth="1"/>
    <col min="6925" max="6926" width="12.28515625" style="553" bestFit="1" customWidth="1"/>
    <col min="6927" max="6927" width="24.7109375" style="553" bestFit="1" customWidth="1"/>
    <col min="6928" max="6928" width="15" style="553" bestFit="1" customWidth="1"/>
    <col min="6929" max="7173" width="9.140625" style="553"/>
    <col min="7174" max="7174" width="6.42578125" style="553" bestFit="1" customWidth="1"/>
    <col min="7175" max="7175" width="32" style="553" bestFit="1" customWidth="1"/>
    <col min="7176" max="7176" width="14.5703125" style="553" bestFit="1" customWidth="1"/>
    <col min="7177" max="7177" width="12.42578125" style="553" bestFit="1" customWidth="1"/>
    <col min="7178" max="7178" width="51.28515625" style="553" bestFit="1" customWidth="1"/>
    <col min="7179" max="7179" width="14.85546875" style="553" bestFit="1" customWidth="1"/>
    <col min="7180" max="7180" width="25" style="553" bestFit="1" customWidth="1"/>
    <col min="7181" max="7182" width="12.28515625" style="553" bestFit="1" customWidth="1"/>
    <col min="7183" max="7183" width="24.7109375" style="553" bestFit="1" customWidth="1"/>
    <col min="7184" max="7184" width="15" style="553" bestFit="1" customWidth="1"/>
    <col min="7185" max="7429" width="9.140625" style="553"/>
    <col min="7430" max="7430" width="6.42578125" style="553" bestFit="1" customWidth="1"/>
    <col min="7431" max="7431" width="32" style="553" bestFit="1" customWidth="1"/>
    <col min="7432" max="7432" width="14.5703125" style="553" bestFit="1" customWidth="1"/>
    <col min="7433" max="7433" width="12.42578125" style="553" bestFit="1" customWidth="1"/>
    <col min="7434" max="7434" width="51.28515625" style="553" bestFit="1" customWidth="1"/>
    <col min="7435" max="7435" width="14.85546875" style="553" bestFit="1" customWidth="1"/>
    <col min="7436" max="7436" width="25" style="553" bestFit="1" customWidth="1"/>
    <col min="7437" max="7438" width="12.28515625" style="553" bestFit="1" customWidth="1"/>
    <col min="7439" max="7439" width="24.7109375" style="553" bestFit="1" customWidth="1"/>
    <col min="7440" max="7440" width="15" style="553" bestFit="1" customWidth="1"/>
    <col min="7441" max="7685" width="9.140625" style="553"/>
    <col min="7686" max="7686" width="6.42578125" style="553" bestFit="1" customWidth="1"/>
    <col min="7687" max="7687" width="32" style="553" bestFit="1" customWidth="1"/>
    <col min="7688" max="7688" width="14.5703125" style="553" bestFit="1" customWidth="1"/>
    <col min="7689" max="7689" width="12.42578125" style="553" bestFit="1" customWidth="1"/>
    <col min="7690" max="7690" width="51.28515625" style="553" bestFit="1" customWidth="1"/>
    <col min="7691" max="7691" width="14.85546875" style="553" bestFit="1" customWidth="1"/>
    <col min="7692" max="7692" width="25" style="553" bestFit="1" customWidth="1"/>
    <col min="7693" max="7694" width="12.28515625" style="553" bestFit="1" customWidth="1"/>
    <col min="7695" max="7695" width="24.7109375" style="553" bestFit="1" customWidth="1"/>
    <col min="7696" max="7696" width="15" style="553" bestFit="1" customWidth="1"/>
    <col min="7697" max="7941" width="9.140625" style="553"/>
    <col min="7942" max="7942" width="6.42578125" style="553" bestFit="1" customWidth="1"/>
    <col min="7943" max="7943" width="32" style="553" bestFit="1" customWidth="1"/>
    <col min="7944" max="7944" width="14.5703125" style="553" bestFit="1" customWidth="1"/>
    <col min="7945" max="7945" width="12.42578125" style="553" bestFit="1" customWidth="1"/>
    <col min="7946" max="7946" width="51.28515625" style="553" bestFit="1" customWidth="1"/>
    <col min="7947" max="7947" width="14.85546875" style="553" bestFit="1" customWidth="1"/>
    <col min="7948" max="7948" width="25" style="553" bestFit="1" customWidth="1"/>
    <col min="7949" max="7950" width="12.28515625" style="553" bestFit="1" customWidth="1"/>
    <col min="7951" max="7951" width="24.7109375" style="553" bestFit="1" customWidth="1"/>
    <col min="7952" max="7952" width="15" style="553" bestFit="1" customWidth="1"/>
    <col min="7953" max="8197" width="9.140625" style="553"/>
    <col min="8198" max="8198" width="6.42578125" style="553" bestFit="1" customWidth="1"/>
    <col min="8199" max="8199" width="32" style="553" bestFit="1" customWidth="1"/>
    <col min="8200" max="8200" width="14.5703125" style="553" bestFit="1" customWidth="1"/>
    <col min="8201" max="8201" width="12.42578125" style="553" bestFit="1" customWidth="1"/>
    <col min="8202" max="8202" width="51.28515625" style="553" bestFit="1" customWidth="1"/>
    <col min="8203" max="8203" width="14.85546875" style="553" bestFit="1" customWidth="1"/>
    <col min="8204" max="8204" width="25" style="553" bestFit="1" customWidth="1"/>
    <col min="8205" max="8206" width="12.28515625" style="553" bestFit="1" customWidth="1"/>
    <col min="8207" max="8207" width="24.7109375" style="553" bestFit="1" customWidth="1"/>
    <col min="8208" max="8208" width="15" style="553" bestFit="1" customWidth="1"/>
    <col min="8209" max="8453" width="9.140625" style="553"/>
    <col min="8454" max="8454" width="6.42578125" style="553" bestFit="1" customWidth="1"/>
    <col min="8455" max="8455" width="32" style="553" bestFit="1" customWidth="1"/>
    <col min="8456" max="8456" width="14.5703125" style="553" bestFit="1" customWidth="1"/>
    <col min="8457" max="8457" width="12.42578125" style="553" bestFit="1" customWidth="1"/>
    <col min="8458" max="8458" width="51.28515625" style="553" bestFit="1" customWidth="1"/>
    <col min="8459" max="8459" width="14.85546875" style="553" bestFit="1" customWidth="1"/>
    <col min="8460" max="8460" width="25" style="553" bestFit="1" customWidth="1"/>
    <col min="8461" max="8462" width="12.28515625" style="553" bestFit="1" customWidth="1"/>
    <col min="8463" max="8463" width="24.7109375" style="553" bestFit="1" customWidth="1"/>
    <col min="8464" max="8464" width="15" style="553" bestFit="1" customWidth="1"/>
    <col min="8465" max="8709" width="9.140625" style="553"/>
    <col min="8710" max="8710" width="6.42578125" style="553" bestFit="1" customWidth="1"/>
    <col min="8711" max="8711" width="32" style="553" bestFit="1" customWidth="1"/>
    <col min="8712" max="8712" width="14.5703125" style="553" bestFit="1" customWidth="1"/>
    <col min="8713" max="8713" width="12.42578125" style="553" bestFit="1" customWidth="1"/>
    <col min="8714" max="8714" width="51.28515625" style="553" bestFit="1" customWidth="1"/>
    <col min="8715" max="8715" width="14.85546875" style="553" bestFit="1" customWidth="1"/>
    <col min="8716" max="8716" width="25" style="553" bestFit="1" customWidth="1"/>
    <col min="8717" max="8718" width="12.28515625" style="553" bestFit="1" customWidth="1"/>
    <col min="8719" max="8719" width="24.7109375" style="553" bestFit="1" customWidth="1"/>
    <col min="8720" max="8720" width="15" style="553" bestFit="1" customWidth="1"/>
    <col min="8721" max="8965" width="9.140625" style="553"/>
    <col min="8966" max="8966" width="6.42578125" style="553" bestFit="1" customWidth="1"/>
    <col min="8967" max="8967" width="32" style="553" bestFit="1" customWidth="1"/>
    <col min="8968" max="8968" width="14.5703125" style="553" bestFit="1" customWidth="1"/>
    <col min="8969" max="8969" width="12.42578125" style="553" bestFit="1" customWidth="1"/>
    <col min="8970" max="8970" width="51.28515625" style="553" bestFit="1" customWidth="1"/>
    <col min="8971" max="8971" width="14.85546875" style="553" bestFit="1" customWidth="1"/>
    <col min="8972" max="8972" width="25" style="553" bestFit="1" customWidth="1"/>
    <col min="8973" max="8974" width="12.28515625" style="553" bestFit="1" customWidth="1"/>
    <col min="8975" max="8975" width="24.7109375" style="553" bestFit="1" customWidth="1"/>
    <col min="8976" max="8976" width="15" style="553" bestFit="1" customWidth="1"/>
    <col min="8977" max="9221" width="9.140625" style="553"/>
    <col min="9222" max="9222" width="6.42578125" style="553" bestFit="1" customWidth="1"/>
    <col min="9223" max="9223" width="32" style="553" bestFit="1" customWidth="1"/>
    <col min="9224" max="9224" width="14.5703125" style="553" bestFit="1" customWidth="1"/>
    <col min="9225" max="9225" width="12.42578125" style="553" bestFit="1" customWidth="1"/>
    <col min="9226" max="9226" width="51.28515625" style="553" bestFit="1" customWidth="1"/>
    <col min="9227" max="9227" width="14.85546875" style="553" bestFit="1" customWidth="1"/>
    <col min="9228" max="9228" width="25" style="553" bestFit="1" customWidth="1"/>
    <col min="9229" max="9230" width="12.28515625" style="553" bestFit="1" customWidth="1"/>
    <col min="9231" max="9231" width="24.7109375" style="553" bestFit="1" customWidth="1"/>
    <col min="9232" max="9232" width="15" style="553" bestFit="1" customWidth="1"/>
    <col min="9233" max="9477" width="9.140625" style="553"/>
    <col min="9478" max="9478" width="6.42578125" style="553" bestFit="1" customWidth="1"/>
    <col min="9479" max="9479" width="32" style="553" bestFit="1" customWidth="1"/>
    <col min="9480" max="9480" width="14.5703125" style="553" bestFit="1" customWidth="1"/>
    <col min="9481" max="9481" width="12.42578125" style="553" bestFit="1" customWidth="1"/>
    <col min="9482" max="9482" width="51.28515625" style="553" bestFit="1" customWidth="1"/>
    <col min="9483" max="9483" width="14.85546875" style="553" bestFit="1" customWidth="1"/>
    <col min="9484" max="9484" width="25" style="553" bestFit="1" customWidth="1"/>
    <col min="9485" max="9486" width="12.28515625" style="553" bestFit="1" customWidth="1"/>
    <col min="9487" max="9487" width="24.7109375" style="553" bestFit="1" customWidth="1"/>
    <col min="9488" max="9488" width="15" style="553" bestFit="1" customWidth="1"/>
    <col min="9489" max="9733" width="9.140625" style="553"/>
    <col min="9734" max="9734" width="6.42578125" style="553" bestFit="1" customWidth="1"/>
    <col min="9735" max="9735" width="32" style="553" bestFit="1" customWidth="1"/>
    <col min="9736" max="9736" width="14.5703125" style="553" bestFit="1" customWidth="1"/>
    <col min="9737" max="9737" width="12.42578125" style="553" bestFit="1" customWidth="1"/>
    <col min="9738" max="9738" width="51.28515625" style="553" bestFit="1" customWidth="1"/>
    <col min="9739" max="9739" width="14.85546875" style="553" bestFit="1" customWidth="1"/>
    <col min="9740" max="9740" width="25" style="553" bestFit="1" customWidth="1"/>
    <col min="9741" max="9742" width="12.28515625" style="553" bestFit="1" customWidth="1"/>
    <col min="9743" max="9743" width="24.7109375" style="553" bestFit="1" customWidth="1"/>
    <col min="9744" max="9744" width="15" style="553" bestFit="1" customWidth="1"/>
    <col min="9745" max="9989" width="9.140625" style="553"/>
    <col min="9990" max="9990" width="6.42578125" style="553" bestFit="1" customWidth="1"/>
    <col min="9991" max="9991" width="32" style="553" bestFit="1" customWidth="1"/>
    <col min="9992" max="9992" width="14.5703125" style="553" bestFit="1" customWidth="1"/>
    <col min="9993" max="9993" width="12.42578125" style="553" bestFit="1" customWidth="1"/>
    <col min="9994" max="9994" width="51.28515625" style="553" bestFit="1" customWidth="1"/>
    <col min="9995" max="9995" width="14.85546875" style="553" bestFit="1" customWidth="1"/>
    <col min="9996" max="9996" width="25" style="553" bestFit="1" customWidth="1"/>
    <col min="9997" max="9998" width="12.28515625" style="553" bestFit="1" customWidth="1"/>
    <col min="9999" max="9999" width="24.7109375" style="553" bestFit="1" customWidth="1"/>
    <col min="10000" max="10000" width="15" style="553" bestFit="1" customWidth="1"/>
    <col min="10001" max="10245" width="9.140625" style="553"/>
    <col min="10246" max="10246" width="6.42578125" style="553" bestFit="1" customWidth="1"/>
    <col min="10247" max="10247" width="32" style="553" bestFit="1" customWidth="1"/>
    <col min="10248" max="10248" width="14.5703125" style="553" bestFit="1" customWidth="1"/>
    <col min="10249" max="10249" width="12.42578125" style="553" bestFit="1" customWidth="1"/>
    <col min="10250" max="10250" width="51.28515625" style="553" bestFit="1" customWidth="1"/>
    <col min="10251" max="10251" width="14.85546875" style="553" bestFit="1" customWidth="1"/>
    <col min="10252" max="10252" width="25" style="553" bestFit="1" customWidth="1"/>
    <col min="10253" max="10254" width="12.28515625" style="553" bestFit="1" customWidth="1"/>
    <col min="10255" max="10255" width="24.7109375" style="553" bestFit="1" customWidth="1"/>
    <col min="10256" max="10256" width="15" style="553" bestFit="1" customWidth="1"/>
    <col min="10257" max="10501" width="9.140625" style="553"/>
    <col min="10502" max="10502" width="6.42578125" style="553" bestFit="1" customWidth="1"/>
    <col min="10503" max="10503" width="32" style="553" bestFit="1" customWidth="1"/>
    <col min="10504" max="10504" width="14.5703125" style="553" bestFit="1" customWidth="1"/>
    <col min="10505" max="10505" width="12.42578125" style="553" bestFit="1" customWidth="1"/>
    <col min="10506" max="10506" width="51.28515625" style="553" bestFit="1" customWidth="1"/>
    <col min="10507" max="10507" width="14.85546875" style="553" bestFit="1" customWidth="1"/>
    <col min="10508" max="10508" width="25" style="553" bestFit="1" customWidth="1"/>
    <col min="10509" max="10510" width="12.28515625" style="553" bestFit="1" customWidth="1"/>
    <col min="10511" max="10511" width="24.7109375" style="553" bestFit="1" customWidth="1"/>
    <col min="10512" max="10512" width="15" style="553" bestFit="1" customWidth="1"/>
    <col min="10513" max="10757" width="9.140625" style="553"/>
    <col min="10758" max="10758" width="6.42578125" style="553" bestFit="1" customWidth="1"/>
    <col min="10759" max="10759" width="32" style="553" bestFit="1" customWidth="1"/>
    <col min="10760" max="10760" width="14.5703125" style="553" bestFit="1" customWidth="1"/>
    <col min="10761" max="10761" width="12.42578125" style="553" bestFit="1" customWidth="1"/>
    <col min="10762" max="10762" width="51.28515625" style="553" bestFit="1" customWidth="1"/>
    <col min="10763" max="10763" width="14.85546875" style="553" bestFit="1" customWidth="1"/>
    <col min="10764" max="10764" width="25" style="553" bestFit="1" customWidth="1"/>
    <col min="10765" max="10766" width="12.28515625" style="553" bestFit="1" customWidth="1"/>
    <col min="10767" max="10767" width="24.7109375" style="553" bestFit="1" customWidth="1"/>
    <col min="10768" max="10768" width="15" style="553" bestFit="1" customWidth="1"/>
    <col min="10769" max="11013" width="9.140625" style="553"/>
    <col min="11014" max="11014" width="6.42578125" style="553" bestFit="1" customWidth="1"/>
    <col min="11015" max="11015" width="32" style="553" bestFit="1" customWidth="1"/>
    <col min="11016" max="11016" width="14.5703125" style="553" bestFit="1" customWidth="1"/>
    <col min="11017" max="11017" width="12.42578125" style="553" bestFit="1" customWidth="1"/>
    <col min="11018" max="11018" width="51.28515625" style="553" bestFit="1" customWidth="1"/>
    <col min="11019" max="11019" width="14.85546875" style="553" bestFit="1" customWidth="1"/>
    <col min="11020" max="11020" width="25" style="553" bestFit="1" customWidth="1"/>
    <col min="11021" max="11022" width="12.28515625" style="553" bestFit="1" customWidth="1"/>
    <col min="11023" max="11023" width="24.7109375" style="553" bestFit="1" customWidth="1"/>
    <col min="11024" max="11024" width="15" style="553" bestFit="1" customWidth="1"/>
    <col min="11025" max="11269" width="9.140625" style="553"/>
    <col min="11270" max="11270" width="6.42578125" style="553" bestFit="1" customWidth="1"/>
    <col min="11271" max="11271" width="32" style="553" bestFit="1" customWidth="1"/>
    <col min="11272" max="11272" width="14.5703125" style="553" bestFit="1" customWidth="1"/>
    <col min="11273" max="11273" width="12.42578125" style="553" bestFit="1" customWidth="1"/>
    <col min="11274" max="11274" width="51.28515625" style="553" bestFit="1" customWidth="1"/>
    <col min="11275" max="11275" width="14.85546875" style="553" bestFit="1" customWidth="1"/>
    <col min="11276" max="11276" width="25" style="553" bestFit="1" customWidth="1"/>
    <col min="11277" max="11278" width="12.28515625" style="553" bestFit="1" customWidth="1"/>
    <col min="11279" max="11279" width="24.7109375" style="553" bestFit="1" customWidth="1"/>
    <col min="11280" max="11280" width="15" style="553" bestFit="1" customWidth="1"/>
    <col min="11281" max="11525" width="9.140625" style="553"/>
    <col min="11526" max="11526" width="6.42578125" style="553" bestFit="1" customWidth="1"/>
    <col min="11527" max="11527" width="32" style="553" bestFit="1" customWidth="1"/>
    <col min="11528" max="11528" width="14.5703125" style="553" bestFit="1" customWidth="1"/>
    <col min="11529" max="11529" width="12.42578125" style="553" bestFit="1" customWidth="1"/>
    <col min="11530" max="11530" width="51.28515625" style="553" bestFit="1" customWidth="1"/>
    <col min="11531" max="11531" width="14.85546875" style="553" bestFit="1" customWidth="1"/>
    <col min="11532" max="11532" width="25" style="553" bestFit="1" customWidth="1"/>
    <col min="11533" max="11534" width="12.28515625" style="553" bestFit="1" customWidth="1"/>
    <col min="11535" max="11535" width="24.7109375" style="553" bestFit="1" customWidth="1"/>
    <col min="11536" max="11536" width="15" style="553" bestFit="1" customWidth="1"/>
    <col min="11537" max="11781" width="9.140625" style="553"/>
    <col min="11782" max="11782" width="6.42578125" style="553" bestFit="1" customWidth="1"/>
    <col min="11783" max="11783" width="32" style="553" bestFit="1" customWidth="1"/>
    <col min="11784" max="11784" width="14.5703125" style="553" bestFit="1" customWidth="1"/>
    <col min="11785" max="11785" width="12.42578125" style="553" bestFit="1" customWidth="1"/>
    <col min="11786" max="11786" width="51.28515625" style="553" bestFit="1" customWidth="1"/>
    <col min="11787" max="11787" width="14.85546875" style="553" bestFit="1" customWidth="1"/>
    <col min="11788" max="11788" width="25" style="553" bestFit="1" customWidth="1"/>
    <col min="11789" max="11790" width="12.28515625" style="553" bestFit="1" customWidth="1"/>
    <col min="11791" max="11791" width="24.7109375" style="553" bestFit="1" customWidth="1"/>
    <col min="11792" max="11792" width="15" style="553" bestFit="1" customWidth="1"/>
    <col min="11793" max="12037" width="9.140625" style="553"/>
    <col min="12038" max="12038" width="6.42578125" style="553" bestFit="1" customWidth="1"/>
    <col min="12039" max="12039" width="32" style="553" bestFit="1" customWidth="1"/>
    <col min="12040" max="12040" width="14.5703125" style="553" bestFit="1" customWidth="1"/>
    <col min="12041" max="12041" width="12.42578125" style="553" bestFit="1" customWidth="1"/>
    <col min="12042" max="12042" width="51.28515625" style="553" bestFit="1" customWidth="1"/>
    <col min="12043" max="12043" width="14.85546875" style="553" bestFit="1" customWidth="1"/>
    <col min="12044" max="12044" width="25" style="553" bestFit="1" customWidth="1"/>
    <col min="12045" max="12046" width="12.28515625" style="553" bestFit="1" customWidth="1"/>
    <col min="12047" max="12047" width="24.7109375" style="553" bestFit="1" customWidth="1"/>
    <col min="12048" max="12048" width="15" style="553" bestFit="1" customWidth="1"/>
    <col min="12049" max="12293" width="9.140625" style="553"/>
    <col min="12294" max="12294" width="6.42578125" style="553" bestFit="1" customWidth="1"/>
    <col min="12295" max="12295" width="32" style="553" bestFit="1" customWidth="1"/>
    <col min="12296" max="12296" width="14.5703125" style="553" bestFit="1" customWidth="1"/>
    <col min="12297" max="12297" width="12.42578125" style="553" bestFit="1" customWidth="1"/>
    <col min="12298" max="12298" width="51.28515625" style="553" bestFit="1" customWidth="1"/>
    <col min="12299" max="12299" width="14.85546875" style="553" bestFit="1" customWidth="1"/>
    <col min="12300" max="12300" width="25" style="553" bestFit="1" customWidth="1"/>
    <col min="12301" max="12302" width="12.28515625" style="553" bestFit="1" customWidth="1"/>
    <col min="12303" max="12303" width="24.7109375" style="553" bestFit="1" customWidth="1"/>
    <col min="12304" max="12304" width="15" style="553" bestFit="1" customWidth="1"/>
    <col min="12305" max="12549" width="9.140625" style="553"/>
    <col min="12550" max="12550" width="6.42578125" style="553" bestFit="1" customWidth="1"/>
    <col min="12551" max="12551" width="32" style="553" bestFit="1" customWidth="1"/>
    <col min="12552" max="12552" width="14.5703125" style="553" bestFit="1" customWidth="1"/>
    <col min="12553" max="12553" width="12.42578125" style="553" bestFit="1" customWidth="1"/>
    <col min="12554" max="12554" width="51.28515625" style="553" bestFit="1" customWidth="1"/>
    <col min="12555" max="12555" width="14.85546875" style="553" bestFit="1" customWidth="1"/>
    <col min="12556" max="12556" width="25" style="553" bestFit="1" customWidth="1"/>
    <col min="12557" max="12558" width="12.28515625" style="553" bestFit="1" customWidth="1"/>
    <col min="12559" max="12559" width="24.7109375" style="553" bestFit="1" customWidth="1"/>
    <col min="12560" max="12560" width="15" style="553" bestFit="1" customWidth="1"/>
    <col min="12561" max="12805" width="9.140625" style="553"/>
    <col min="12806" max="12806" width="6.42578125" style="553" bestFit="1" customWidth="1"/>
    <col min="12807" max="12807" width="32" style="553" bestFit="1" customWidth="1"/>
    <col min="12808" max="12808" width="14.5703125" style="553" bestFit="1" customWidth="1"/>
    <col min="12809" max="12809" width="12.42578125" style="553" bestFit="1" customWidth="1"/>
    <col min="12810" max="12810" width="51.28515625" style="553" bestFit="1" customWidth="1"/>
    <col min="12811" max="12811" width="14.85546875" style="553" bestFit="1" customWidth="1"/>
    <col min="12812" max="12812" width="25" style="553" bestFit="1" customWidth="1"/>
    <col min="12813" max="12814" width="12.28515625" style="553" bestFit="1" customWidth="1"/>
    <col min="12815" max="12815" width="24.7109375" style="553" bestFit="1" customWidth="1"/>
    <col min="12816" max="12816" width="15" style="553" bestFit="1" customWidth="1"/>
    <col min="12817" max="13061" width="9.140625" style="553"/>
    <col min="13062" max="13062" width="6.42578125" style="553" bestFit="1" customWidth="1"/>
    <col min="13063" max="13063" width="32" style="553" bestFit="1" customWidth="1"/>
    <col min="13064" max="13064" width="14.5703125" style="553" bestFit="1" customWidth="1"/>
    <col min="13065" max="13065" width="12.42578125" style="553" bestFit="1" customWidth="1"/>
    <col min="13066" max="13066" width="51.28515625" style="553" bestFit="1" customWidth="1"/>
    <col min="13067" max="13067" width="14.85546875" style="553" bestFit="1" customWidth="1"/>
    <col min="13068" max="13068" width="25" style="553" bestFit="1" customWidth="1"/>
    <col min="13069" max="13070" width="12.28515625" style="553" bestFit="1" customWidth="1"/>
    <col min="13071" max="13071" width="24.7109375" style="553" bestFit="1" customWidth="1"/>
    <col min="13072" max="13072" width="15" style="553" bestFit="1" customWidth="1"/>
    <col min="13073" max="13317" width="9.140625" style="553"/>
    <col min="13318" max="13318" width="6.42578125" style="553" bestFit="1" customWidth="1"/>
    <col min="13319" max="13319" width="32" style="553" bestFit="1" customWidth="1"/>
    <col min="13320" max="13320" width="14.5703125" style="553" bestFit="1" customWidth="1"/>
    <col min="13321" max="13321" width="12.42578125" style="553" bestFit="1" customWidth="1"/>
    <col min="13322" max="13322" width="51.28515625" style="553" bestFit="1" customWidth="1"/>
    <col min="13323" max="13323" width="14.85546875" style="553" bestFit="1" customWidth="1"/>
    <col min="13324" max="13324" width="25" style="553" bestFit="1" customWidth="1"/>
    <col min="13325" max="13326" width="12.28515625" style="553" bestFit="1" customWidth="1"/>
    <col min="13327" max="13327" width="24.7109375" style="553" bestFit="1" customWidth="1"/>
    <col min="13328" max="13328" width="15" style="553" bestFit="1" customWidth="1"/>
    <col min="13329" max="13573" width="9.140625" style="553"/>
    <col min="13574" max="13574" width="6.42578125" style="553" bestFit="1" customWidth="1"/>
    <col min="13575" max="13575" width="32" style="553" bestFit="1" customWidth="1"/>
    <col min="13576" max="13576" width="14.5703125" style="553" bestFit="1" customWidth="1"/>
    <col min="13577" max="13577" width="12.42578125" style="553" bestFit="1" customWidth="1"/>
    <col min="13578" max="13578" width="51.28515625" style="553" bestFit="1" customWidth="1"/>
    <col min="13579" max="13579" width="14.85546875" style="553" bestFit="1" customWidth="1"/>
    <col min="13580" max="13580" width="25" style="553" bestFit="1" customWidth="1"/>
    <col min="13581" max="13582" width="12.28515625" style="553" bestFit="1" customWidth="1"/>
    <col min="13583" max="13583" width="24.7109375" style="553" bestFit="1" customWidth="1"/>
    <col min="13584" max="13584" width="15" style="553" bestFit="1" customWidth="1"/>
    <col min="13585" max="13829" width="9.140625" style="553"/>
    <col min="13830" max="13830" width="6.42578125" style="553" bestFit="1" customWidth="1"/>
    <col min="13831" max="13831" width="32" style="553" bestFit="1" customWidth="1"/>
    <col min="13832" max="13832" width="14.5703125" style="553" bestFit="1" customWidth="1"/>
    <col min="13833" max="13833" width="12.42578125" style="553" bestFit="1" customWidth="1"/>
    <col min="13834" max="13834" width="51.28515625" style="553" bestFit="1" customWidth="1"/>
    <col min="13835" max="13835" width="14.85546875" style="553" bestFit="1" customWidth="1"/>
    <col min="13836" max="13836" width="25" style="553" bestFit="1" customWidth="1"/>
    <col min="13837" max="13838" width="12.28515625" style="553" bestFit="1" customWidth="1"/>
    <col min="13839" max="13839" width="24.7109375" style="553" bestFit="1" customWidth="1"/>
    <col min="13840" max="13840" width="15" style="553" bestFit="1" customWidth="1"/>
    <col min="13841" max="14085" width="9.140625" style="553"/>
    <col min="14086" max="14086" width="6.42578125" style="553" bestFit="1" customWidth="1"/>
    <col min="14087" max="14087" width="32" style="553" bestFit="1" customWidth="1"/>
    <col min="14088" max="14088" width="14.5703125" style="553" bestFit="1" customWidth="1"/>
    <col min="14089" max="14089" width="12.42578125" style="553" bestFit="1" customWidth="1"/>
    <col min="14090" max="14090" width="51.28515625" style="553" bestFit="1" customWidth="1"/>
    <col min="14091" max="14091" width="14.85546875" style="553" bestFit="1" customWidth="1"/>
    <col min="14092" max="14092" width="25" style="553" bestFit="1" customWidth="1"/>
    <col min="14093" max="14094" width="12.28515625" style="553" bestFit="1" customWidth="1"/>
    <col min="14095" max="14095" width="24.7109375" style="553" bestFit="1" customWidth="1"/>
    <col min="14096" max="14096" width="15" style="553" bestFit="1" customWidth="1"/>
    <col min="14097" max="14341" width="9.140625" style="553"/>
    <col min="14342" max="14342" width="6.42578125" style="553" bestFit="1" customWidth="1"/>
    <col min="14343" max="14343" width="32" style="553" bestFit="1" customWidth="1"/>
    <col min="14344" max="14344" width="14.5703125" style="553" bestFit="1" customWidth="1"/>
    <col min="14345" max="14345" width="12.42578125" style="553" bestFit="1" customWidth="1"/>
    <col min="14346" max="14346" width="51.28515625" style="553" bestFit="1" customWidth="1"/>
    <col min="14347" max="14347" width="14.85546875" style="553" bestFit="1" customWidth="1"/>
    <col min="14348" max="14348" width="25" style="553" bestFit="1" customWidth="1"/>
    <col min="14349" max="14350" width="12.28515625" style="553" bestFit="1" customWidth="1"/>
    <col min="14351" max="14351" width="24.7109375" style="553" bestFit="1" customWidth="1"/>
    <col min="14352" max="14352" width="15" style="553" bestFit="1" customWidth="1"/>
    <col min="14353" max="14597" width="9.140625" style="553"/>
    <col min="14598" max="14598" width="6.42578125" style="553" bestFit="1" customWidth="1"/>
    <col min="14599" max="14599" width="32" style="553" bestFit="1" customWidth="1"/>
    <col min="14600" max="14600" width="14.5703125" style="553" bestFit="1" customWidth="1"/>
    <col min="14601" max="14601" width="12.42578125" style="553" bestFit="1" customWidth="1"/>
    <col min="14602" max="14602" width="51.28515625" style="553" bestFit="1" customWidth="1"/>
    <col min="14603" max="14603" width="14.85546875" style="553" bestFit="1" customWidth="1"/>
    <col min="14604" max="14604" width="25" style="553" bestFit="1" customWidth="1"/>
    <col min="14605" max="14606" width="12.28515625" style="553" bestFit="1" customWidth="1"/>
    <col min="14607" max="14607" width="24.7109375" style="553" bestFit="1" customWidth="1"/>
    <col min="14608" max="14608" width="15" style="553" bestFit="1" customWidth="1"/>
    <col min="14609" max="14853" width="9.140625" style="553"/>
    <col min="14854" max="14854" width="6.42578125" style="553" bestFit="1" customWidth="1"/>
    <col min="14855" max="14855" width="32" style="553" bestFit="1" customWidth="1"/>
    <col min="14856" max="14856" width="14.5703125" style="553" bestFit="1" customWidth="1"/>
    <col min="14857" max="14857" width="12.42578125" style="553" bestFit="1" customWidth="1"/>
    <col min="14858" max="14858" width="51.28515625" style="553" bestFit="1" customWidth="1"/>
    <col min="14859" max="14859" width="14.85546875" style="553" bestFit="1" customWidth="1"/>
    <col min="14860" max="14860" width="25" style="553" bestFit="1" customWidth="1"/>
    <col min="14861" max="14862" width="12.28515625" style="553" bestFit="1" customWidth="1"/>
    <col min="14863" max="14863" width="24.7109375" style="553" bestFit="1" customWidth="1"/>
    <col min="14864" max="14864" width="15" style="553" bestFit="1" customWidth="1"/>
    <col min="14865" max="15109" width="9.140625" style="553"/>
    <col min="15110" max="15110" width="6.42578125" style="553" bestFit="1" customWidth="1"/>
    <col min="15111" max="15111" width="32" style="553" bestFit="1" customWidth="1"/>
    <col min="15112" max="15112" width="14.5703125" style="553" bestFit="1" customWidth="1"/>
    <col min="15113" max="15113" width="12.42578125" style="553" bestFit="1" customWidth="1"/>
    <col min="15114" max="15114" width="51.28515625" style="553" bestFit="1" customWidth="1"/>
    <col min="15115" max="15115" width="14.85546875" style="553" bestFit="1" customWidth="1"/>
    <col min="15116" max="15116" width="25" style="553" bestFit="1" customWidth="1"/>
    <col min="15117" max="15118" width="12.28515625" style="553" bestFit="1" customWidth="1"/>
    <col min="15119" max="15119" width="24.7109375" style="553" bestFit="1" customWidth="1"/>
    <col min="15120" max="15120" width="15" style="553" bestFit="1" customWidth="1"/>
    <col min="15121" max="15365" width="9.140625" style="553"/>
    <col min="15366" max="15366" width="6.42578125" style="553" bestFit="1" customWidth="1"/>
    <col min="15367" max="15367" width="32" style="553" bestFit="1" customWidth="1"/>
    <col min="15368" max="15368" width="14.5703125" style="553" bestFit="1" customWidth="1"/>
    <col min="15369" max="15369" width="12.42578125" style="553" bestFit="1" customWidth="1"/>
    <col min="15370" max="15370" width="51.28515625" style="553" bestFit="1" customWidth="1"/>
    <col min="15371" max="15371" width="14.85546875" style="553" bestFit="1" customWidth="1"/>
    <col min="15372" max="15372" width="25" style="553" bestFit="1" customWidth="1"/>
    <col min="15373" max="15374" width="12.28515625" style="553" bestFit="1" customWidth="1"/>
    <col min="15375" max="15375" width="24.7109375" style="553" bestFit="1" customWidth="1"/>
    <col min="15376" max="15376" width="15" style="553" bestFit="1" customWidth="1"/>
    <col min="15377" max="15621" width="9.140625" style="553"/>
    <col min="15622" max="15622" width="6.42578125" style="553" bestFit="1" customWidth="1"/>
    <col min="15623" max="15623" width="32" style="553" bestFit="1" customWidth="1"/>
    <col min="15624" max="15624" width="14.5703125" style="553" bestFit="1" customWidth="1"/>
    <col min="15625" max="15625" width="12.42578125" style="553" bestFit="1" customWidth="1"/>
    <col min="15626" max="15626" width="51.28515625" style="553" bestFit="1" customWidth="1"/>
    <col min="15627" max="15627" width="14.85546875" style="553" bestFit="1" customWidth="1"/>
    <col min="15628" max="15628" width="25" style="553" bestFit="1" customWidth="1"/>
    <col min="15629" max="15630" width="12.28515625" style="553" bestFit="1" customWidth="1"/>
    <col min="15631" max="15631" width="24.7109375" style="553" bestFit="1" customWidth="1"/>
    <col min="15632" max="15632" width="15" style="553" bestFit="1" customWidth="1"/>
    <col min="15633" max="15877" width="9.140625" style="553"/>
    <col min="15878" max="15878" width="6.42578125" style="553" bestFit="1" customWidth="1"/>
    <col min="15879" max="15879" width="32" style="553" bestFit="1" customWidth="1"/>
    <col min="15880" max="15880" width="14.5703125" style="553" bestFit="1" customWidth="1"/>
    <col min="15881" max="15881" width="12.42578125" style="553" bestFit="1" customWidth="1"/>
    <col min="15882" max="15882" width="51.28515625" style="553" bestFit="1" customWidth="1"/>
    <col min="15883" max="15883" width="14.85546875" style="553" bestFit="1" customWidth="1"/>
    <col min="15884" max="15884" width="25" style="553" bestFit="1" customWidth="1"/>
    <col min="15885" max="15886" width="12.28515625" style="553" bestFit="1" customWidth="1"/>
    <col min="15887" max="15887" width="24.7109375" style="553" bestFit="1" customWidth="1"/>
    <col min="15888" max="15888" width="15" style="553" bestFit="1" customWidth="1"/>
    <col min="15889" max="16133" width="9.140625" style="553"/>
    <col min="16134" max="16134" width="6.42578125" style="553" bestFit="1" customWidth="1"/>
    <col min="16135" max="16135" width="32" style="553" bestFit="1" customWidth="1"/>
    <col min="16136" max="16136" width="14.5703125" style="553" bestFit="1" customWidth="1"/>
    <col min="16137" max="16137" width="12.42578125" style="553" bestFit="1" customWidth="1"/>
    <col min="16138" max="16138" width="51.28515625" style="553" bestFit="1" customWidth="1"/>
    <col min="16139" max="16139" width="14.85546875" style="553" bestFit="1" customWidth="1"/>
    <col min="16140" max="16140" width="25" style="553" bestFit="1" customWidth="1"/>
    <col min="16141" max="16142" width="12.28515625" style="553" bestFit="1" customWidth="1"/>
    <col min="16143" max="16143" width="24.7109375" style="553" bestFit="1" customWidth="1"/>
    <col min="16144" max="16144" width="15" style="553" bestFit="1" customWidth="1"/>
    <col min="16145" max="16384" width="9.140625" style="553"/>
  </cols>
  <sheetData>
    <row r="1" spans="1:17" x14ac:dyDescent="0.65">
      <c r="A1" s="1308" t="s">
        <v>80</v>
      </c>
      <c r="B1" s="1308"/>
      <c r="C1" s="1308"/>
      <c r="D1" s="1308"/>
      <c r="E1" s="1308"/>
      <c r="F1" s="1308"/>
      <c r="G1" s="1308"/>
      <c r="H1" s="1308"/>
      <c r="I1" s="1308"/>
      <c r="J1" s="1308"/>
      <c r="K1" s="1308"/>
      <c r="L1" s="1308"/>
    </row>
    <row r="2" spans="1:17" x14ac:dyDescent="0.65">
      <c r="A2" s="1308" t="s">
        <v>539</v>
      </c>
      <c r="B2" s="1308"/>
      <c r="C2" s="1308"/>
      <c r="D2" s="1308"/>
      <c r="E2" s="1308"/>
      <c r="F2" s="1308"/>
      <c r="G2" s="1308"/>
      <c r="H2" s="1308"/>
      <c r="I2" s="1308"/>
      <c r="J2" s="1308"/>
      <c r="K2" s="1308"/>
      <c r="L2" s="1308"/>
    </row>
    <row r="3" spans="1:17" x14ac:dyDescent="0.65">
      <c r="A3" s="1309" t="str">
        <f>+รายจ่ายจริง!A3:P3</f>
        <v>ตั้งแต่วันที่ 1  ตุลาคม 2564 ถึงวันที่ 31 มกราคม 2565</v>
      </c>
      <c r="B3" s="1309"/>
      <c r="C3" s="1309"/>
      <c r="D3" s="1309"/>
      <c r="E3" s="1309"/>
      <c r="F3" s="1309"/>
      <c r="G3" s="1309"/>
      <c r="H3" s="1309"/>
      <c r="I3" s="1309"/>
      <c r="J3" s="1309"/>
      <c r="K3" s="1309"/>
      <c r="L3" s="1309"/>
    </row>
    <row r="4" spans="1:17" s="556" customFormat="1" ht="24" x14ac:dyDescent="0.55000000000000004">
      <c r="A4" s="554" t="s">
        <v>0</v>
      </c>
      <c r="B4" s="1298" t="s">
        <v>374</v>
      </c>
      <c r="C4" s="1298" t="s">
        <v>375</v>
      </c>
      <c r="D4" s="1298" t="s">
        <v>525</v>
      </c>
      <c r="E4" s="1299" t="s">
        <v>172</v>
      </c>
      <c r="F4" s="1298" t="s">
        <v>376</v>
      </c>
      <c r="G4" s="1300" t="s">
        <v>320</v>
      </c>
      <c r="H4" s="1304" t="s">
        <v>377</v>
      </c>
      <c r="I4" s="554" t="s">
        <v>17</v>
      </c>
      <c r="J4" s="1306" t="s">
        <v>535</v>
      </c>
      <c r="K4" s="554" t="s">
        <v>536</v>
      </c>
      <c r="L4" s="555" t="s">
        <v>618</v>
      </c>
      <c r="M4" s="1296" t="s">
        <v>526</v>
      </c>
      <c r="N4" s="1296" t="s">
        <v>527</v>
      </c>
      <c r="O4" s="1296" t="s">
        <v>528</v>
      </c>
      <c r="P4" s="556" t="s">
        <v>378</v>
      </c>
    </row>
    <row r="5" spans="1:17" s="556" customFormat="1" ht="24" x14ac:dyDescent="0.55000000000000004">
      <c r="A5" s="557" t="s">
        <v>58</v>
      </c>
      <c r="B5" s="1298"/>
      <c r="C5" s="1298"/>
      <c r="D5" s="1298"/>
      <c r="E5" s="1299"/>
      <c r="F5" s="1298"/>
      <c r="G5" s="1300"/>
      <c r="H5" s="1305"/>
      <c r="I5" s="557" t="s">
        <v>534</v>
      </c>
      <c r="J5" s="1307"/>
      <c r="K5" s="557" t="s">
        <v>81</v>
      </c>
      <c r="L5" s="558" t="s">
        <v>606</v>
      </c>
      <c r="M5" s="1297"/>
      <c r="N5" s="1297"/>
      <c r="O5" s="1297"/>
    </row>
    <row r="6" spans="1:17" s="567" customFormat="1" ht="38.25" customHeight="1" x14ac:dyDescent="0.55000000000000004">
      <c r="A6" s="559">
        <v>1</v>
      </c>
      <c r="B6" s="560" t="s">
        <v>107</v>
      </c>
      <c r="C6" s="559">
        <v>1600699998</v>
      </c>
      <c r="D6" s="559" t="s">
        <v>14</v>
      </c>
      <c r="E6" s="561" t="s">
        <v>514</v>
      </c>
      <c r="F6" s="559">
        <v>7014096956</v>
      </c>
      <c r="G6" s="562" t="s">
        <v>283</v>
      </c>
      <c r="H6" s="506">
        <v>43000</v>
      </c>
      <c r="I6" s="563">
        <v>43000</v>
      </c>
      <c r="J6" s="564">
        <f t="shared" ref="J6:J14" si="0">+H6-I6</f>
        <v>0</v>
      </c>
      <c r="K6" s="564">
        <f t="shared" ref="K6:K14" si="1">+I6*100/H6</f>
        <v>100</v>
      </c>
      <c r="L6" s="507" t="s">
        <v>285</v>
      </c>
      <c r="M6" s="565" t="s">
        <v>452</v>
      </c>
      <c r="N6" s="566" t="s">
        <v>453</v>
      </c>
      <c r="O6" s="566" t="s">
        <v>401</v>
      </c>
      <c r="P6" s="566" t="s">
        <v>454</v>
      </c>
    </row>
    <row r="7" spans="1:17" s="567" customFormat="1" ht="38.25" customHeight="1" x14ac:dyDescent="0.55000000000000004">
      <c r="A7" s="559">
        <v>2</v>
      </c>
      <c r="B7" s="560" t="s">
        <v>107</v>
      </c>
      <c r="C7" s="559">
        <v>1600699998</v>
      </c>
      <c r="D7" s="559" t="s">
        <v>14</v>
      </c>
      <c r="E7" s="561" t="s">
        <v>512</v>
      </c>
      <c r="F7" s="559">
        <v>7014150012</v>
      </c>
      <c r="G7" s="562" t="s">
        <v>523</v>
      </c>
      <c r="H7" s="506">
        <f>123750*3</f>
        <v>371250</v>
      </c>
      <c r="I7" s="563">
        <v>371250</v>
      </c>
      <c r="J7" s="564">
        <f t="shared" si="0"/>
        <v>0</v>
      </c>
      <c r="K7" s="564">
        <f t="shared" si="1"/>
        <v>100</v>
      </c>
      <c r="L7" s="507" t="s">
        <v>285</v>
      </c>
      <c r="M7" s="565" t="s">
        <v>456</v>
      </c>
      <c r="N7" s="566" t="s">
        <v>457</v>
      </c>
      <c r="O7" s="566" t="s">
        <v>401</v>
      </c>
      <c r="P7" s="566" t="s">
        <v>458</v>
      </c>
    </row>
    <row r="8" spans="1:17" s="567" customFormat="1" ht="38.25" customHeight="1" x14ac:dyDescent="0.55000000000000004">
      <c r="A8" s="559">
        <v>3</v>
      </c>
      <c r="B8" s="560" t="s">
        <v>107</v>
      </c>
      <c r="C8" s="559">
        <v>1600699998</v>
      </c>
      <c r="D8" s="559" t="s">
        <v>14</v>
      </c>
      <c r="E8" s="561" t="s">
        <v>514</v>
      </c>
      <c r="F8" s="559">
        <v>7014665430</v>
      </c>
      <c r="G8" s="562" t="s">
        <v>283</v>
      </c>
      <c r="H8" s="506">
        <v>41810</v>
      </c>
      <c r="I8" s="563">
        <v>41810</v>
      </c>
      <c r="J8" s="564">
        <f t="shared" si="0"/>
        <v>0</v>
      </c>
      <c r="K8" s="564">
        <f t="shared" si="1"/>
        <v>100</v>
      </c>
      <c r="L8" s="507" t="s">
        <v>285</v>
      </c>
      <c r="M8" s="565" t="s">
        <v>452</v>
      </c>
      <c r="N8" s="566" t="s">
        <v>463</v>
      </c>
      <c r="O8" s="566" t="s">
        <v>401</v>
      </c>
      <c r="P8" s="566" t="s">
        <v>454</v>
      </c>
    </row>
    <row r="9" spans="1:17" s="567" customFormat="1" ht="38.25" customHeight="1" x14ac:dyDescent="0.55000000000000004">
      <c r="A9" s="559">
        <v>4</v>
      </c>
      <c r="B9" s="560" t="s">
        <v>107</v>
      </c>
      <c r="C9" s="559">
        <v>1600600004</v>
      </c>
      <c r="D9" s="559" t="s">
        <v>14</v>
      </c>
      <c r="E9" s="561" t="s">
        <v>514</v>
      </c>
      <c r="F9" s="559">
        <v>7014789388</v>
      </c>
      <c r="G9" s="562" t="s">
        <v>521</v>
      </c>
      <c r="H9" s="506">
        <v>280730</v>
      </c>
      <c r="I9" s="563">
        <v>280730</v>
      </c>
      <c r="J9" s="564">
        <f t="shared" si="0"/>
        <v>0</v>
      </c>
      <c r="K9" s="564">
        <f t="shared" si="1"/>
        <v>100</v>
      </c>
      <c r="L9" s="507" t="s">
        <v>285</v>
      </c>
      <c r="M9" s="565" t="s">
        <v>474</v>
      </c>
      <c r="N9" s="566" t="s">
        <v>387</v>
      </c>
      <c r="O9" s="566" t="s">
        <v>475</v>
      </c>
      <c r="P9" s="566" t="s">
        <v>476</v>
      </c>
    </row>
    <row r="10" spans="1:17" s="567" customFormat="1" ht="38.25" customHeight="1" x14ac:dyDescent="0.55000000000000004">
      <c r="A10" s="559">
        <v>5</v>
      </c>
      <c r="B10" s="560" t="s">
        <v>107</v>
      </c>
      <c r="C10" s="559">
        <v>1600600005</v>
      </c>
      <c r="D10" s="559" t="s">
        <v>14</v>
      </c>
      <c r="E10" s="561" t="s">
        <v>514</v>
      </c>
      <c r="F10" s="559">
        <v>7014934640</v>
      </c>
      <c r="G10" s="562" t="s">
        <v>704</v>
      </c>
      <c r="H10" s="506">
        <v>7500</v>
      </c>
      <c r="I10" s="563">
        <v>7500</v>
      </c>
      <c r="J10" s="564">
        <f t="shared" si="0"/>
        <v>0</v>
      </c>
      <c r="K10" s="564">
        <f t="shared" si="1"/>
        <v>100</v>
      </c>
      <c r="L10" s="507" t="s">
        <v>285</v>
      </c>
      <c r="M10" s="565" t="s">
        <v>480</v>
      </c>
      <c r="N10" s="566" t="s">
        <v>422</v>
      </c>
      <c r="O10" s="566" t="s">
        <v>397</v>
      </c>
      <c r="P10" s="566" t="s">
        <v>455</v>
      </c>
    </row>
    <row r="11" spans="1:17" s="567" customFormat="1" ht="58.5" customHeight="1" x14ac:dyDescent="0.55000000000000004">
      <c r="A11" s="559">
        <v>6</v>
      </c>
      <c r="B11" s="560" t="s">
        <v>107</v>
      </c>
      <c r="C11" s="559">
        <v>1600600006</v>
      </c>
      <c r="D11" s="559" t="s">
        <v>14</v>
      </c>
      <c r="E11" s="561" t="s">
        <v>514</v>
      </c>
      <c r="F11" s="559">
        <v>7015013787</v>
      </c>
      <c r="G11" s="511" t="s">
        <v>538</v>
      </c>
      <c r="H11" s="506">
        <v>799000</v>
      </c>
      <c r="I11" s="563">
        <f>799000</f>
        <v>799000</v>
      </c>
      <c r="J11" s="564">
        <f t="shared" si="0"/>
        <v>0</v>
      </c>
      <c r="K11" s="564">
        <f t="shared" si="1"/>
        <v>100</v>
      </c>
      <c r="L11" s="507" t="s">
        <v>822</v>
      </c>
      <c r="M11" s="565" t="s">
        <v>477</v>
      </c>
      <c r="N11" s="566" t="s">
        <v>481</v>
      </c>
      <c r="O11" s="566" t="s">
        <v>482</v>
      </c>
      <c r="P11" s="566" t="s">
        <v>478</v>
      </c>
    </row>
    <row r="12" spans="1:17" s="567" customFormat="1" ht="222" customHeight="1" x14ac:dyDescent="0.55000000000000004">
      <c r="A12" s="559">
        <v>7</v>
      </c>
      <c r="B12" s="560" t="s">
        <v>107</v>
      </c>
      <c r="C12" s="559">
        <v>1600699998</v>
      </c>
      <c r="D12" s="559" t="s">
        <v>14</v>
      </c>
      <c r="E12" s="561" t="s">
        <v>512</v>
      </c>
      <c r="F12" s="675" t="s">
        <v>709</v>
      </c>
      <c r="G12" s="511" t="s">
        <v>498</v>
      </c>
      <c r="H12" s="506">
        <v>5772752.96</v>
      </c>
      <c r="I12" s="505">
        <v>4784179.1500000004</v>
      </c>
      <c r="J12" s="510">
        <f t="shared" si="0"/>
        <v>988573.80999999959</v>
      </c>
      <c r="K12" s="564">
        <f t="shared" si="1"/>
        <v>82.875175555754268</v>
      </c>
      <c r="L12" s="568" t="s">
        <v>728</v>
      </c>
      <c r="M12" s="565" t="s">
        <v>499</v>
      </c>
      <c r="N12" s="566" t="s">
        <v>400</v>
      </c>
      <c r="O12" s="566" t="s">
        <v>484</v>
      </c>
      <c r="P12" s="566" t="s">
        <v>500</v>
      </c>
      <c r="Q12" s="569"/>
    </row>
    <row r="13" spans="1:17" s="567" customFormat="1" ht="26.25" customHeight="1" x14ac:dyDescent="0.55000000000000004">
      <c r="A13" s="559">
        <v>8</v>
      </c>
      <c r="B13" s="560" t="s">
        <v>417</v>
      </c>
      <c r="C13" s="559">
        <v>1600600453</v>
      </c>
      <c r="D13" s="559" t="s">
        <v>14</v>
      </c>
      <c r="E13" s="561" t="s">
        <v>512</v>
      </c>
      <c r="F13" s="559">
        <v>7015155496</v>
      </c>
      <c r="G13" s="562" t="s">
        <v>524</v>
      </c>
      <c r="H13" s="506">
        <v>17983</v>
      </c>
      <c r="I13" s="563">
        <v>17983</v>
      </c>
      <c r="J13" s="564">
        <f t="shared" si="0"/>
        <v>0</v>
      </c>
      <c r="K13" s="564">
        <f t="shared" si="1"/>
        <v>100</v>
      </c>
      <c r="L13" s="507" t="s">
        <v>285</v>
      </c>
      <c r="M13" s="565" t="s">
        <v>418</v>
      </c>
      <c r="N13" s="566" t="s">
        <v>419</v>
      </c>
      <c r="O13" s="566" t="s">
        <v>420</v>
      </c>
      <c r="P13" s="566" t="s">
        <v>421</v>
      </c>
    </row>
    <row r="14" spans="1:17" s="567" customFormat="1" ht="26.25" customHeight="1" x14ac:dyDescent="0.55000000000000004">
      <c r="A14" s="559">
        <v>9</v>
      </c>
      <c r="B14" s="560" t="s">
        <v>406</v>
      </c>
      <c r="C14" s="559">
        <v>1600600711</v>
      </c>
      <c r="D14" s="559" t="s">
        <v>14</v>
      </c>
      <c r="E14" s="561" t="s">
        <v>512</v>
      </c>
      <c r="F14" s="559">
        <v>7015264822</v>
      </c>
      <c r="G14" s="570" t="s">
        <v>529</v>
      </c>
      <c r="H14" s="506">
        <v>204000</v>
      </c>
      <c r="I14" s="563">
        <v>204000</v>
      </c>
      <c r="J14" s="564">
        <f t="shared" si="0"/>
        <v>0</v>
      </c>
      <c r="K14" s="564">
        <f t="shared" si="1"/>
        <v>100</v>
      </c>
      <c r="L14" s="507" t="s">
        <v>285</v>
      </c>
      <c r="M14" s="565" t="s">
        <v>407</v>
      </c>
      <c r="N14" s="566" t="s">
        <v>408</v>
      </c>
      <c r="O14" s="566" t="s">
        <v>401</v>
      </c>
      <c r="P14" s="566" t="s">
        <v>409</v>
      </c>
    </row>
    <row r="15" spans="1:17" s="567" customFormat="1" ht="26.25" customHeight="1" x14ac:dyDescent="0.55000000000000004">
      <c r="A15" s="559">
        <v>10</v>
      </c>
      <c r="B15" s="560" t="s">
        <v>406</v>
      </c>
      <c r="C15" s="559">
        <v>1600600711</v>
      </c>
      <c r="D15" s="559" t="s">
        <v>14</v>
      </c>
      <c r="E15" s="561" t="s">
        <v>512</v>
      </c>
      <c r="F15" s="559">
        <v>7015272951</v>
      </c>
      <c r="G15" s="570" t="s">
        <v>530</v>
      </c>
      <c r="H15" s="506">
        <v>154404.6</v>
      </c>
      <c r="I15" s="563">
        <v>154404.6</v>
      </c>
      <c r="J15" s="564">
        <f t="shared" ref="J15:J20" si="2">+H15-I15</f>
        <v>0</v>
      </c>
      <c r="K15" s="564">
        <f t="shared" ref="K15:K21" si="3">+I15*100/H15</f>
        <v>100</v>
      </c>
      <c r="L15" s="507" t="s">
        <v>285</v>
      </c>
      <c r="M15" s="565" t="s">
        <v>410</v>
      </c>
      <c r="N15" s="566" t="s">
        <v>400</v>
      </c>
      <c r="O15" s="566" t="s">
        <v>401</v>
      </c>
      <c r="P15" s="566" t="s">
        <v>411</v>
      </c>
    </row>
    <row r="16" spans="1:17" s="567" customFormat="1" ht="26.25" customHeight="1" x14ac:dyDescent="0.55000000000000004">
      <c r="A16" s="559">
        <v>11</v>
      </c>
      <c r="B16" s="560" t="s">
        <v>107</v>
      </c>
      <c r="C16" s="559">
        <v>1600600011</v>
      </c>
      <c r="D16" s="559" t="s">
        <v>14</v>
      </c>
      <c r="E16" s="561" t="s">
        <v>514</v>
      </c>
      <c r="F16" s="559">
        <v>7014733954</v>
      </c>
      <c r="G16" s="562" t="s">
        <v>469</v>
      </c>
      <c r="H16" s="506">
        <v>147660</v>
      </c>
      <c r="I16" s="563">
        <v>147660</v>
      </c>
      <c r="J16" s="564">
        <f t="shared" si="2"/>
        <v>0</v>
      </c>
      <c r="K16" s="564">
        <f>+I16*100/H16</f>
        <v>100</v>
      </c>
      <c r="L16" s="507" t="s">
        <v>285</v>
      </c>
      <c r="M16" s="565" t="s">
        <v>470</v>
      </c>
      <c r="N16" s="566" t="s">
        <v>471</v>
      </c>
      <c r="O16" s="566" t="s">
        <v>472</v>
      </c>
      <c r="P16" s="566" t="s">
        <v>473</v>
      </c>
    </row>
    <row r="17" spans="1:16" s="567" customFormat="1" ht="26.25" customHeight="1" x14ac:dyDescent="0.55000000000000004">
      <c r="A17" s="559">
        <v>12</v>
      </c>
      <c r="B17" s="560" t="s">
        <v>107</v>
      </c>
      <c r="C17" s="559">
        <v>1600699998</v>
      </c>
      <c r="D17" s="559" t="s">
        <v>14</v>
      </c>
      <c r="E17" s="561" t="s">
        <v>514</v>
      </c>
      <c r="F17" s="559">
        <v>7015254174</v>
      </c>
      <c r="G17" s="562" t="s">
        <v>493</v>
      </c>
      <c r="H17" s="506">
        <v>5700000</v>
      </c>
      <c r="I17" s="563">
        <v>5700000</v>
      </c>
      <c r="J17" s="564">
        <f t="shared" si="2"/>
        <v>0</v>
      </c>
      <c r="K17" s="564">
        <f>+I17*100/H17</f>
        <v>100</v>
      </c>
      <c r="L17" s="507" t="s">
        <v>285</v>
      </c>
      <c r="M17" s="565" t="s">
        <v>452</v>
      </c>
      <c r="N17" s="566" t="s">
        <v>490</v>
      </c>
      <c r="O17" s="566" t="s">
        <v>494</v>
      </c>
      <c r="P17" s="566" t="s">
        <v>495</v>
      </c>
    </row>
    <row r="18" spans="1:16" s="567" customFormat="1" ht="61.5" customHeight="1" x14ac:dyDescent="0.55000000000000004">
      <c r="A18" s="559">
        <v>13</v>
      </c>
      <c r="B18" s="560" t="s">
        <v>433</v>
      </c>
      <c r="C18" s="559">
        <v>1600600220</v>
      </c>
      <c r="D18" s="559" t="s">
        <v>14</v>
      </c>
      <c r="E18" s="561" t="s">
        <v>512</v>
      </c>
      <c r="F18" s="559">
        <v>2000459990</v>
      </c>
      <c r="G18" s="562" t="s">
        <v>282</v>
      </c>
      <c r="H18" s="506">
        <v>55800</v>
      </c>
      <c r="I18" s="563">
        <v>0</v>
      </c>
      <c r="J18" s="564">
        <f t="shared" si="2"/>
        <v>55800</v>
      </c>
      <c r="K18" s="564">
        <f>+I18*100/H18</f>
        <v>0</v>
      </c>
      <c r="L18" s="681" t="s">
        <v>708</v>
      </c>
      <c r="M18" s="565" t="s">
        <v>434</v>
      </c>
      <c r="N18" s="566" t="s">
        <v>435</v>
      </c>
      <c r="O18" s="566" t="s">
        <v>401</v>
      </c>
      <c r="P18" s="566" t="s">
        <v>436</v>
      </c>
    </row>
    <row r="19" spans="1:16" s="567" customFormat="1" ht="33.75" customHeight="1" x14ac:dyDescent="0.55000000000000004">
      <c r="A19" s="559">
        <v>14</v>
      </c>
      <c r="B19" s="560" t="s">
        <v>107</v>
      </c>
      <c r="C19" s="559">
        <v>1600699998</v>
      </c>
      <c r="D19" s="559" t="s">
        <v>14</v>
      </c>
      <c r="E19" s="561" t="s">
        <v>512</v>
      </c>
      <c r="F19" s="559">
        <v>7014299345</v>
      </c>
      <c r="G19" s="562" t="s">
        <v>522</v>
      </c>
      <c r="H19" s="506">
        <v>141240</v>
      </c>
      <c r="I19" s="563">
        <v>141240</v>
      </c>
      <c r="J19" s="564">
        <f t="shared" si="2"/>
        <v>0</v>
      </c>
      <c r="K19" s="564">
        <f>+I19*100/H19</f>
        <v>100</v>
      </c>
      <c r="L19" s="507" t="s">
        <v>285</v>
      </c>
      <c r="M19" s="565" t="s">
        <v>459</v>
      </c>
      <c r="N19" s="566" t="s">
        <v>460</v>
      </c>
      <c r="O19" s="566" t="s">
        <v>461</v>
      </c>
      <c r="P19" s="566" t="s">
        <v>462</v>
      </c>
    </row>
    <row r="20" spans="1:16" s="567" customFormat="1" ht="33.75" customHeight="1" x14ac:dyDescent="0.55000000000000004">
      <c r="A20" s="559">
        <v>15</v>
      </c>
      <c r="B20" s="560" t="s">
        <v>412</v>
      </c>
      <c r="C20" s="559">
        <v>1600600013</v>
      </c>
      <c r="D20" s="559" t="s">
        <v>14</v>
      </c>
      <c r="E20" s="561" t="s">
        <v>512</v>
      </c>
      <c r="F20" s="559">
        <v>7014896495</v>
      </c>
      <c r="G20" s="562" t="s">
        <v>413</v>
      </c>
      <c r="H20" s="506">
        <v>2782</v>
      </c>
      <c r="I20" s="563">
        <v>2782</v>
      </c>
      <c r="J20" s="564">
        <f t="shared" si="2"/>
        <v>0</v>
      </c>
      <c r="K20" s="564">
        <f t="shared" si="3"/>
        <v>100</v>
      </c>
      <c r="L20" s="507" t="s">
        <v>285</v>
      </c>
      <c r="M20" s="565" t="s">
        <v>414</v>
      </c>
      <c r="N20" s="566" t="s">
        <v>415</v>
      </c>
      <c r="O20" s="566" t="s">
        <v>399</v>
      </c>
      <c r="P20" s="566" t="s">
        <v>416</v>
      </c>
    </row>
    <row r="21" spans="1:16" s="55" customFormat="1" ht="33.75" customHeight="1" x14ac:dyDescent="0.5">
      <c r="A21" s="1122" t="s">
        <v>532</v>
      </c>
      <c r="B21" s="1123"/>
      <c r="C21" s="1123"/>
      <c r="D21" s="1123"/>
      <c r="E21" s="1123"/>
      <c r="F21" s="1123"/>
      <c r="G21" s="1124"/>
      <c r="H21" s="571">
        <f>SUM(H6:H20)</f>
        <v>13739912.559999999</v>
      </c>
      <c r="I21" s="571">
        <f>SUM(I6:I20)</f>
        <v>12695538.75</v>
      </c>
      <c r="J21" s="674">
        <f>SUM(J6:J20)</f>
        <v>1044373.8099999996</v>
      </c>
      <c r="K21" s="572">
        <f t="shared" si="3"/>
        <v>92.398977755939967</v>
      </c>
      <c r="L21" s="573"/>
      <c r="M21" s="574"/>
      <c r="N21" s="64"/>
      <c r="O21" s="64"/>
      <c r="P21" s="64"/>
    </row>
    <row r="22" spans="1:16" s="567" customFormat="1" ht="33.75" customHeight="1" x14ac:dyDescent="0.55000000000000004">
      <c r="A22" s="559">
        <v>16</v>
      </c>
      <c r="B22" s="560" t="s">
        <v>107</v>
      </c>
      <c r="C22" s="559">
        <v>1600699998</v>
      </c>
      <c r="D22" s="559" t="s">
        <v>15</v>
      </c>
      <c r="E22" s="561" t="s">
        <v>513</v>
      </c>
      <c r="F22" s="559">
        <v>7014716158</v>
      </c>
      <c r="G22" s="562" t="s">
        <v>464</v>
      </c>
      <c r="H22" s="506">
        <v>2274000</v>
      </c>
      <c r="I22" s="563">
        <v>2274000</v>
      </c>
      <c r="J22" s="564">
        <f t="shared" ref="J22:J31" si="4">+H22-I22</f>
        <v>0</v>
      </c>
      <c r="K22" s="564">
        <f t="shared" ref="K22:K31" si="5">+I22*100/H22</f>
        <v>100</v>
      </c>
      <c r="L22" s="507" t="s">
        <v>285</v>
      </c>
      <c r="M22" s="565" t="s">
        <v>465</v>
      </c>
      <c r="N22" s="566" t="s">
        <v>466</v>
      </c>
      <c r="O22" s="566" t="s">
        <v>467</v>
      </c>
      <c r="P22" s="566" t="s">
        <v>468</v>
      </c>
    </row>
    <row r="23" spans="1:16" s="567" customFormat="1" ht="33.75" customHeight="1" x14ac:dyDescent="0.55000000000000004">
      <c r="A23" s="559">
        <v>17</v>
      </c>
      <c r="B23" s="560" t="s">
        <v>107</v>
      </c>
      <c r="C23" s="559">
        <v>1600600011</v>
      </c>
      <c r="D23" s="559" t="s">
        <v>15</v>
      </c>
      <c r="E23" s="561" t="s">
        <v>517</v>
      </c>
      <c r="F23" s="559">
        <v>7015248976</v>
      </c>
      <c r="G23" s="562" t="s">
        <v>518</v>
      </c>
      <c r="H23" s="506">
        <v>500000</v>
      </c>
      <c r="I23" s="563">
        <v>500000</v>
      </c>
      <c r="J23" s="564">
        <f t="shared" si="4"/>
        <v>0</v>
      </c>
      <c r="K23" s="564">
        <f t="shared" si="5"/>
        <v>100</v>
      </c>
      <c r="L23" s="507" t="s">
        <v>285</v>
      </c>
      <c r="M23" s="565" t="s">
        <v>489</v>
      </c>
      <c r="N23" s="566" t="s">
        <v>490</v>
      </c>
      <c r="O23" s="566" t="s">
        <v>491</v>
      </c>
      <c r="P23" s="566" t="s">
        <v>492</v>
      </c>
    </row>
    <row r="24" spans="1:16" s="567" customFormat="1" ht="33.75" customHeight="1" x14ac:dyDescent="0.55000000000000004">
      <c r="A24" s="559">
        <v>18</v>
      </c>
      <c r="B24" s="560" t="s">
        <v>107</v>
      </c>
      <c r="C24" s="559">
        <v>1600600006</v>
      </c>
      <c r="D24" s="559" t="s">
        <v>15</v>
      </c>
      <c r="E24" s="561" t="s">
        <v>515</v>
      </c>
      <c r="F24" s="559">
        <v>7015254679</v>
      </c>
      <c r="G24" s="562" t="s">
        <v>516</v>
      </c>
      <c r="H24" s="506">
        <v>497015</v>
      </c>
      <c r="I24" s="563">
        <v>497015</v>
      </c>
      <c r="J24" s="564">
        <f t="shared" si="4"/>
        <v>0</v>
      </c>
      <c r="K24" s="564">
        <f t="shared" si="5"/>
        <v>100</v>
      </c>
      <c r="L24" s="507" t="s">
        <v>285</v>
      </c>
      <c r="M24" s="565" t="s">
        <v>496</v>
      </c>
      <c r="N24" s="566" t="s">
        <v>400</v>
      </c>
      <c r="O24" s="566" t="s">
        <v>484</v>
      </c>
      <c r="P24" s="566" t="s">
        <v>497</v>
      </c>
    </row>
    <row r="25" spans="1:16" s="567" customFormat="1" ht="48" x14ac:dyDescent="0.55000000000000004">
      <c r="A25" s="559">
        <v>19</v>
      </c>
      <c r="B25" s="560" t="s">
        <v>107</v>
      </c>
      <c r="C25" s="559">
        <v>1600600001</v>
      </c>
      <c r="D25" s="559" t="s">
        <v>15</v>
      </c>
      <c r="E25" s="561" t="s">
        <v>333</v>
      </c>
      <c r="F25" s="559">
        <v>2000397264</v>
      </c>
      <c r="G25" s="697" t="s">
        <v>509</v>
      </c>
      <c r="H25" s="698">
        <v>11135650</v>
      </c>
      <c r="I25" s="699">
        <v>0</v>
      </c>
      <c r="J25" s="700">
        <f t="shared" si="4"/>
        <v>11135650</v>
      </c>
      <c r="K25" s="564">
        <f t="shared" si="5"/>
        <v>0</v>
      </c>
      <c r="L25" s="507" t="s">
        <v>729</v>
      </c>
      <c r="M25" s="565" t="s">
        <v>510</v>
      </c>
      <c r="N25" s="566" t="s">
        <v>400</v>
      </c>
      <c r="O25" s="566" t="s">
        <v>511</v>
      </c>
      <c r="P25" s="566"/>
    </row>
    <row r="26" spans="1:16" s="567" customFormat="1" ht="39" customHeight="1" x14ac:dyDescent="0.55000000000000004">
      <c r="A26" s="559">
        <v>20</v>
      </c>
      <c r="B26" s="560" t="s">
        <v>107</v>
      </c>
      <c r="C26" s="559">
        <v>1600600001</v>
      </c>
      <c r="D26" s="559" t="s">
        <v>15</v>
      </c>
      <c r="E26" s="561" t="s">
        <v>331</v>
      </c>
      <c r="F26" s="559">
        <v>2000420428</v>
      </c>
      <c r="G26" s="562" t="s">
        <v>501</v>
      </c>
      <c r="H26" s="506">
        <v>13054741.23</v>
      </c>
      <c r="I26" s="563">
        <v>13054741.23</v>
      </c>
      <c r="J26" s="564">
        <f t="shared" si="4"/>
        <v>0</v>
      </c>
      <c r="K26" s="564">
        <f t="shared" si="5"/>
        <v>100</v>
      </c>
      <c r="L26" s="507" t="s">
        <v>285</v>
      </c>
      <c r="M26" s="565" t="s">
        <v>502</v>
      </c>
      <c r="N26" s="566" t="s">
        <v>503</v>
      </c>
      <c r="O26" s="566" t="s">
        <v>504</v>
      </c>
      <c r="P26" s="566"/>
    </row>
    <row r="27" spans="1:16" s="567" customFormat="1" ht="39" customHeight="1" x14ac:dyDescent="0.55000000000000004">
      <c r="A27" s="559">
        <v>21</v>
      </c>
      <c r="B27" s="560" t="s">
        <v>107</v>
      </c>
      <c r="C27" s="559">
        <v>1600600001</v>
      </c>
      <c r="D27" s="559" t="s">
        <v>15</v>
      </c>
      <c r="E27" s="561" t="s">
        <v>328</v>
      </c>
      <c r="F27" s="559">
        <v>2000420910</v>
      </c>
      <c r="G27" s="562" t="s">
        <v>505</v>
      </c>
      <c r="H27" s="506">
        <v>5129331</v>
      </c>
      <c r="I27" s="563">
        <v>5129331</v>
      </c>
      <c r="J27" s="564">
        <f t="shared" si="4"/>
        <v>0</v>
      </c>
      <c r="K27" s="564">
        <f t="shared" si="5"/>
        <v>100</v>
      </c>
      <c r="L27" s="507" t="s">
        <v>285</v>
      </c>
      <c r="M27" s="565" t="s">
        <v>506</v>
      </c>
      <c r="N27" s="566" t="s">
        <v>507</v>
      </c>
      <c r="O27" s="566" t="s">
        <v>508</v>
      </c>
      <c r="P27" s="566"/>
    </row>
    <row r="28" spans="1:16" s="567" customFormat="1" ht="39" customHeight="1" x14ac:dyDescent="0.55000000000000004">
      <c r="A28" s="559">
        <v>22</v>
      </c>
      <c r="B28" s="560" t="s">
        <v>107</v>
      </c>
      <c r="C28" s="559">
        <v>1600600001</v>
      </c>
      <c r="D28" s="559" t="s">
        <v>15</v>
      </c>
      <c r="E28" s="561" t="s">
        <v>332</v>
      </c>
      <c r="F28" s="559">
        <v>2000434631</v>
      </c>
      <c r="G28" s="562" t="s">
        <v>437</v>
      </c>
      <c r="H28" s="506">
        <v>5002622</v>
      </c>
      <c r="I28" s="563">
        <v>5002622</v>
      </c>
      <c r="J28" s="564">
        <f t="shared" si="4"/>
        <v>0</v>
      </c>
      <c r="K28" s="564">
        <f t="shared" si="5"/>
        <v>100</v>
      </c>
      <c r="L28" s="507" t="s">
        <v>285</v>
      </c>
      <c r="M28" s="565" t="s">
        <v>438</v>
      </c>
      <c r="N28" s="566" t="s">
        <v>439</v>
      </c>
      <c r="O28" s="566" t="s">
        <v>440</v>
      </c>
      <c r="P28" s="566" t="s">
        <v>441</v>
      </c>
    </row>
    <row r="29" spans="1:16" s="567" customFormat="1" ht="48" x14ac:dyDescent="0.55000000000000004">
      <c r="A29" s="559">
        <v>23</v>
      </c>
      <c r="B29" s="560" t="s">
        <v>107</v>
      </c>
      <c r="C29" s="559">
        <v>1600600001</v>
      </c>
      <c r="D29" s="559" t="s">
        <v>15</v>
      </c>
      <c r="E29" s="561" t="s">
        <v>329</v>
      </c>
      <c r="F29" s="559">
        <v>2000435147</v>
      </c>
      <c r="G29" s="697" t="s">
        <v>442</v>
      </c>
      <c r="H29" s="698">
        <v>4668200</v>
      </c>
      <c r="I29" s="699">
        <f>4668200-2339940.84</f>
        <v>2328259.16</v>
      </c>
      <c r="J29" s="700">
        <f>+H29-I29</f>
        <v>2339940.84</v>
      </c>
      <c r="K29" s="564">
        <f t="shared" si="5"/>
        <v>49.874880253630948</v>
      </c>
      <c r="L29" s="507" t="s">
        <v>730</v>
      </c>
      <c r="M29" s="565" t="s">
        <v>443</v>
      </c>
      <c r="N29" s="566" t="s">
        <v>440</v>
      </c>
      <c r="O29" s="566" t="s">
        <v>444</v>
      </c>
      <c r="P29" s="566" t="s">
        <v>389</v>
      </c>
    </row>
    <row r="30" spans="1:16" s="567" customFormat="1" ht="48" x14ac:dyDescent="0.55000000000000004">
      <c r="A30" s="559">
        <v>24</v>
      </c>
      <c r="B30" s="560" t="s">
        <v>107</v>
      </c>
      <c r="C30" s="559">
        <v>1600600001</v>
      </c>
      <c r="D30" s="559" t="s">
        <v>15</v>
      </c>
      <c r="E30" s="561" t="s">
        <v>334</v>
      </c>
      <c r="F30" s="559">
        <v>2000461421</v>
      </c>
      <c r="G30" s="575" t="s">
        <v>686</v>
      </c>
      <c r="H30" s="506">
        <v>2805000</v>
      </c>
      <c r="I30" s="563">
        <v>2805000</v>
      </c>
      <c r="J30" s="564">
        <f t="shared" si="4"/>
        <v>0</v>
      </c>
      <c r="K30" s="564">
        <f t="shared" si="5"/>
        <v>100</v>
      </c>
      <c r="L30" s="507" t="s">
        <v>285</v>
      </c>
      <c r="M30" s="565" t="s">
        <v>446</v>
      </c>
      <c r="N30" s="566" t="s">
        <v>447</v>
      </c>
      <c r="O30" s="566" t="s">
        <v>448</v>
      </c>
      <c r="P30" s="566" t="s">
        <v>389</v>
      </c>
    </row>
    <row r="31" spans="1:16" s="567" customFormat="1" ht="78" customHeight="1" x14ac:dyDescent="0.55000000000000004">
      <c r="A31" s="559">
        <v>25</v>
      </c>
      <c r="B31" s="560" t="s">
        <v>107</v>
      </c>
      <c r="C31" s="559">
        <v>1600600001</v>
      </c>
      <c r="D31" s="559" t="s">
        <v>15</v>
      </c>
      <c r="E31" s="561" t="s">
        <v>330</v>
      </c>
      <c r="F31" s="559">
        <v>2000475789</v>
      </c>
      <c r="G31" s="701" t="s">
        <v>687</v>
      </c>
      <c r="H31" s="698">
        <v>9368000</v>
      </c>
      <c r="I31" s="699">
        <f>9368000-4231617.55</f>
        <v>5136382.45</v>
      </c>
      <c r="J31" s="700">
        <f t="shared" si="4"/>
        <v>4231617.55</v>
      </c>
      <c r="K31" s="564">
        <f t="shared" si="5"/>
        <v>54.829018467122118</v>
      </c>
      <c r="L31" s="507" t="s">
        <v>731</v>
      </c>
      <c r="M31" s="565" t="s">
        <v>450</v>
      </c>
      <c r="N31" s="566" t="s">
        <v>401</v>
      </c>
      <c r="O31" s="566" t="s">
        <v>451</v>
      </c>
      <c r="P31" s="566" t="s">
        <v>389</v>
      </c>
    </row>
    <row r="32" spans="1:16" s="567" customFormat="1" ht="30" customHeight="1" x14ac:dyDescent="0.55000000000000004">
      <c r="A32" s="559">
        <v>26</v>
      </c>
      <c r="B32" s="560" t="s">
        <v>379</v>
      </c>
      <c r="C32" s="559">
        <v>1600600046</v>
      </c>
      <c r="D32" s="559" t="s">
        <v>15</v>
      </c>
      <c r="E32" s="561" t="s">
        <v>324</v>
      </c>
      <c r="F32" s="559">
        <v>7014618240</v>
      </c>
      <c r="G32" s="562" t="s">
        <v>380</v>
      </c>
      <c r="H32" s="506">
        <v>2527500</v>
      </c>
      <c r="I32" s="563">
        <v>2527500</v>
      </c>
      <c r="J32" s="564">
        <f t="shared" ref="J32:J39" si="6">+H32-I32</f>
        <v>0</v>
      </c>
      <c r="K32" s="564">
        <f t="shared" ref="K32:K40" si="7">+I32*100/H32</f>
        <v>100</v>
      </c>
      <c r="L32" s="507" t="s">
        <v>285</v>
      </c>
      <c r="M32" s="565" t="s">
        <v>381</v>
      </c>
      <c r="N32" s="566" t="s">
        <v>382</v>
      </c>
      <c r="O32" s="566" t="s">
        <v>383</v>
      </c>
      <c r="P32" s="566" t="s">
        <v>384</v>
      </c>
    </row>
    <row r="33" spans="1:18" s="567" customFormat="1" ht="24" x14ac:dyDescent="0.55000000000000004">
      <c r="A33" s="559">
        <v>27</v>
      </c>
      <c r="B33" s="560" t="s">
        <v>385</v>
      </c>
      <c r="C33" s="559">
        <v>1600600052</v>
      </c>
      <c r="D33" s="559" t="s">
        <v>15</v>
      </c>
      <c r="E33" s="561" t="s">
        <v>325</v>
      </c>
      <c r="F33" s="559">
        <v>7014573620</v>
      </c>
      <c r="G33" s="562" t="s">
        <v>380</v>
      </c>
      <c r="H33" s="506">
        <v>3234000</v>
      </c>
      <c r="I33" s="563">
        <v>3234000</v>
      </c>
      <c r="J33" s="564">
        <f t="shared" si="6"/>
        <v>0</v>
      </c>
      <c r="K33" s="564">
        <f t="shared" si="7"/>
        <v>100</v>
      </c>
      <c r="L33" s="507" t="s">
        <v>692</v>
      </c>
      <c r="M33" s="565" t="s">
        <v>386</v>
      </c>
      <c r="N33" s="566" t="s">
        <v>387</v>
      </c>
      <c r="O33" s="566" t="s">
        <v>388</v>
      </c>
      <c r="P33" s="566" t="s">
        <v>389</v>
      </c>
    </row>
    <row r="34" spans="1:18" s="567" customFormat="1" ht="30" customHeight="1" x14ac:dyDescent="0.55000000000000004">
      <c r="A34" s="559">
        <v>28</v>
      </c>
      <c r="B34" s="560" t="s">
        <v>390</v>
      </c>
      <c r="C34" s="559">
        <v>1600600058</v>
      </c>
      <c r="D34" s="559" t="s">
        <v>15</v>
      </c>
      <c r="E34" s="561" t="s">
        <v>326</v>
      </c>
      <c r="F34" s="559">
        <v>7014587703</v>
      </c>
      <c r="G34" s="562" t="s">
        <v>380</v>
      </c>
      <c r="H34" s="506">
        <v>2700000</v>
      </c>
      <c r="I34" s="563">
        <v>2700000</v>
      </c>
      <c r="J34" s="564">
        <f t="shared" si="6"/>
        <v>0</v>
      </c>
      <c r="K34" s="564">
        <f t="shared" si="7"/>
        <v>100</v>
      </c>
      <c r="L34" s="507" t="s">
        <v>285</v>
      </c>
      <c r="M34" s="565" t="s">
        <v>391</v>
      </c>
      <c r="N34" s="566" t="s">
        <v>392</v>
      </c>
      <c r="O34" s="566" t="s">
        <v>393</v>
      </c>
      <c r="P34" s="566" t="s">
        <v>394</v>
      </c>
    </row>
    <row r="35" spans="1:18" s="567" customFormat="1" ht="111" x14ac:dyDescent="0.55000000000000004">
      <c r="A35" s="559">
        <v>29</v>
      </c>
      <c r="B35" s="560" t="s">
        <v>395</v>
      </c>
      <c r="C35" s="559">
        <v>1600600064</v>
      </c>
      <c r="D35" s="559" t="s">
        <v>15</v>
      </c>
      <c r="E35" s="561" t="s">
        <v>327</v>
      </c>
      <c r="F35" s="559">
        <v>7014633408</v>
      </c>
      <c r="G35" s="697" t="s">
        <v>380</v>
      </c>
      <c r="H35" s="698">
        <v>3155139</v>
      </c>
      <c r="I35" s="699">
        <v>0</v>
      </c>
      <c r="J35" s="700">
        <f t="shared" si="6"/>
        <v>3155139</v>
      </c>
      <c r="K35" s="564">
        <f t="shared" si="7"/>
        <v>0</v>
      </c>
      <c r="L35" s="579" t="s">
        <v>732</v>
      </c>
      <c r="M35" s="565" t="s">
        <v>396</v>
      </c>
      <c r="N35" s="566" t="s">
        <v>382</v>
      </c>
      <c r="O35" s="566" t="s">
        <v>397</v>
      </c>
      <c r="P35" s="566" t="s">
        <v>398</v>
      </c>
    </row>
    <row r="36" spans="1:18" s="567" customFormat="1" ht="56.25" customHeight="1" x14ac:dyDescent="0.55000000000000004">
      <c r="A36" s="559">
        <v>30</v>
      </c>
      <c r="B36" s="560" t="s">
        <v>366</v>
      </c>
      <c r="C36" s="559">
        <v>1600600094</v>
      </c>
      <c r="D36" s="559" t="s">
        <v>15</v>
      </c>
      <c r="E36" s="561" t="s">
        <v>354</v>
      </c>
      <c r="F36" s="559">
        <v>2000449395</v>
      </c>
      <c r="G36" s="511" t="s">
        <v>648</v>
      </c>
      <c r="H36" s="506">
        <v>3920000</v>
      </c>
      <c r="I36" s="563">
        <v>3920000</v>
      </c>
      <c r="J36" s="564">
        <f t="shared" si="6"/>
        <v>0</v>
      </c>
      <c r="K36" s="564">
        <f t="shared" si="7"/>
        <v>100</v>
      </c>
      <c r="L36" s="507" t="s">
        <v>285</v>
      </c>
      <c r="M36" s="565" t="s">
        <v>402</v>
      </c>
      <c r="N36" s="566" t="s">
        <v>403</v>
      </c>
      <c r="O36" s="566" t="s">
        <v>404</v>
      </c>
      <c r="P36" s="566"/>
    </row>
    <row r="37" spans="1:18" s="567" customFormat="1" ht="56.25" customHeight="1" x14ac:dyDescent="0.55000000000000004">
      <c r="A37" s="559">
        <v>31</v>
      </c>
      <c r="B37" s="560" t="s">
        <v>366</v>
      </c>
      <c r="C37" s="559">
        <v>1600600094</v>
      </c>
      <c r="D37" s="559" t="s">
        <v>15</v>
      </c>
      <c r="E37" s="561" t="s">
        <v>335</v>
      </c>
      <c r="F37" s="559">
        <v>2000469732</v>
      </c>
      <c r="G37" s="511" t="s">
        <v>405</v>
      </c>
      <c r="H37" s="506">
        <v>2559120</v>
      </c>
      <c r="I37" s="563">
        <v>2559120</v>
      </c>
      <c r="J37" s="564">
        <f t="shared" si="6"/>
        <v>0</v>
      </c>
      <c r="K37" s="564">
        <f t="shared" si="7"/>
        <v>100</v>
      </c>
      <c r="L37" s="507" t="s">
        <v>285</v>
      </c>
      <c r="M37" s="565" t="s">
        <v>402</v>
      </c>
      <c r="N37" s="566" t="s">
        <v>403</v>
      </c>
      <c r="O37" s="566" t="s">
        <v>404</v>
      </c>
      <c r="P37" s="566"/>
    </row>
    <row r="38" spans="1:18" s="567" customFormat="1" ht="24" x14ac:dyDescent="0.55000000000000004">
      <c r="A38" s="559">
        <v>32</v>
      </c>
      <c r="B38" s="560" t="s">
        <v>365</v>
      </c>
      <c r="C38" s="559">
        <v>1600600420</v>
      </c>
      <c r="D38" s="559" t="s">
        <v>15</v>
      </c>
      <c r="E38" s="561" t="s">
        <v>358</v>
      </c>
      <c r="F38" s="559">
        <v>7014653159</v>
      </c>
      <c r="G38" s="562" t="s">
        <v>537</v>
      </c>
      <c r="H38" s="506">
        <v>3869000</v>
      </c>
      <c r="I38" s="563">
        <v>3869000</v>
      </c>
      <c r="J38" s="564">
        <f t="shared" si="6"/>
        <v>0</v>
      </c>
      <c r="K38" s="564">
        <f t="shared" si="7"/>
        <v>100</v>
      </c>
      <c r="L38" s="507" t="s">
        <v>285</v>
      </c>
      <c r="M38" s="565" t="s">
        <v>423</v>
      </c>
      <c r="N38" s="566" t="s">
        <v>424</v>
      </c>
      <c r="O38" s="566" t="s">
        <v>425</v>
      </c>
      <c r="P38" s="566" t="s">
        <v>426</v>
      </c>
    </row>
    <row r="39" spans="1:18" s="567" customFormat="1" ht="29.25" customHeight="1" x14ac:dyDescent="0.55000000000000004">
      <c r="A39" s="559">
        <v>33</v>
      </c>
      <c r="B39" s="560" t="s">
        <v>427</v>
      </c>
      <c r="C39" s="559">
        <v>1600600456</v>
      </c>
      <c r="D39" s="559" t="s">
        <v>15</v>
      </c>
      <c r="E39" s="561" t="s">
        <v>323</v>
      </c>
      <c r="F39" s="559">
        <v>7014571829</v>
      </c>
      <c r="G39" s="562" t="s">
        <v>428</v>
      </c>
      <c r="H39" s="506">
        <v>2642900</v>
      </c>
      <c r="I39" s="563">
        <v>2642900</v>
      </c>
      <c r="J39" s="564">
        <f t="shared" si="6"/>
        <v>0</v>
      </c>
      <c r="K39" s="564">
        <f t="shared" si="7"/>
        <v>100</v>
      </c>
      <c r="L39" s="507" t="s">
        <v>285</v>
      </c>
      <c r="M39" s="565" t="s">
        <v>429</v>
      </c>
      <c r="N39" s="566" t="s">
        <v>430</v>
      </c>
      <c r="O39" s="566" t="s">
        <v>431</v>
      </c>
      <c r="P39" s="566" t="s">
        <v>432</v>
      </c>
    </row>
    <row r="40" spans="1:18" s="57" customFormat="1" ht="37.5" customHeight="1" x14ac:dyDescent="0.5">
      <c r="A40" s="1122" t="s">
        <v>533</v>
      </c>
      <c r="B40" s="1123"/>
      <c r="C40" s="1123"/>
      <c r="D40" s="1123"/>
      <c r="E40" s="1123"/>
      <c r="F40" s="1123"/>
      <c r="G40" s="1124"/>
      <c r="H40" s="576">
        <f>SUM(H22:H39)</f>
        <v>79042218.230000004</v>
      </c>
      <c r="I40" s="576">
        <f>SUM(I22:I39)</f>
        <v>58179870.840000004</v>
      </c>
      <c r="J40" s="576">
        <f>SUM(J22:J39)</f>
        <v>20862347.390000001</v>
      </c>
      <c r="K40" s="577">
        <f t="shared" si="7"/>
        <v>73.606070455545705</v>
      </c>
      <c r="L40" s="512"/>
      <c r="M40" s="84"/>
      <c r="N40" s="70"/>
      <c r="O40" s="70"/>
      <c r="P40" s="70"/>
    </row>
    <row r="41" spans="1:18" s="567" customFormat="1" ht="78" customHeight="1" x14ac:dyDescent="0.55000000000000004">
      <c r="A41" s="559">
        <v>34</v>
      </c>
      <c r="B41" s="560" t="s">
        <v>107</v>
      </c>
      <c r="C41" s="559">
        <v>1600600011</v>
      </c>
      <c r="D41" s="559" t="s">
        <v>16</v>
      </c>
      <c r="E41" s="561" t="s">
        <v>314</v>
      </c>
      <c r="F41" s="559">
        <v>7015076230</v>
      </c>
      <c r="G41" s="575" t="s">
        <v>520</v>
      </c>
      <c r="H41" s="506">
        <v>1620000</v>
      </c>
      <c r="I41" s="563">
        <v>1620000</v>
      </c>
      <c r="J41" s="564">
        <f>+H41-I41</f>
        <v>0</v>
      </c>
      <c r="K41" s="564">
        <f>+I41*100/H41</f>
        <v>100</v>
      </c>
      <c r="L41" s="507" t="s">
        <v>285</v>
      </c>
      <c r="M41" s="565" t="s">
        <v>483</v>
      </c>
      <c r="N41" s="566" t="s">
        <v>481</v>
      </c>
      <c r="O41" s="566" t="s">
        <v>484</v>
      </c>
      <c r="P41" s="566" t="s">
        <v>478</v>
      </c>
    </row>
    <row r="42" spans="1:18" s="567" customFormat="1" ht="29.25" customHeight="1" x14ac:dyDescent="0.55000000000000004">
      <c r="A42" s="559">
        <v>35</v>
      </c>
      <c r="B42" s="560" t="s">
        <v>107</v>
      </c>
      <c r="C42" s="559">
        <v>1600600011</v>
      </c>
      <c r="D42" s="559" t="s">
        <v>16</v>
      </c>
      <c r="E42" s="561" t="s">
        <v>318</v>
      </c>
      <c r="F42" s="559">
        <v>7015167313</v>
      </c>
      <c r="G42" s="562" t="s">
        <v>519</v>
      </c>
      <c r="H42" s="506">
        <v>56300</v>
      </c>
      <c r="I42" s="563">
        <v>56300</v>
      </c>
      <c r="J42" s="564">
        <f>+H42-I42</f>
        <v>0</v>
      </c>
      <c r="K42" s="564">
        <f>+I42*100/H42</f>
        <v>100</v>
      </c>
      <c r="L42" s="507" t="s">
        <v>285</v>
      </c>
      <c r="M42" s="565" t="s">
        <v>485</v>
      </c>
      <c r="N42" s="566" t="s">
        <v>486</v>
      </c>
      <c r="O42" s="566" t="s">
        <v>487</v>
      </c>
      <c r="P42" s="566" t="s">
        <v>488</v>
      </c>
    </row>
    <row r="43" spans="1:18" s="556" customFormat="1" ht="34.5" customHeight="1" x14ac:dyDescent="0.55000000000000004">
      <c r="A43" s="1310" t="s">
        <v>284</v>
      </c>
      <c r="B43" s="1311"/>
      <c r="C43" s="1311"/>
      <c r="D43" s="1311"/>
      <c r="E43" s="1311"/>
      <c r="F43" s="1311"/>
      <c r="G43" s="1312"/>
      <c r="H43" s="578">
        <f>SUM(H41:H42)</f>
        <v>1676300</v>
      </c>
      <c r="I43" s="510">
        <f>SUM(I41:I42)</f>
        <v>1676300</v>
      </c>
      <c r="J43" s="510">
        <f>SUM(J41:J42)</f>
        <v>0</v>
      </c>
      <c r="K43" s="564">
        <f>+I43*100/H43</f>
        <v>100</v>
      </c>
      <c r="L43" s="507"/>
    </row>
    <row r="44" spans="1:18" s="580" customFormat="1" ht="42" customHeight="1" x14ac:dyDescent="0.65">
      <c r="A44" s="1301" t="s">
        <v>367</v>
      </c>
      <c r="B44" s="1302"/>
      <c r="C44" s="1302"/>
      <c r="D44" s="1302"/>
      <c r="E44" s="1302"/>
      <c r="F44" s="1302"/>
      <c r="G44" s="1303"/>
      <c r="H44" s="523">
        <f>+H21+H40+H43</f>
        <v>94458430.790000007</v>
      </c>
      <c r="I44" s="523">
        <f>+I21+I40+I43</f>
        <v>72551709.590000004</v>
      </c>
      <c r="J44" s="523">
        <f>+J21+J40+J43</f>
        <v>21906721.199999999</v>
      </c>
      <c r="K44" s="638">
        <f>+I44*100/H44</f>
        <v>76.808082648860605</v>
      </c>
      <c r="L44" s="579"/>
      <c r="R44" s="580" t="s">
        <v>175</v>
      </c>
    </row>
    <row r="45" spans="1:18" hidden="1" x14ac:dyDescent="0.65"/>
    <row r="46" spans="1:18" hidden="1" x14ac:dyDescent="0.65">
      <c r="H46" s="584"/>
      <c r="I46" s="584"/>
      <c r="K46" s="586"/>
      <c r="L46" s="587"/>
    </row>
    <row r="47" spans="1:18" hidden="1" x14ac:dyDescent="0.65"/>
    <row r="48" spans="1:1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  <row r="94" hidden="1" x14ac:dyDescent="0.65"/>
    <row r="95" hidden="1" x14ac:dyDescent="0.65"/>
    <row r="96" hidden="1" x14ac:dyDescent="0.65"/>
    <row r="97" hidden="1" x14ac:dyDescent="0.65"/>
    <row r="98" hidden="1" x14ac:dyDescent="0.65"/>
    <row r="99" hidden="1" x14ac:dyDescent="0.65"/>
    <row r="100" hidden="1" x14ac:dyDescent="0.65"/>
    <row r="101" hidden="1" x14ac:dyDescent="0.65"/>
    <row r="102" hidden="1" x14ac:dyDescent="0.65"/>
    <row r="103" hidden="1" x14ac:dyDescent="0.65"/>
    <row r="104" hidden="1" x14ac:dyDescent="0.65"/>
    <row r="105" hidden="1" x14ac:dyDescent="0.65"/>
    <row r="106" hidden="1" x14ac:dyDescent="0.65"/>
    <row r="107" hidden="1" x14ac:dyDescent="0.65"/>
    <row r="108" hidden="1" x14ac:dyDescent="0.65"/>
    <row r="109" hidden="1" x14ac:dyDescent="0.65"/>
    <row r="110" hidden="1" x14ac:dyDescent="0.65"/>
    <row r="111" hidden="1" x14ac:dyDescent="0.65"/>
    <row r="112" hidden="1" x14ac:dyDescent="0.65"/>
    <row r="113" hidden="1" x14ac:dyDescent="0.65"/>
    <row r="114" hidden="1" x14ac:dyDescent="0.65"/>
    <row r="115" hidden="1" x14ac:dyDescent="0.65"/>
    <row r="116" hidden="1" x14ac:dyDescent="0.65"/>
    <row r="117" hidden="1" x14ac:dyDescent="0.65"/>
    <row r="118" hidden="1" x14ac:dyDescent="0.65"/>
    <row r="119" hidden="1" x14ac:dyDescent="0.65"/>
    <row r="120" hidden="1" x14ac:dyDescent="0.65"/>
    <row r="121" hidden="1" x14ac:dyDescent="0.65"/>
    <row r="122" hidden="1" x14ac:dyDescent="0.65"/>
    <row r="123" hidden="1" x14ac:dyDescent="0.65"/>
    <row r="124" hidden="1" x14ac:dyDescent="0.65"/>
    <row r="125" hidden="1" x14ac:dyDescent="0.65"/>
    <row r="126" hidden="1" x14ac:dyDescent="0.65"/>
    <row r="127" hidden="1" x14ac:dyDescent="0.65"/>
    <row r="128" hidden="1" x14ac:dyDescent="0.65"/>
    <row r="129" hidden="1" x14ac:dyDescent="0.65"/>
    <row r="130" hidden="1" x14ac:dyDescent="0.65"/>
    <row r="131" hidden="1" x14ac:dyDescent="0.65"/>
    <row r="132" hidden="1" x14ac:dyDescent="0.65"/>
    <row r="133" hidden="1" x14ac:dyDescent="0.65"/>
    <row r="134" hidden="1" x14ac:dyDescent="0.65"/>
    <row r="135" hidden="1" x14ac:dyDescent="0.65"/>
    <row r="136" hidden="1" x14ac:dyDescent="0.65"/>
    <row r="137" hidden="1" x14ac:dyDescent="0.65"/>
    <row r="138" hidden="1" x14ac:dyDescent="0.65"/>
    <row r="139" hidden="1" x14ac:dyDescent="0.65"/>
    <row r="140" hidden="1" x14ac:dyDescent="0.65"/>
    <row r="141" hidden="1" x14ac:dyDescent="0.65"/>
    <row r="142" hidden="1" x14ac:dyDescent="0.65"/>
    <row r="143" hidden="1" x14ac:dyDescent="0.65"/>
    <row r="144" hidden="1" x14ac:dyDescent="0.65"/>
    <row r="145" hidden="1" x14ac:dyDescent="0.65"/>
    <row r="146" hidden="1" x14ac:dyDescent="0.65"/>
    <row r="147" hidden="1" x14ac:dyDescent="0.65"/>
    <row r="148" hidden="1" x14ac:dyDescent="0.65"/>
    <row r="149" hidden="1" x14ac:dyDescent="0.65"/>
    <row r="150" hidden="1" x14ac:dyDescent="0.65"/>
    <row r="151" hidden="1" x14ac:dyDescent="0.65"/>
    <row r="152" hidden="1" x14ac:dyDescent="0.65"/>
    <row r="153" hidden="1" x14ac:dyDescent="0.65"/>
    <row r="154" hidden="1" x14ac:dyDescent="0.65"/>
    <row r="155" hidden="1" x14ac:dyDescent="0.65"/>
    <row r="156" hidden="1" x14ac:dyDescent="0.65"/>
    <row r="157" hidden="1" x14ac:dyDescent="0.65"/>
    <row r="158" hidden="1" x14ac:dyDescent="0.65"/>
    <row r="159" hidden="1" x14ac:dyDescent="0.65"/>
    <row r="160" hidden="1" x14ac:dyDescent="0.65"/>
    <row r="161" hidden="1" x14ac:dyDescent="0.65"/>
    <row r="162" hidden="1" x14ac:dyDescent="0.65"/>
    <row r="163" hidden="1" x14ac:dyDescent="0.65"/>
    <row r="164" hidden="1" x14ac:dyDescent="0.65"/>
    <row r="165" hidden="1" x14ac:dyDescent="0.65"/>
    <row r="166" hidden="1" x14ac:dyDescent="0.65"/>
    <row r="167" hidden="1" x14ac:dyDescent="0.65"/>
    <row r="168" hidden="1" x14ac:dyDescent="0.65"/>
    <row r="169" hidden="1" x14ac:dyDescent="0.65"/>
    <row r="170" hidden="1" x14ac:dyDescent="0.65"/>
    <row r="171" hidden="1" x14ac:dyDescent="0.65"/>
    <row r="172" hidden="1" x14ac:dyDescent="0.65"/>
    <row r="173" hidden="1" x14ac:dyDescent="0.65"/>
    <row r="174" hidden="1" x14ac:dyDescent="0.65"/>
    <row r="175" hidden="1" x14ac:dyDescent="0.65"/>
    <row r="176" hidden="1" x14ac:dyDescent="0.65"/>
    <row r="193" spans="5:5" x14ac:dyDescent="0.65">
      <c r="E193" s="237"/>
    </row>
  </sheetData>
  <sortState xmlns:xlrd2="http://schemas.microsoft.com/office/spreadsheetml/2017/richdata2" ref="A1:M36">
    <sortCondition ref="D1:D36"/>
  </sortState>
  <mergeCells count="18">
    <mergeCell ref="A44:G44"/>
    <mergeCell ref="H4:H5"/>
    <mergeCell ref="J4:J5"/>
    <mergeCell ref="A21:G21"/>
    <mergeCell ref="A1:L1"/>
    <mergeCell ref="A2:L2"/>
    <mergeCell ref="A3:L3"/>
    <mergeCell ref="A40:G40"/>
    <mergeCell ref="A43:G43"/>
    <mergeCell ref="M4:M5"/>
    <mergeCell ref="N4:N5"/>
    <mergeCell ref="O4:O5"/>
    <mergeCell ref="B4:B5"/>
    <mergeCell ref="C4:C5"/>
    <mergeCell ref="D4:D5"/>
    <mergeCell ref="E4:E5"/>
    <mergeCell ref="F4:F5"/>
    <mergeCell ref="G4:G5"/>
  </mergeCells>
  <pageMargins left="0.25" right="0" top="0.75" bottom="0.75" header="0.3" footer="0.3"/>
  <pageSetup paperSize="9" scale="70" orientation="landscape" r:id="rId1"/>
  <headerFooter>
    <oddFooter>หน้าที่ &amp;P จาก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K99"/>
  <sheetViews>
    <sheetView workbookViewId="0">
      <selection activeCell="G20" sqref="G20"/>
    </sheetView>
  </sheetViews>
  <sheetFormatPr defaultRowHeight="21.75" x14ac:dyDescent="0.5"/>
  <cols>
    <col min="1" max="1" width="9.140625" style="319"/>
    <col min="2" max="2" width="29.28515625" style="319" bestFit="1" customWidth="1"/>
    <col min="3" max="3" width="18.7109375" style="319" bestFit="1" customWidth="1"/>
    <col min="4" max="4" width="18.140625" style="319" customWidth="1"/>
    <col min="5" max="5" width="27.7109375" style="319" bestFit="1" customWidth="1"/>
    <col min="6" max="6" width="11.85546875" style="319" hidden="1" customWidth="1"/>
    <col min="7" max="7" width="9.140625" style="319"/>
    <col min="8" max="8" width="11" style="319" bestFit="1" customWidth="1"/>
    <col min="9" max="9" width="9.140625" style="319"/>
    <col min="10" max="10" width="10.140625" style="319" customWidth="1"/>
    <col min="11" max="35" width="0" style="319" hidden="1" customWidth="1"/>
    <col min="36" max="16384" width="9.140625" style="319"/>
  </cols>
  <sheetData>
    <row r="1" spans="1:11" ht="30.75" x14ac:dyDescent="0.7">
      <c r="A1" s="1313" t="str">
        <f>+รายงานผู้บริหาร!A1</f>
        <v>กรมพินิจและคุ้มครองเด็กและเยาวชน กระทรวงยุติธรรม</v>
      </c>
      <c r="B1" s="1313"/>
      <c r="C1" s="1313"/>
      <c r="D1" s="1313"/>
      <c r="E1" s="1313"/>
      <c r="F1" s="1313"/>
      <c r="G1" s="1313"/>
      <c r="H1" s="1313"/>
      <c r="I1" s="1313"/>
      <c r="J1" s="1313"/>
      <c r="K1" s="1313"/>
    </row>
    <row r="2" spans="1:11" ht="30.75" x14ac:dyDescent="0.7">
      <c r="A2" s="1313" t="str">
        <f>+รายงานผู้บริหาร!A2</f>
        <v>สรุปรายละเอียดการเบิกจ่ายเงินงบประมาณประจำปีงบประมาณ พ.ศ. 2565</v>
      </c>
      <c r="B2" s="1313"/>
      <c r="C2" s="1313"/>
      <c r="D2" s="1313"/>
      <c r="E2" s="1313"/>
      <c r="F2" s="1313"/>
      <c r="G2" s="1313"/>
      <c r="H2" s="1313"/>
      <c r="I2" s="1313"/>
      <c r="J2" s="1313"/>
      <c r="K2" s="1313"/>
    </row>
    <row r="3" spans="1:11" ht="30.75" x14ac:dyDescent="0.7">
      <c r="A3" s="1313" t="str">
        <f>+รายงานผู้บริหาร!A3</f>
        <v>ตั้งแต่วันที่ 1  ตุลาคม 2564 ถึงวันที่ 31 มกราคม 2565</v>
      </c>
      <c r="B3" s="1313"/>
      <c r="C3" s="1313"/>
      <c r="D3" s="1313"/>
      <c r="E3" s="1313"/>
      <c r="F3" s="1313"/>
      <c r="G3" s="1313"/>
      <c r="H3" s="1313"/>
      <c r="I3" s="1313"/>
      <c r="J3" s="1313"/>
      <c r="K3" s="1313"/>
    </row>
    <row r="7" spans="1:11" ht="24" x14ac:dyDescent="0.55000000000000004">
      <c r="B7" s="348" t="s">
        <v>622</v>
      </c>
      <c r="C7" s="348" t="s">
        <v>59</v>
      </c>
      <c r="D7" s="348" t="s">
        <v>647</v>
      </c>
      <c r="E7" s="348" t="s">
        <v>105</v>
      </c>
      <c r="F7" s="318" t="s">
        <v>65</v>
      </c>
    </row>
    <row r="8" spans="1:11" ht="24" x14ac:dyDescent="0.55000000000000004">
      <c r="B8" s="70" t="s">
        <v>13</v>
      </c>
      <c r="C8" s="228">
        <f>+รายงานผู้บริหาร!D7</f>
        <v>695026000</v>
      </c>
      <c r="D8" s="228">
        <f>1397262100-100</f>
        <v>1397262000</v>
      </c>
      <c r="E8" s="316">
        <f>+รายงานผู้บริหาร!F7</f>
        <v>455978224.26999998</v>
      </c>
      <c r="F8" s="532">
        <f>+E8*100/C8</f>
        <v>65.605923270496362</v>
      </c>
    </row>
    <row r="9" spans="1:11" ht="24" x14ac:dyDescent="0.55000000000000004">
      <c r="B9" s="70" t="s">
        <v>14</v>
      </c>
      <c r="C9" s="228">
        <f>+รายงานผู้บริหาร!D8</f>
        <v>216270500</v>
      </c>
      <c r="D9" s="228">
        <f>+C9</f>
        <v>216270500</v>
      </c>
      <c r="E9" s="316">
        <f>+รายงานผู้บริหาร!F8</f>
        <v>108116326.24000001</v>
      </c>
      <c r="F9" s="532">
        <f>+E9*100/C9</f>
        <v>49.991249957807469</v>
      </c>
    </row>
    <row r="10" spans="1:11" ht="24" x14ac:dyDescent="0.55000000000000004">
      <c r="B10" s="70" t="s">
        <v>15</v>
      </c>
      <c r="C10" s="228">
        <f>+รายงานผู้บริหาร!D9</f>
        <v>68223500</v>
      </c>
      <c r="D10" s="228">
        <f>+C10</f>
        <v>68223500</v>
      </c>
      <c r="E10" s="316">
        <f>+รายงานผู้บริหาร!F9</f>
        <v>18036707.699999999</v>
      </c>
      <c r="F10" s="532">
        <f>+E10*100/C10</f>
        <v>26.437675727571879</v>
      </c>
    </row>
    <row r="11" spans="1:11" ht="24" x14ac:dyDescent="0.55000000000000004">
      <c r="B11" s="70" t="s">
        <v>16</v>
      </c>
      <c r="C11" s="228">
        <f>+รายงานผู้บริหาร!D12</f>
        <v>14396800</v>
      </c>
      <c r="D11" s="228">
        <f>+C11</f>
        <v>14396800</v>
      </c>
      <c r="E11" s="316">
        <f>+รายงานผู้บริหาร!F12</f>
        <v>1250719.4200000002</v>
      </c>
      <c r="F11" s="532">
        <f>+E11*100/C11</f>
        <v>8.6874820793509677</v>
      </c>
    </row>
    <row r="12" spans="1:11" s="320" customFormat="1" ht="24" x14ac:dyDescent="0.55000000000000004">
      <c r="B12" s="317" t="s">
        <v>74</v>
      </c>
      <c r="C12" s="321">
        <f>SUM(C8:C11)</f>
        <v>993916800</v>
      </c>
      <c r="D12" s="321">
        <f>SUM(D8:D11)</f>
        <v>1696152800</v>
      </c>
      <c r="E12" s="321">
        <f>SUM(E8:E11)</f>
        <v>583381977.63</v>
      </c>
      <c r="F12" s="533">
        <f>+E12*100/C12</f>
        <v>58.695252724372907</v>
      </c>
    </row>
    <row r="20" spans="1:10" s="477" customFormat="1" ht="27.75" x14ac:dyDescent="0.65">
      <c r="A20" s="477" t="s">
        <v>860</v>
      </c>
    </row>
    <row r="21" spans="1:10" s="215" customFormat="1" ht="24" hidden="1" x14ac:dyDescent="0.55000000000000004">
      <c r="E21" s="534">
        <f>1608984157*100/2160480400</f>
        <v>74.473443822957151</v>
      </c>
    </row>
    <row r="22" spans="1:10" hidden="1" x14ac:dyDescent="0.5"/>
    <row r="23" spans="1:10" hidden="1" x14ac:dyDescent="0.5"/>
    <row r="24" spans="1:10" hidden="1" x14ac:dyDescent="0.5"/>
    <row r="25" spans="1:10" hidden="1" x14ac:dyDescent="0.5"/>
    <row r="26" spans="1:10" hidden="1" x14ac:dyDescent="0.5"/>
    <row r="27" spans="1:10" ht="27.75" hidden="1" x14ac:dyDescent="0.65">
      <c r="B27" s="1316">
        <f>+รายงานผู้บริหาร!A1:I1</f>
        <v>0</v>
      </c>
      <c r="C27" s="1316"/>
      <c r="D27" s="1316"/>
      <c r="E27" s="1316"/>
      <c r="F27" s="1316"/>
      <c r="G27" s="1316"/>
      <c r="H27" s="1316"/>
      <c r="I27" s="1316"/>
      <c r="J27" s="1316"/>
    </row>
    <row r="28" spans="1:10" ht="27.75" hidden="1" x14ac:dyDescent="0.65">
      <c r="B28" s="1316">
        <f>+รายงานผู้บริหาร!A2:I2</f>
        <v>0</v>
      </c>
      <c r="C28" s="1316"/>
      <c r="D28" s="1316"/>
      <c r="E28" s="1316"/>
      <c r="F28" s="1316"/>
      <c r="G28" s="1316"/>
      <c r="H28" s="1316"/>
      <c r="I28" s="1316"/>
      <c r="J28" s="1316"/>
    </row>
    <row r="29" spans="1:10" ht="27.75" hidden="1" x14ac:dyDescent="0.65">
      <c r="B29" s="1316">
        <f>+รายงานผู้บริหาร!A3:I3</f>
        <v>0</v>
      </c>
      <c r="C29" s="1316"/>
      <c r="D29" s="1316"/>
      <c r="E29" s="1316"/>
      <c r="F29" s="1316"/>
      <c r="G29" s="1316"/>
      <c r="H29" s="1316"/>
      <c r="I29" s="1316"/>
      <c r="J29" s="1316"/>
    </row>
    <row r="30" spans="1:10" hidden="1" x14ac:dyDescent="0.5"/>
    <row r="31" spans="1:10" hidden="1" x14ac:dyDescent="0.5"/>
    <row r="32" spans="1:10" hidden="1" x14ac:dyDescent="0.5"/>
    <row r="33" spans="2:11" hidden="1" x14ac:dyDescent="0.5"/>
    <row r="34" spans="2:11" ht="24" hidden="1" x14ac:dyDescent="0.55000000000000004">
      <c r="B34" s="315" t="str">
        <f>+รายงานผู้บริหาร!A22</f>
        <v>*หมายเหตุ :   1. กรมพินิจฯ ได้รับงบประมาณ ตาม พรบ. เป็นเงินจำนวน 1,969,681,900.- บาท แต่ ปัจจุบันได้รับจัดสรรในเบื้องต้น(ในระบบ GFMIS)</v>
      </c>
      <c r="C34" s="314"/>
      <c r="D34" s="314"/>
      <c r="E34" s="314"/>
      <c r="F34" s="314"/>
      <c r="G34" s="314"/>
      <c r="H34" s="314"/>
      <c r="I34" s="314"/>
      <c r="J34" s="314"/>
      <c r="K34" s="314"/>
    </row>
    <row r="35" spans="2:11" ht="24" hidden="1" x14ac:dyDescent="0.55000000000000004">
      <c r="B35" s="315" t="e">
        <f>+รายงานผู้บริหาร!#REF!</f>
        <v>#REF!</v>
      </c>
      <c r="C35" s="314"/>
      <c r="D35" s="314"/>
      <c r="E35" s="314"/>
      <c r="F35" s="314"/>
      <c r="G35" s="314"/>
      <c r="H35" s="314"/>
      <c r="I35" s="314"/>
      <c r="J35" s="314"/>
      <c r="K35" s="314"/>
    </row>
    <row r="36" spans="2:11" ht="24" hidden="1" x14ac:dyDescent="0.55000000000000004">
      <c r="B36" s="315" t="e">
        <f>+รายงานผู้บริหาร!#REF!</f>
        <v>#REF!</v>
      </c>
      <c r="C36" s="314"/>
      <c r="D36" s="314"/>
      <c r="E36" s="314"/>
      <c r="F36" s="314"/>
      <c r="G36" s="314"/>
      <c r="H36" s="314"/>
      <c r="I36" s="314"/>
      <c r="J36" s="314"/>
      <c r="K36" s="314"/>
    </row>
    <row r="37" spans="2:11" hidden="1" x14ac:dyDescent="0.5"/>
    <row r="38" spans="2:11" hidden="1" x14ac:dyDescent="0.5"/>
    <row r="39" spans="2:11" hidden="1" x14ac:dyDescent="0.5"/>
    <row r="40" spans="2:11" hidden="1" x14ac:dyDescent="0.5"/>
    <row r="41" spans="2:11" hidden="1" x14ac:dyDescent="0.5"/>
    <row r="42" spans="2:11" hidden="1" x14ac:dyDescent="0.5"/>
    <row r="43" spans="2:11" hidden="1" x14ac:dyDescent="0.5"/>
    <row r="44" spans="2:11" hidden="1" x14ac:dyDescent="0.5"/>
    <row r="45" spans="2:11" hidden="1" x14ac:dyDescent="0.5"/>
    <row r="46" spans="2:11" hidden="1" x14ac:dyDescent="0.5"/>
    <row r="47" spans="2:11" hidden="1" x14ac:dyDescent="0.5"/>
    <row r="48" spans="2:11" hidden="1" x14ac:dyDescent="0.5"/>
    <row r="49" hidden="1" x14ac:dyDescent="0.5"/>
    <row r="50" hidden="1" x14ac:dyDescent="0.5"/>
    <row r="51" hidden="1" x14ac:dyDescent="0.5"/>
    <row r="52" hidden="1" x14ac:dyDescent="0.5"/>
    <row r="53" hidden="1" x14ac:dyDescent="0.5"/>
    <row r="54" hidden="1" x14ac:dyDescent="0.5"/>
    <row r="55" hidden="1" x14ac:dyDescent="0.5"/>
    <row r="56" hidden="1" x14ac:dyDescent="0.5"/>
    <row r="57" hidden="1" x14ac:dyDescent="0.5"/>
    <row r="58" hidden="1" x14ac:dyDescent="0.5"/>
    <row r="59" hidden="1" x14ac:dyDescent="0.5"/>
    <row r="60" hidden="1" x14ac:dyDescent="0.5"/>
    <row r="61" hidden="1" x14ac:dyDescent="0.5"/>
    <row r="62" hidden="1" x14ac:dyDescent="0.5"/>
    <row r="63" hidden="1" x14ac:dyDescent="0.5"/>
    <row r="64" hidden="1" x14ac:dyDescent="0.5"/>
    <row r="65" hidden="1" x14ac:dyDescent="0.5"/>
    <row r="66" hidden="1" x14ac:dyDescent="0.5"/>
    <row r="67" hidden="1" x14ac:dyDescent="0.5"/>
    <row r="68" hidden="1" x14ac:dyDescent="0.5"/>
    <row r="69" hidden="1" x14ac:dyDescent="0.5"/>
    <row r="70" hidden="1" x14ac:dyDescent="0.5"/>
    <row r="71" hidden="1" x14ac:dyDescent="0.5"/>
    <row r="72" hidden="1" x14ac:dyDescent="0.5"/>
    <row r="73" hidden="1" x14ac:dyDescent="0.5"/>
    <row r="74" hidden="1" x14ac:dyDescent="0.5"/>
    <row r="75" hidden="1" x14ac:dyDescent="0.5"/>
    <row r="76" hidden="1" x14ac:dyDescent="0.5"/>
    <row r="77" hidden="1" x14ac:dyDescent="0.5"/>
    <row r="78" hidden="1" x14ac:dyDescent="0.5"/>
    <row r="79" hidden="1" x14ac:dyDescent="0.5"/>
    <row r="80" hidden="1" x14ac:dyDescent="0.5"/>
    <row r="81" hidden="1" x14ac:dyDescent="0.5"/>
    <row r="82" hidden="1" x14ac:dyDescent="0.5"/>
    <row r="83" hidden="1" x14ac:dyDescent="0.5"/>
    <row r="84" hidden="1" x14ac:dyDescent="0.5"/>
    <row r="85" hidden="1" x14ac:dyDescent="0.5"/>
    <row r="86" hidden="1" x14ac:dyDescent="0.5"/>
    <row r="87" hidden="1" x14ac:dyDescent="0.5"/>
    <row r="88" hidden="1" x14ac:dyDescent="0.5"/>
    <row r="89" hidden="1" x14ac:dyDescent="0.5"/>
    <row r="90" hidden="1" x14ac:dyDescent="0.5"/>
    <row r="91" hidden="1" x14ac:dyDescent="0.5"/>
    <row r="92" hidden="1" x14ac:dyDescent="0.5"/>
    <row r="93" hidden="1" x14ac:dyDescent="0.5"/>
    <row r="94" hidden="1" x14ac:dyDescent="0.5"/>
    <row r="95" hidden="1" x14ac:dyDescent="0.5"/>
    <row r="96" hidden="1" x14ac:dyDescent="0.5"/>
    <row r="97" spans="1:10" hidden="1" x14ac:dyDescent="0.5"/>
    <row r="98" spans="1:10" ht="27.75" x14ac:dyDescent="0.65">
      <c r="A98" s="1314" t="s">
        <v>861</v>
      </c>
      <c r="B98" s="1314"/>
      <c r="C98" s="1314"/>
      <c r="D98" s="1314"/>
      <c r="E98" s="1314"/>
      <c r="F98" s="1314"/>
      <c r="G98" s="1314"/>
      <c r="H98" s="1314"/>
      <c r="I98" s="1314"/>
      <c r="J98" s="1314"/>
    </row>
    <row r="99" spans="1:10" ht="27.75" x14ac:dyDescent="0.65">
      <c r="A99" s="1315"/>
      <c r="B99" s="1315"/>
      <c r="C99" s="1315"/>
      <c r="D99" s="1315"/>
      <c r="E99" s="1315"/>
      <c r="F99" s="1315"/>
      <c r="G99" s="1315"/>
      <c r="H99" s="1315"/>
      <c r="I99" s="1315"/>
      <c r="J99" s="1315"/>
    </row>
  </sheetData>
  <mergeCells count="8">
    <mergeCell ref="A1:K1"/>
    <mergeCell ref="A2:K2"/>
    <mergeCell ref="A3:K3"/>
    <mergeCell ref="A98:J98"/>
    <mergeCell ref="A99:J99"/>
    <mergeCell ref="B29:J29"/>
    <mergeCell ref="B28:J28"/>
    <mergeCell ref="B27:J27"/>
  </mergeCells>
  <pageMargins left="0.70866141732283472" right="0.70866141732283472" top="0.55118110236220474" bottom="0.55118110236220474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47"/>
  <sheetViews>
    <sheetView topLeftCell="A16" workbookViewId="0">
      <selection activeCell="G36" sqref="G36"/>
    </sheetView>
  </sheetViews>
  <sheetFormatPr defaultRowHeight="26.25" x14ac:dyDescent="0.55000000000000004"/>
  <cols>
    <col min="1" max="1" width="7.85546875" style="247" bestFit="1" customWidth="1"/>
    <col min="2" max="2" width="28.5703125" style="244" customWidth="1"/>
    <col min="3" max="4" width="14.42578125" style="247" customWidth="1"/>
    <col min="5" max="5" width="18.7109375" style="248" customWidth="1"/>
    <col min="6" max="6" width="11.85546875" style="247" customWidth="1"/>
    <col min="7" max="7" width="33.42578125" style="246" customWidth="1"/>
    <col min="8" max="8" width="16.7109375" style="244" customWidth="1"/>
    <col min="9" max="9" width="9.28515625" style="244" bestFit="1" customWidth="1"/>
    <col min="10" max="10" width="16.85546875" style="244" customWidth="1"/>
    <col min="11" max="11" width="8.42578125" style="245" customWidth="1"/>
    <col min="12" max="12" width="25" style="244" hidden="1" customWidth="1"/>
    <col min="13" max="14" width="12.28515625" style="244" hidden="1" customWidth="1"/>
    <col min="15" max="15" width="24.7109375" style="244" hidden="1" customWidth="1"/>
    <col min="16" max="260" width="9.140625" style="244"/>
    <col min="261" max="261" width="6.42578125" style="244" bestFit="1" customWidth="1"/>
    <col min="262" max="262" width="32" style="244" bestFit="1" customWidth="1"/>
    <col min="263" max="263" width="14.5703125" style="244" bestFit="1" customWidth="1"/>
    <col min="264" max="264" width="12.42578125" style="244" bestFit="1" customWidth="1"/>
    <col min="265" max="265" width="51.28515625" style="244" bestFit="1" customWidth="1"/>
    <col min="266" max="266" width="14.85546875" style="244" bestFit="1" customWidth="1"/>
    <col min="267" max="267" width="25" style="244" bestFit="1" customWidth="1"/>
    <col min="268" max="269" width="12.28515625" style="244" bestFit="1" customWidth="1"/>
    <col min="270" max="270" width="24.7109375" style="244" bestFit="1" customWidth="1"/>
    <col min="271" max="271" width="15" style="244" bestFit="1" customWidth="1"/>
    <col min="272" max="516" width="9.140625" style="244"/>
    <col min="517" max="517" width="6.42578125" style="244" bestFit="1" customWidth="1"/>
    <col min="518" max="518" width="32" style="244" bestFit="1" customWidth="1"/>
    <col min="519" max="519" width="14.5703125" style="244" bestFit="1" customWidth="1"/>
    <col min="520" max="520" width="12.42578125" style="244" bestFit="1" customWidth="1"/>
    <col min="521" max="521" width="51.28515625" style="244" bestFit="1" customWidth="1"/>
    <col min="522" max="522" width="14.85546875" style="244" bestFit="1" customWidth="1"/>
    <col min="523" max="523" width="25" style="244" bestFit="1" customWidth="1"/>
    <col min="524" max="525" width="12.28515625" style="244" bestFit="1" customWidth="1"/>
    <col min="526" max="526" width="24.7109375" style="244" bestFit="1" customWidth="1"/>
    <col min="527" max="527" width="15" style="244" bestFit="1" customWidth="1"/>
    <col min="528" max="772" width="9.140625" style="244"/>
    <col min="773" max="773" width="6.42578125" style="244" bestFit="1" customWidth="1"/>
    <col min="774" max="774" width="32" style="244" bestFit="1" customWidth="1"/>
    <col min="775" max="775" width="14.5703125" style="244" bestFit="1" customWidth="1"/>
    <col min="776" max="776" width="12.42578125" style="244" bestFit="1" customWidth="1"/>
    <col min="777" max="777" width="51.28515625" style="244" bestFit="1" customWidth="1"/>
    <col min="778" max="778" width="14.85546875" style="244" bestFit="1" customWidth="1"/>
    <col min="779" max="779" width="25" style="244" bestFit="1" customWidth="1"/>
    <col min="780" max="781" width="12.28515625" style="244" bestFit="1" customWidth="1"/>
    <col min="782" max="782" width="24.7109375" style="244" bestFit="1" customWidth="1"/>
    <col min="783" max="783" width="15" style="244" bestFit="1" customWidth="1"/>
    <col min="784" max="1028" width="9.140625" style="244"/>
    <col min="1029" max="1029" width="6.42578125" style="244" bestFit="1" customWidth="1"/>
    <col min="1030" max="1030" width="32" style="244" bestFit="1" customWidth="1"/>
    <col min="1031" max="1031" width="14.5703125" style="244" bestFit="1" customWidth="1"/>
    <col min="1032" max="1032" width="12.42578125" style="244" bestFit="1" customWidth="1"/>
    <col min="1033" max="1033" width="51.28515625" style="244" bestFit="1" customWidth="1"/>
    <col min="1034" max="1034" width="14.85546875" style="244" bestFit="1" customWidth="1"/>
    <col min="1035" max="1035" width="25" style="244" bestFit="1" customWidth="1"/>
    <col min="1036" max="1037" width="12.28515625" style="244" bestFit="1" customWidth="1"/>
    <col min="1038" max="1038" width="24.7109375" style="244" bestFit="1" customWidth="1"/>
    <col min="1039" max="1039" width="15" style="244" bestFit="1" customWidth="1"/>
    <col min="1040" max="1284" width="9.140625" style="244"/>
    <col min="1285" max="1285" width="6.42578125" style="244" bestFit="1" customWidth="1"/>
    <col min="1286" max="1286" width="32" style="244" bestFit="1" customWidth="1"/>
    <col min="1287" max="1287" width="14.5703125" style="244" bestFit="1" customWidth="1"/>
    <col min="1288" max="1288" width="12.42578125" style="244" bestFit="1" customWidth="1"/>
    <col min="1289" max="1289" width="51.28515625" style="244" bestFit="1" customWidth="1"/>
    <col min="1290" max="1290" width="14.85546875" style="244" bestFit="1" customWidth="1"/>
    <col min="1291" max="1291" width="25" style="244" bestFit="1" customWidth="1"/>
    <col min="1292" max="1293" width="12.28515625" style="244" bestFit="1" customWidth="1"/>
    <col min="1294" max="1294" width="24.7109375" style="244" bestFit="1" customWidth="1"/>
    <col min="1295" max="1295" width="15" style="244" bestFit="1" customWidth="1"/>
    <col min="1296" max="1540" width="9.140625" style="244"/>
    <col min="1541" max="1541" width="6.42578125" style="244" bestFit="1" customWidth="1"/>
    <col min="1542" max="1542" width="32" style="244" bestFit="1" customWidth="1"/>
    <col min="1543" max="1543" width="14.5703125" style="244" bestFit="1" customWidth="1"/>
    <col min="1544" max="1544" width="12.42578125" style="244" bestFit="1" customWidth="1"/>
    <col min="1545" max="1545" width="51.28515625" style="244" bestFit="1" customWidth="1"/>
    <col min="1546" max="1546" width="14.85546875" style="244" bestFit="1" customWidth="1"/>
    <col min="1547" max="1547" width="25" style="244" bestFit="1" customWidth="1"/>
    <col min="1548" max="1549" width="12.28515625" style="244" bestFit="1" customWidth="1"/>
    <col min="1550" max="1550" width="24.7109375" style="244" bestFit="1" customWidth="1"/>
    <col min="1551" max="1551" width="15" style="244" bestFit="1" customWidth="1"/>
    <col min="1552" max="1796" width="9.140625" style="244"/>
    <col min="1797" max="1797" width="6.42578125" style="244" bestFit="1" customWidth="1"/>
    <col min="1798" max="1798" width="32" style="244" bestFit="1" customWidth="1"/>
    <col min="1799" max="1799" width="14.5703125" style="244" bestFit="1" customWidth="1"/>
    <col min="1800" max="1800" width="12.42578125" style="244" bestFit="1" customWidth="1"/>
    <col min="1801" max="1801" width="51.28515625" style="244" bestFit="1" customWidth="1"/>
    <col min="1802" max="1802" width="14.85546875" style="244" bestFit="1" customWidth="1"/>
    <col min="1803" max="1803" width="25" style="244" bestFit="1" customWidth="1"/>
    <col min="1804" max="1805" width="12.28515625" style="244" bestFit="1" customWidth="1"/>
    <col min="1806" max="1806" width="24.7109375" style="244" bestFit="1" customWidth="1"/>
    <col min="1807" max="1807" width="15" style="244" bestFit="1" customWidth="1"/>
    <col min="1808" max="2052" width="9.140625" style="244"/>
    <col min="2053" max="2053" width="6.42578125" style="244" bestFit="1" customWidth="1"/>
    <col min="2054" max="2054" width="32" style="244" bestFit="1" customWidth="1"/>
    <col min="2055" max="2055" width="14.5703125" style="244" bestFit="1" customWidth="1"/>
    <col min="2056" max="2056" width="12.42578125" style="244" bestFit="1" customWidth="1"/>
    <col min="2057" max="2057" width="51.28515625" style="244" bestFit="1" customWidth="1"/>
    <col min="2058" max="2058" width="14.85546875" style="244" bestFit="1" customWidth="1"/>
    <col min="2059" max="2059" width="25" style="244" bestFit="1" customWidth="1"/>
    <col min="2060" max="2061" width="12.28515625" style="244" bestFit="1" customWidth="1"/>
    <col min="2062" max="2062" width="24.7109375" style="244" bestFit="1" customWidth="1"/>
    <col min="2063" max="2063" width="15" style="244" bestFit="1" customWidth="1"/>
    <col min="2064" max="2308" width="9.140625" style="244"/>
    <col min="2309" max="2309" width="6.42578125" style="244" bestFit="1" customWidth="1"/>
    <col min="2310" max="2310" width="32" style="244" bestFit="1" customWidth="1"/>
    <col min="2311" max="2311" width="14.5703125" style="244" bestFit="1" customWidth="1"/>
    <col min="2312" max="2312" width="12.42578125" style="244" bestFit="1" customWidth="1"/>
    <col min="2313" max="2313" width="51.28515625" style="244" bestFit="1" customWidth="1"/>
    <col min="2314" max="2314" width="14.85546875" style="244" bestFit="1" customWidth="1"/>
    <col min="2315" max="2315" width="25" style="244" bestFit="1" customWidth="1"/>
    <col min="2316" max="2317" width="12.28515625" style="244" bestFit="1" customWidth="1"/>
    <col min="2318" max="2318" width="24.7109375" style="244" bestFit="1" customWidth="1"/>
    <col min="2319" max="2319" width="15" style="244" bestFit="1" customWidth="1"/>
    <col min="2320" max="2564" width="9.140625" style="244"/>
    <col min="2565" max="2565" width="6.42578125" style="244" bestFit="1" customWidth="1"/>
    <col min="2566" max="2566" width="32" style="244" bestFit="1" customWidth="1"/>
    <col min="2567" max="2567" width="14.5703125" style="244" bestFit="1" customWidth="1"/>
    <col min="2568" max="2568" width="12.42578125" style="244" bestFit="1" customWidth="1"/>
    <col min="2569" max="2569" width="51.28515625" style="244" bestFit="1" customWidth="1"/>
    <col min="2570" max="2570" width="14.85546875" style="244" bestFit="1" customWidth="1"/>
    <col min="2571" max="2571" width="25" style="244" bestFit="1" customWidth="1"/>
    <col min="2572" max="2573" width="12.28515625" style="244" bestFit="1" customWidth="1"/>
    <col min="2574" max="2574" width="24.7109375" style="244" bestFit="1" customWidth="1"/>
    <col min="2575" max="2575" width="15" style="244" bestFit="1" customWidth="1"/>
    <col min="2576" max="2820" width="9.140625" style="244"/>
    <col min="2821" max="2821" width="6.42578125" style="244" bestFit="1" customWidth="1"/>
    <col min="2822" max="2822" width="32" style="244" bestFit="1" customWidth="1"/>
    <col min="2823" max="2823" width="14.5703125" style="244" bestFit="1" customWidth="1"/>
    <col min="2824" max="2824" width="12.42578125" style="244" bestFit="1" customWidth="1"/>
    <col min="2825" max="2825" width="51.28515625" style="244" bestFit="1" customWidth="1"/>
    <col min="2826" max="2826" width="14.85546875" style="244" bestFit="1" customWidth="1"/>
    <col min="2827" max="2827" width="25" style="244" bestFit="1" customWidth="1"/>
    <col min="2828" max="2829" width="12.28515625" style="244" bestFit="1" customWidth="1"/>
    <col min="2830" max="2830" width="24.7109375" style="244" bestFit="1" customWidth="1"/>
    <col min="2831" max="2831" width="15" style="244" bestFit="1" customWidth="1"/>
    <col min="2832" max="3076" width="9.140625" style="244"/>
    <col min="3077" max="3077" width="6.42578125" style="244" bestFit="1" customWidth="1"/>
    <col min="3078" max="3078" width="32" style="244" bestFit="1" customWidth="1"/>
    <col min="3079" max="3079" width="14.5703125" style="244" bestFit="1" customWidth="1"/>
    <col min="3080" max="3080" width="12.42578125" style="244" bestFit="1" customWidth="1"/>
    <col min="3081" max="3081" width="51.28515625" style="244" bestFit="1" customWidth="1"/>
    <col min="3082" max="3082" width="14.85546875" style="244" bestFit="1" customWidth="1"/>
    <col min="3083" max="3083" width="25" style="244" bestFit="1" customWidth="1"/>
    <col min="3084" max="3085" width="12.28515625" style="244" bestFit="1" customWidth="1"/>
    <col min="3086" max="3086" width="24.7109375" style="244" bestFit="1" customWidth="1"/>
    <col min="3087" max="3087" width="15" style="244" bestFit="1" customWidth="1"/>
    <col min="3088" max="3332" width="9.140625" style="244"/>
    <col min="3333" max="3333" width="6.42578125" style="244" bestFit="1" customWidth="1"/>
    <col min="3334" max="3334" width="32" style="244" bestFit="1" customWidth="1"/>
    <col min="3335" max="3335" width="14.5703125" style="244" bestFit="1" customWidth="1"/>
    <col min="3336" max="3336" width="12.42578125" style="244" bestFit="1" customWidth="1"/>
    <col min="3337" max="3337" width="51.28515625" style="244" bestFit="1" customWidth="1"/>
    <col min="3338" max="3338" width="14.85546875" style="244" bestFit="1" customWidth="1"/>
    <col min="3339" max="3339" width="25" style="244" bestFit="1" customWidth="1"/>
    <col min="3340" max="3341" width="12.28515625" style="244" bestFit="1" customWidth="1"/>
    <col min="3342" max="3342" width="24.7109375" style="244" bestFit="1" customWidth="1"/>
    <col min="3343" max="3343" width="15" style="244" bestFit="1" customWidth="1"/>
    <col min="3344" max="3588" width="9.140625" style="244"/>
    <col min="3589" max="3589" width="6.42578125" style="244" bestFit="1" customWidth="1"/>
    <col min="3590" max="3590" width="32" style="244" bestFit="1" customWidth="1"/>
    <col min="3591" max="3591" width="14.5703125" style="244" bestFit="1" customWidth="1"/>
    <col min="3592" max="3592" width="12.42578125" style="244" bestFit="1" customWidth="1"/>
    <col min="3593" max="3593" width="51.28515625" style="244" bestFit="1" customWidth="1"/>
    <col min="3594" max="3594" width="14.85546875" style="244" bestFit="1" customWidth="1"/>
    <col min="3595" max="3595" width="25" style="244" bestFit="1" customWidth="1"/>
    <col min="3596" max="3597" width="12.28515625" style="244" bestFit="1" customWidth="1"/>
    <col min="3598" max="3598" width="24.7109375" style="244" bestFit="1" customWidth="1"/>
    <col min="3599" max="3599" width="15" style="244" bestFit="1" customWidth="1"/>
    <col min="3600" max="3844" width="9.140625" style="244"/>
    <col min="3845" max="3845" width="6.42578125" style="244" bestFit="1" customWidth="1"/>
    <col min="3846" max="3846" width="32" style="244" bestFit="1" customWidth="1"/>
    <col min="3847" max="3847" width="14.5703125" style="244" bestFit="1" customWidth="1"/>
    <col min="3848" max="3848" width="12.42578125" style="244" bestFit="1" customWidth="1"/>
    <col min="3849" max="3849" width="51.28515625" style="244" bestFit="1" customWidth="1"/>
    <col min="3850" max="3850" width="14.85546875" style="244" bestFit="1" customWidth="1"/>
    <col min="3851" max="3851" width="25" style="244" bestFit="1" customWidth="1"/>
    <col min="3852" max="3853" width="12.28515625" style="244" bestFit="1" customWidth="1"/>
    <col min="3854" max="3854" width="24.7109375" style="244" bestFit="1" customWidth="1"/>
    <col min="3855" max="3855" width="15" style="244" bestFit="1" customWidth="1"/>
    <col min="3856" max="4100" width="9.140625" style="244"/>
    <col min="4101" max="4101" width="6.42578125" style="244" bestFit="1" customWidth="1"/>
    <col min="4102" max="4102" width="32" style="244" bestFit="1" customWidth="1"/>
    <col min="4103" max="4103" width="14.5703125" style="244" bestFit="1" customWidth="1"/>
    <col min="4104" max="4104" width="12.42578125" style="244" bestFit="1" customWidth="1"/>
    <col min="4105" max="4105" width="51.28515625" style="244" bestFit="1" customWidth="1"/>
    <col min="4106" max="4106" width="14.85546875" style="244" bestFit="1" customWidth="1"/>
    <col min="4107" max="4107" width="25" style="244" bestFit="1" customWidth="1"/>
    <col min="4108" max="4109" width="12.28515625" style="244" bestFit="1" customWidth="1"/>
    <col min="4110" max="4110" width="24.7109375" style="244" bestFit="1" customWidth="1"/>
    <col min="4111" max="4111" width="15" style="244" bestFit="1" customWidth="1"/>
    <col min="4112" max="4356" width="9.140625" style="244"/>
    <col min="4357" max="4357" width="6.42578125" style="244" bestFit="1" customWidth="1"/>
    <col min="4358" max="4358" width="32" style="244" bestFit="1" customWidth="1"/>
    <col min="4359" max="4359" width="14.5703125" style="244" bestFit="1" customWidth="1"/>
    <col min="4360" max="4360" width="12.42578125" style="244" bestFit="1" customWidth="1"/>
    <col min="4361" max="4361" width="51.28515625" style="244" bestFit="1" customWidth="1"/>
    <col min="4362" max="4362" width="14.85546875" style="244" bestFit="1" customWidth="1"/>
    <col min="4363" max="4363" width="25" style="244" bestFit="1" customWidth="1"/>
    <col min="4364" max="4365" width="12.28515625" style="244" bestFit="1" customWidth="1"/>
    <col min="4366" max="4366" width="24.7109375" style="244" bestFit="1" customWidth="1"/>
    <col min="4367" max="4367" width="15" style="244" bestFit="1" customWidth="1"/>
    <col min="4368" max="4612" width="9.140625" style="244"/>
    <col min="4613" max="4613" width="6.42578125" style="244" bestFit="1" customWidth="1"/>
    <col min="4614" max="4614" width="32" style="244" bestFit="1" customWidth="1"/>
    <col min="4615" max="4615" width="14.5703125" style="244" bestFit="1" customWidth="1"/>
    <col min="4616" max="4616" width="12.42578125" style="244" bestFit="1" customWidth="1"/>
    <col min="4617" max="4617" width="51.28515625" style="244" bestFit="1" customWidth="1"/>
    <col min="4618" max="4618" width="14.85546875" style="244" bestFit="1" customWidth="1"/>
    <col min="4619" max="4619" width="25" style="244" bestFit="1" customWidth="1"/>
    <col min="4620" max="4621" width="12.28515625" style="244" bestFit="1" customWidth="1"/>
    <col min="4622" max="4622" width="24.7109375" style="244" bestFit="1" customWidth="1"/>
    <col min="4623" max="4623" width="15" style="244" bestFit="1" customWidth="1"/>
    <col min="4624" max="4868" width="9.140625" style="244"/>
    <col min="4869" max="4869" width="6.42578125" style="244" bestFit="1" customWidth="1"/>
    <col min="4870" max="4870" width="32" style="244" bestFit="1" customWidth="1"/>
    <col min="4871" max="4871" width="14.5703125" style="244" bestFit="1" customWidth="1"/>
    <col min="4872" max="4872" width="12.42578125" style="244" bestFit="1" customWidth="1"/>
    <col min="4873" max="4873" width="51.28515625" style="244" bestFit="1" customWidth="1"/>
    <col min="4874" max="4874" width="14.85546875" style="244" bestFit="1" customWidth="1"/>
    <col min="4875" max="4875" width="25" style="244" bestFit="1" customWidth="1"/>
    <col min="4876" max="4877" width="12.28515625" style="244" bestFit="1" customWidth="1"/>
    <col min="4878" max="4878" width="24.7109375" style="244" bestFit="1" customWidth="1"/>
    <col min="4879" max="4879" width="15" style="244" bestFit="1" customWidth="1"/>
    <col min="4880" max="5124" width="9.140625" style="244"/>
    <col min="5125" max="5125" width="6.42578125" style="244" bestFit="1" customWidth="1"/>
    <col min="5126" max="5126" width="32" style="244" bestFit="1" customWidth="1"/>
    <col min="5127" max="5127" width="14.5703125" style="244" bestFit="1" customWidth="1"/>
    <col min="5128" max="5128" width="12.42578125" style="244" bestFit="1" customWidth="1"/>
    <col min="5129" max="5129" width="51.28515625" style="244" bestFit="1" customWidth="1"/>
    <col min="5130" max="5130" width="14.85546875" style="244" bestFit="1" customWidth="1"/>
    <col min="5131" max="5131" width="25" style="244" bestFit="1" customWidth="1"/>
    <col min="5132" max="5133" width="12.28515625" style="244" bestFit="1" customWidth="1"/>
    <col min="5134" max="5134" width="24.7109375" style="244" bestFit="1" customWidth="1"/>
    <col min="5135" max="5135" width="15" style="244" bestFit="1" customWidth="1"/>
    <col min="5136" max="5380" width="9.140625" style="244"/>
    <col min="5381" max="5381" width="6.42578125" style="244" bestFit="1" customWidth="1"/>
    <col min="5382" max="5382" width="32" style="244" bestFit="1" customWidth="1"/>
    <col min="5383" max="5383" width="14.5703125" style="244" bestFit="1" customWidth="1"/>
    <col min="5384" max="5384" width="12.42578125" style="244" bestFit="1" customWidth="1"/>
    <col min="5385" max="5385" width="51.28515625" style="244" bestFit="1" customWidth="1"/>
    <col min="5386" max="5386" width="14.85546875" style="244" bestFit="1" customWidth="1"/>
    <col min="5387" max="5387" width="25" style="244" bestFit="1" customWidth="1"/>
    <col min="5388" max="5389" width="12.28515625" style="244" bestFit="1" customWidth="1"/>
    <col min="5390" max="5390" width="24.7109375" style="244" bestFit="1" customWidth="1"/>
    <col min="5391" max="5391" width="15" style="244" bestFit="1" customWidth="1"/>
    <col min="5392" max="5636" width="9.140625" style="244"/>
    <col min="5637" max="5637" width="6.42578125" style="244" bestFit="1" customWidth="1"/>
    <col min="5638" max="5638" width="32" style="244" bestFit="1" customWidth="1"/>
    <col min="5639" max="5639" width="14.5703125" style="244" bestFit="1" customWidth="1"/>
    <col min="5640" max="5640" width="12.42578125" style="244" bestFit="1" customWidth="1"/>
    <col min="5641" max="5641" width="51.28515625" style="244" bestFit="1" customWidth="1"/>
    <col min="5642" max="5642" width="14.85546875" style="244" bestFit="1" customWidth="1"/>
    <col min="5643" max="5643" width="25" style="244" bestFit="1" customWidth="1"/>
    <col min="5644" max="5645" width="12.28515625" style="244" bestFit="1" customWidth="1"/>
    <col min="5646" max="5646" width="24.7109375" style="244" bestFit="1" customWidth="1"/>
    <col min="5647" max="5647" width="15" style="244" bestFit="1" customWidth="1"/>
    <col min="5648" max="5892" width="9.140625" style="244"/>
    <col min="5893" max="5893" width="6.42578125" style="244" bestFit="1" customWidth="1"/>
    <col min="5894" max="5894" width="32" style="244" bestFit="1" customWidth="1"/>
    <col min="5895" max="5895" width="14.5703125" style="244" bestFit="1" customWidth="1"/>
    <col min="5896" max="5896" width="12.42578125" style="244" bestFit="1" customWidth="1"/>
    <col min="5897" max="5897" width="51.28515625" style="244" bestFit="1" customWidth="1"/>
    <col min="5898" max="5898" width="14.85546875" style="244" bestFit="1" customWidth="1"/>
    <col min="5899" max="5899" width="25" style="244" bestFit="1" customWidth="1"/>
    <col min="5900" max="5901" width="12.28515625" style="244" bestFit="1" customWidth="1"/>
    <col min="5902" max="5902" width="24.7109375" style="244" bestFit="1" customWidth="1"/>
    <col min="5903" max="5903" width="15" style="244" bestFit="1" customWidth="1"/>
    <col min="5904" max="6148" width="9.140625" style="244"/>
    <col min="6149" max="6149" width="6.42578125" style="244" bestFit="1" customWidth="1"/>
    <col min="6150" max="6150" width="32" style="244" bestFit="1" customWidth="1"/>
    <col min="6151" max="6151" width="14.5703125" style="244" bestFit="1" customWidth="1"/>
    <col min="6152" max="6152" width="12.42578125" style="244" bestFit="1" customWidth="1"/>
    <col min="6153" max="6153" width="51.28515625" style="244" bestFit="1" customWidth="1"/>
    <col min="6154" max="6154" width="14.85546875" style="244" bestFit="1" customWidth="1"/>
    <col min="6155" max="6155" width="25" style="244" bestFit="1" customWidth="1"/>
    <col min="6156" max="6157" width="12.28515625" style="244" bestFit="1" customWidth="1"/>
    <col min="6158" max="6158" width="24.7109375" style="244" bestFit="1" customWidth="1"/>
    <col min="6159" max="6159" width="15" style="244" bestFit="1" customWidth="1"/>
    <col min="6160" max="6404" width="9.140625" style="244"/>
    <col min="6405" max="6405" width="6.42578125" style="244" bestFit="1" customWidth="1"/>
    <col min="6406" max="6406" width="32" style="244" bestFit="1" customWidth="1"/>
    <col min="6407" max="6407" width="14.5703125" style="244" bestFit="1" customWidth="1"/>
    <col min="6408" max="6408" width="12.42578125" style="244" bestFit="1" customWidth="1"/>
    <col min="6409" max="6409" width="51.28515625" style="244" bestFit="1" customWidth="1"/>
    <col min="6410" max="6410" width="14.85546875" style="244" bestFit="1" customWidth="1"/>
    <col min="6411" max="6411" width="25" style="244" bestFit="1" customWidth="1"/>
    <col min="6412" max="6413" width="12.28515625" style="244" bestFit="1" customWidth="1"/>
    <col min="6414" max="6414" width="24.7109375" style="244" bestFit="1" customWidth="1"/>
    <col min="6415" max="6415" width="15" style="244" bestFit="1" customWidth="1"/>
    <col min="6416" max="6660" width="9.140625" style="244"/>
    <col min="6661" max="6661" width="6.42578125" style="244" bestFit="1" customWidth="1"/>
    <col min="6662" max="6662" width="32" style="244" bestFit="1" customWidth="1"/>
    <col min="6663" max="6663" width="14.5703125" style="244" bestFit="1" customWidth="1"/>
    <col min="6664" max="6664" width="12.42578125" style="244" bestFit="1" customWidth="1"/>
    <col min="6665" max="6665" width="51.28515625" style="244" bestFit="1" customWidth="1"/>
    <col min="6666" max="6666" width="14.85546875" style="244" bestFit="1" customWidth="1"/>
    <col min="6667" max="6667" width="25" style="244" bestFit="1" customWidth="1"/>
    <col min="6668" max="6669" width="12.28515625" style="244" bestFit="1" customWidth="1"/>
    <col min="6670" max="6670" width="24.7109375" style="244" bestFit="1" customWidth="1"/>
    <col min="6671" max="6671" width="15" style="244" bestFit="1" customWidth="1"/>
    <col min="6672" max="6916" width="9.140625" style="244"/>
    <col min="6917" max="6917" width="6.42578125" style="244" bestFit="1" customWidth="1"/>
    <col min="6918" max="6918" width="32" style="244" bestFit="1" customWidth="1"/>
    <col min="6919" max="6919" width="14.5703125" style="244" bestFit="1" customWidth="1"/>
    <col min="6920" max="6920" width="12.42578125" style="244" bestFit="1" customWidth="1"/>
    <col min="6921" max="6921" width="51.28515625" style="244" bestFit="1" customWidth="1"/>
    <col min="6922" max="6922" width="14.85546875" style="244" bestFit="1" customWidth="1"/>
    <col min="6923" max="6923" width="25" style="244" bestFit="1" customWidth="1"/>
    <col min="6924" max="6925" width="12.28515625" style="244" bestFit="1" customWidth="1"/>
    <col min="6926" max="6926" width="24.7109375" style="244" bestFit="1" customWidth="1"/>
    <col min="6927" max="6927" width="15" style="244" bestFit="1" customWidth="1"/>
    <col min="6928" max="7172" width="9.140625" style="244"/>
    <col min="7173" max="7173" width="6.42578125" style="244" bestFit="1" customWidth="1"/>
    <col min="7174" max="7174" width="32" style="244" bestFit="1" customWidth="1"/>
    <col min="7175" max="7175" width="14.5703125" style="244" bestFit="1" customWidth="1"/>
    <col min="7176" max="7176" width="12.42578125" style="244" bestFit="1" customWidth="1"/>
    <col min="7177" max="7177" width="51.28515625" style="244" bestFit="1" customWidth="1"/>
    <col min="7178" max="7178" width="14.85546875" style="244" bestFit="1" customWidth="1"/>
    <col min="7179" max="7179" width="25" style="244" bestFit="1" customWidth="1"/>
    <col min="7180" max="7181" width="12.28515625" style="244" bestFit="1" customWidth="1"/>
    <col min="7182" max="7182" width="24.7109375" style="244" bestFit="1" customWidth="1"/>
    <col min="7183" max="7183" width="15" style="244" bestFit="1" customWidth="1"/>
    <col min="7184" max="7428" width="9.140625" style="244"/>
    <col min="7429" max="7429" width="6.42578125" style="244" bestFit="1" customWidth="1"/>
    <col min="7430" max="7430" width="32" style="244" bestFit="1" customWidth="1"/>
    <col min="7431" max="7431" width="14.5703125" style="244" bestFit="1" customWidth="1"/>
    <col min="7432" max="7432" width="12.42578125" style="244" bestFit="1" customWidth="1"/>
    <col min="7433" max="7433" width="51.28515625" style="244" bestFit="1" customWidth="1"/>
    <col min="7434" max="7434" width="14.85546875" style="244" bestFit="1" customWidth="1"/>
    <col min="7435" max="7435" width="25" style="244" bestFit="1" customWidth="1"/>
    <col min="7436" max="7437" width="12.28515625" style="244" bestFit="1" customWidth="1"/>
    <col min="7438" max="7438" width="24.7109375" style="244" bestFit="1" customWidth="1"/>
    <col min="7439" max="7439" width="15" style="244" bestFit="1" customWidth="1"/>
    <col min="7440" max="7684" width="9.140625" style="244"/>
    <col min="7685" max="7685" width="6.42578125" style="244" bestFit="1" customWidth="1"/>
    <col min="7686" max="7686" width="32" style="244" bestFit="1" customWidth="1"/>
    <col min="7687" max="7687" width="14.5703125" style="244" bestFit="1" customWidth="1"/>
    <col min="7688" max="7688" width="12.42578125" style="244" bestFit="1" customWidth="1"/>
    <col min="7689" max="7689" width="51.28515625" style="244" bestFit="1" customWidth="1"/>
    <col min="7690" max="7690" width="14.85546875" style="244" bestFit="1" customWidth="1"/>
    <col min="7691" max="7691" width="25" style="244" bestFit="1" customWidth="1"/>
    <col min="7692" max="7693" width="12.28515625" style="244" bestFit="1" customWidth="1"/>
    <col min="7694" max="7694" width="24.7109375" style="244" bestFit="1" customWidth="1"/>
    <col min="7695" max="7695" width="15" style="244" bestFit="1" customWidth="1"/>
    <col min="7696" max="7940" width="9.140625" style="244"/>
    <col min="7941" max="7941" width="6.42578125" style="244" bestFit="1" customWidth="1"/>
    <col min="7942" max="7942" width="32" style="244" bestFit="1" customWidth="1"/>
    <col min="7943" max="7943" width="14.5703125" style="244" bestFit="1" customWidth="1"/>
    <col min="7944" max="7944" width="12.42578125" style="244" bestFit="1" customWidth="1"/>
    <col min="7945" max="7945" width="51.28515625" style="244" bestFit="1" customWidth="1"/>
    <col min="7946" max="7946" width="14.85546875" style="244" bestFit="1" customWidth="1"/>
    <col min="7947" max="7947" width="25" style="244" bestFit="1" customWidth="1"/>
    <col min="7948" max="7949" width="12.28515625" style="244" bestFit="1" customWidth="1"/>
    <col min="7950" max="7950" width="24.7109375" style="244" bestFit="1" customWidth="1"/>
    <col min="7951" max="7951" width="15" style="244" bestFit="1" customWidth="1"/>
    <col min="7952" max="8196" width="9.140625" style="244"/>
    <col min="8197" max="8197" width="6.42578125" style="244" bestFit="1" customWidth="1"/>
    <col min="8198" max="8198" width="32" style="244" bestFit="1" customWidth="1"/>
    <col min="8199" max="8199" width="14.5703125" style="244" bestFit="1" customWidth="1"/>
    <col min="8200" max="8200" width="12.42578125" style="244" bestFit="1" customWidth="1"/>
    <col min="8201" max="8201" width="51.28515625" style="244" bestFit="1" customWidth="1"/>
    <col min="8202" max="8202" width="14.85546875" style="244" bestFit="1" customWidth="1"/>
    <col min="8203" max="8203" width="25" style="244" bestFit="1" customWidth="1"/>
    <col min="8204" max="8205" width="12.28515625" style="244" bestFit="1" customWidth="1"/>
    <col min="8206" max="8206" width="24.7109375" style="244" bestFit="1" customWidth="1"/>
    <col min="8207" max="8207" width="15" style="244" bestFit="1" customWidth="1"/>
    <col min="8208" max="8452" width="9.140625" style="244"/>
    <col min="8453" max="8453" width="6.42578125" style="244" bestFit="1" customWidth="1"/>
    <col min="8454" max="8454" width="32" style="244" bestFit="1" customWidth="1"/>
    <col min="8455" max="8455" width="14.5703125" style="244" bestFit="1" customWidth="1"/>
    <col min="8456" max="8456" width="12.42578125" style="244" bestFit="1" customWidth="1"/>
    <col min="8457" max="8457" width="51.28515625" style="244" bestFit="1" customWidth="1"/>
    <col min="8458" max="8458" width="14.85546875" style="244" bestFit="1" customWidth="1"/>
    <col min="8459" max="8459" width="25" style="244" bestFit="1" customWidth="1"/>
    <col min="8460" max="8461" width="12.28515625" style="244" bestFit="1" customWidth="1"/>
    <col min="8462" max="8462" width="24.7109375" style="244" bestFit="1" customWidth="1"/>
    <col min="8463" max="8463" width="15" style="244" bestFit="1" customWidth="1"/>
    <col min="8464" max="8708" width="9.140625" style="244"/>
    <col min="8709" max="8709" width="6.42578125" style="244" bestFit="1" customWidth="1"/>
    <col min="8710" max="8710" width="32" style="244" bestFit="1" customWidth="1"/>
    <col min="8711" max="8711" width="14.5703125" style="244" bestFit="1" customWidth="1"/>
    <col min="8712" max="8712" width="12.42578125" style="244" bestFit="1" customWidth="1"/>
    <col min="8713" max="8713" width="51.28515625" style="244" bestFit="1" customWidth="1"/>
    <col min="8714" max="8714" width="14.85546875" style="244" bestFit="1" customWidth="1"/>
    <col min="8715" max="8715" width="25" style="244" bestFit="1" customWidth="1"/>
    <col min="8716" max="8717" width="12.28515625" style="244" bestFit="1" customWidth="1"/>
    <col min="8718" max="8718" width="24.7109375" style="244" bestFit="1" customWidth="1"/>
    <col min="8719" max="8719" width="15" style="244" bestFit="1" customWidth="1"/>
    <col min="8720" max="8964" width="9.140625" style="244"/>
    <col min="8965" max="8965" width="6.42578125" style="244" bestFit="1" customWidth="1"/>
    <col min="8966" max="8966" width="32" style="244" bestFit="1" customWidth="1"/>
    <col min="8967" max="8967" width="14.5703125" style="244" bestFit="1" customWidth="1"/>
    <col min="8968" max="8968" width="12.42578125" style="244" bestFit="1" customWidth="1"/>
    <col min="8969" max="8969" width="51.28515625" style="244" bestFit="1" customWidth="1"/>
    <col min="8970" max="8970" width="14.85546875" style="244" bestFit="1" customWidth="1"/>
    <col min="8971" max="8971" width="25" style="244" bestFit="1" customWidth="1"/>
    <col min="8972" max="8973" width="12.28515625" style="244" bestFit="1" customWidth="1"/>
    <col min="8974" max="8974" width="24.7109375" style="244" bestFit="1" customWidth="1"/>
    <col min="8975" max="8975" width="15" style="244" bestFit="1" customWidth="1"/>
    <col min="8976" max="9220" width="9.140625" style="244"/>
    <col min="9221" max="9221" width="6.42578125" style="244" bestFit="1" customWidth="1"/>
    <col min="9222" max="9222" width="32" style="244" bestFit="1" customWidth="1"/>
    <col min="9223" max="9223" width="14.5703125" style="244" bestFit="1" customWidth="1"/>
    <col min="9224" max="9224" width="12.42578125" style="244" bestFit="1" customWidth="1"/>
    <col min="9225" max="9225" width="51.28515625" style="244" bestFit="1" customWidth="1"/>
    <col min="9226" max="9226" width="14.85546875" style="244" bestFit="1" customWidth="1"/>
    <col min="9227" max="9227" width="25" style="244" bestFit="1" customWidth="1"/>
    <col min="9228" max="9229" width="12.28515625" style="244" bestFit="1" customWidth="1"/>
    <col min="9230" max="9230" width="24.7109375" style="244" bestFit="1" customWidth="1"/>
    <col min="9231" max="9231" width="15" style="244" bestFit="1" customWidth="1"/>
    <col min="9232" max="9476" width="9.140625" style="244"/>
    <col min="9477" max="9477" width="6.42578125" style="244" bestFit="1" customWidth="1"/>
    <col min="9478" max="9478" width="32" style="244" bestFit="1" customWidth="1"/>
    <col min="9479" max="9479" width="14.5703125" style="244" bestFit="1" customWidth="1"/>
    <col min="9480" max="9480" width="12.42578125" style="244" bestFit="1" customWidth="1"/>
    <col min="9481" max="9481" width="51.28515625" style="244" bestFit="1" customWidth="1"/>
    <col min="9482" max="9482" width="14.85546875" style="244" bestFit="1" customWidth="1"/>
    <col min="9483" max="9483" width="25" style="244" bestFit="1" customWidth="1"/>
    <col min="9484" max="9485" width="12.28515625" style="244" bestFit="1" customWidth="1"/>
    <col min="9486" max="9486" width="24.7109375" style="244" bestFit="1" customWidth="1"/>
    <col min="9487" max="9487" width="15" style="244" bestFit="1" customWidth="1"/>
    <col min="9488" max="9732" width="9.140625" style="244"/>
    <col min="9733" max="9733" width="6.42578125" style="244" bestFit="1" customWidth="1"/>
    <col min="9734" max="9734" width="32" style="244" bestFit="1" customWidth="1"/>
    <col min="9735" max="9735" width="14.5703125" style="244" bestFit="1" customWidth="1"/>
    <col min="9736" max="9736" width="12.42578125" style="244" bestFit="1" customWidth="1"/>
    <col min="9737" max="9737" width="51.28515625" style="244" bestFit="1" customWidth="1"/>
    <col min="9738" max="9738" width="14.85546875" style="244" bestFit="1" customWidth="1"/>
    <col min="9739" max="9739" width="25" style="244" bestFit="1" customWidth="1"/>
    <col min="9740" max="9741" width="12.28515625" style="244" bestFit="1" customWidth="1"/>
    <col min="9742" max="9742" width="24.7109375" style="244" bestFit="1" customWidth="1"/>
    <col min="9743" max="9743" width="15" style="244" bestFit="1" customWidth="1"/>
    <col min="9744" max="9988" width="9.140625" style="244"/>
    <col min="9989" max="9989" width="6.42578125" style="244" bestFit="1" customWidth="1"/>
    <col min="9990" max="9990" width="32" style="244" bestFit="1" customWidth="1"/>
    <col min="9991" max="9991" width="14.5703125" style="244" bestFit="1" customWidth="1"/>
    <col min="9992" max="9992" width="12.42578125" style="244" bestFit="1" customWidth="1"/>
    <col min="9993" max="9993" width="51.28515625" style="244" bestFit="1" customWidth="1"/>
    <col min="9994" max="9994" width="14.85546875" style="244" bestFit="1" customWidth="1"/>
    <col min="9995" max="9995" width="25" style="244" bestFit="1" customWidth="1"/>
    <col min="9996" max="9997" width="12.28515625" style="244" bestFit="1" customWidth="1"/>
    <col min="9998" max="9998" width="24.7109375" style="244" bestFit="1" customWidth="1"/>
    <col min="9999" max="9999" width="15" style="244" bestFit="1" customWidth="1"/>
    <col min="10000" max="10244" width="9.140625" style="244"/>
    <col min="10245" max="10245" width="6.42578125" style="244" bestFit="1" customWidth="1"/>
    <col min="10246" max="10246" width="32" style="244" bestFit="1" customWidth="1"/>
    <col min="10247" max="10247" width="14.5703125" style="244" bestFit="1" customWidth="1"/>
    <col min="10248" max="10248" width="12.42578125" style="244" bestFit="1" customWidth="1"/>
    <col min="10249" max="10249" width="51.28515625" style="244" bestFit="1" customWidth="1"/>
    <col min="10250" max="10250" width="14.85546875" style="244" bestFit="1" customWidth="1"/>
    <col min="10251" max="10251" width="25" style="244" bestFit="1" customWidth="1"/>
    <col min="10252" max="10253" width="12.28515625" style="244" bestFit="1" customWidth="1"/>
    <col min="10254" max="10254" width="24.7109375" style="244" bestFit="1" customWidth="1"/>
    <col min="10255" max="10255" width="15" style="244" bestFit="1" customWidth="1"/>
    <col min="10256" max="10500" width="9.140625" style="244"/>
    <col min="10501" max="10501" width="6.42578125" style="244" bestFit="1" customWidth="1"/>
    <col min="10502" max="10502" width="32" style="244" bestFit="1" customWidth="1"/>
    <col min="10503" max="10503" width="14.5703125" style="244" bestFit="1" customWidth="1"/>
    <col min="10504" max="10504" width="12.42578125" style="244" bestFit="1" customWidth="1"/>
    <col min="10505" max="10505" width="51.28515625" style="244" bestFit="1" customWidth="1"/>
    <col min="10506" max="10506" width="14.85546875" style="244" bestFit="1" customWidth="1"/>
    <col min="10507" max="10507" width="25" style="244" bestFit="1" customWidth="1"/>
    <col min="10508" max="10509" width="12.28515625" style="244" bestFit="1" customWidth="1"/>
    <col min="10510" max="10510" width="24.7109375" style="244" bestFit="1" customWidth="1"/>
    <col min="10511" max="10511" width="15" style="244" bestFit="1" customWidth="1"/>
    <col min="10512" max="10756" width="9.140625" style="244"/>
    <col min="10757" max="10757" width="6.42578125" style="244" bestFit="1" customWidth="1"/>
    <col min="10758" max="10758" width="32" style="244" bestFit="1" customWidth="1"/>
    <col min="10759" max="10759" width="14.5703125" style="244" bestFit="1" customWidth="1"/>
    <col min="10760" max="10760" width="12.42578125" style="244" bestFit="1" customWidth="1"/>
    <col min="10761" max="10761" width="51.28515625" style="244" bestFit="1" customWidth="1"/>
    <col min="10762" max="10762" width="14.85546875" style="244" bestFit="1" customWidth="1"/>
    <col min="10763" max="10763" width="25" style="244" bestFit="1" customWidth="1"/>
    <col min="10764" max="10765" width="12.28515625" style="244" bestFit="1" customWidth="1"/>
    <col min="10766" max="10766" width="24.7109375" style="244" bestFit="1" customWidth="1"/>
    <col min="10767" max="10767" width="15" style="244" bestFit="1" customWidth="1"/>
    <col min="10768" max="11012" width="9.140625" style="244"/>
    <col min="11013" max="11013" width="6.42578125" style="244" bestFit="1" customWidth="1"/>
    <col min="11014" max="11014" width="32" style="244" bestFit="1" customWidth="1"/>
    <col min="11015" max="11015" width="14.5703125" style="244" bestFit="1" customWidth="1"/>
    <col min="11016" max="11016" width="12.42578125" style="244" bestFit="1" customWidth="1"/>
    <col min="11017" max="11017" width="51.28515625" style="244" bestFit="1" customWidth="1"/>
    <col min="11018" max="11018" width="14.85546875" style="244" bestFit="1" customWidth="1"/>
    <col min="11019" max="11019" width="25" style="244" bestFit="1" customWidth="1"/>
    <col min="11020" max="11021" width="12.28515625" style="244" bestFit="1" customWidth="1"/>
    <col min="11022" max="11022" width="24.7109375" style="244" bestFit="1" customWidth="1"/>
    <col min="11023" max="11023" width="15" style="244" bestFit="1" customWidth="1"/>
    <col min="11024" max="11268" width="9.140625" style="244"/>
    <col min="11269" max="11269" width="6.42578125" style="244" bestFit="1" customWidth="1"/>
    <col min="11270" max="11270" width="32" style="244" bestFit="1" customWidth="1"/>
    <col min="11271" max="11271" width="14.5703125" style="244" bestFit="1" customWidth="1"/>
    <col min="11272" max="11272" width="12.42578125" style="244" bestFit="1" customWidth="1"/>
    <col min="11273" max="11273" width="51.28515625" style="244" bestFit="1" customWidth="1"/>
    <col min="11274" max="11274" width="14.85546875" style="244" bestFit="1" customWidth="1"/>
    <col min="11275" max="11275" width="25" style="244" bestFit="1" customWidth="1"/>
    <col min="11276" max="11277" width="12.28515625" style="244" bestFit="1" customWidth="1"/>
    <col min="11278" max="11278" width="24.7109375" style="244" bestFit="1" customWidth="1"/>
    <col min="11279" max="11279" width="15" style="244" bestFit="1" customWidth="1"/>
    <col min="11280" max="11524" width="9.140625" style="244"/>
    <col min="11525" max="11525" width="6.42578125" style="244" bestFit="1" customWidth="1"/>
    <col min="11526" max="11526" width="32" style="244" bestFit="1" customWidth="1"/>
    <col min="11527" max="11527" width="14.5703125" style="244" bestFit="1" customWidth="1"/>
    <col min="11528" max="11528" width="12.42578125" style="244" bestFit="1" customWidth="1"/>
    <col min="11529" max="11529" width="51.28515625" style="244" bestFit="1" customWidth="1"/>
    <col min="11530" max="11530" width="14.85546875" style="244" bestFit="1" customWidth="1"/>
    <col min="11531" max="11531" width="25" style="244" bestFit="1" customWidth="1"/>
    <col min="11532" max="11533" width="12.28515625" style="244" bestFit="1" customWidth="1"/>
    <col min="11534" max="11534" width="24.7109375" style="244" bestFit="1" customWidth="1"/>
    <col min="11535" max="11535" width="15" style="244" bestFit="1" customWidth="1"/>
    <col min="11536" max="11780" width="9.140625" style="244"/>
    <col min="11781" max="11781" width="6.42578125" style="244" bestFit="1" customWidth="1"/>
    <col min="11782" max="11782" width="32" style="244" bestFit="1" customWidth="1"/>
    <col min="11783" max="11783" width="14.5703125" style="244" bestFit="1" customWidth="1"/>
    <col min="11784" max="11784" width="12.42578125" style="244" bestFit="1" customWidth="1"/>
    <col min="11785" max="11785" width="51.28515625" style="244" bestFit="1" customWidth="1"/>
    <col min="11786" max="11786" width="14.85546875" style="244" bestFit="1" customWidth="1"/>
    <col min="11787" max="11787" width="25" style="244" bestFit="1" customWidth="1"/>
    <col min="11788" max="11789" width="12.28515625" style="244" bestFit="1" customWidth="1"/>
    <col min="11790" max="11790" width="24.7109375" style="244" bestFit="1" customWidth="1"/>
    <col min="11791" max="11791" width="15" style="244" bestFit="1" customWidth="1"/>
    <col min="11792" max="12036" width="9.140625" style="244"/>
    <col min="12037" max="12037" width="6.42578125" style="244" bestFit="1" customWidth="1"/>
    <col min="12038" max="12038" width="32" style="244" bestFit="1" customWidth="1"/>
    <col min="12039" max="12039" width="14.5703125" style="244" bestFit="1" customWidth="1"/>
    <col min="12040" max="12040" width="12.42578125" style="244" bestFit="1" customWidth="1"/>
    <col min="12041" max="12041" width="51.28515625" style="244" bestFit="1" customWidth="1"/>
    <col min="12042" max="12042" width="14.85546875" style="244" bestFit="1" customWidth="1"/>
    <col min="12043" max="12043" width="25" style="244" bestFit="1" customWidth="1"/>
    <col min="12044" max="12045" width="12.28515625" style="244" bestFit="1" customWidth="1"/>
    <col min="12046" max="12046" width="24.7109375" style="244" bestFit="1" customWidth="1"/>
    <col min="12047" max="12047" width="15" style="244" bestFit="1" customWidth="1"/>
    <col min="12048" max="12292" width="9.140625" style="244"/>
    <col min="12293" max="12293" width="6.42578125" style="244" bestFit="1" customWidth="1"/>
    <col min="12294" max="12294" width="32" style="244" bestFit="1" customWidth="1"/>
    <col min="12295" max="12295" width="14.5703125" style="244" bestFit="1" customWidth="1"/>
    <col min="12296" max="12296" width="12.42578125" style="244" bestFit="1" customWidth="1"/>
    <col min="12297" max="12297" width="51.28515625" style="244" bestFit="1" customWidth="1"/>
    <col min="12298" max="12298" width="14.85546875" style="244" bestFit="1" customWidth="1"/>
    <col min="12299" max="12299" width="25" style="244" bestFit="1" customWidth="1"/>
    <col min="12300" max="12301" width="12.28515625" style="244" bestFit="1" customWidth="1"/>
    <col min="12302" max="12302" width="24.7109375" style="244" bestFit="1" customWidth="1"/>
    <col min="12303" max="12303" width="15" style="244" bestFit="1" customWidth="1"/>
    <col min="12304" max="12548" width="9.140625" style="244"/>
    <col min="12549" max="12549" width="6.42578125" style="244" bestFit="1" customWidth="1"/>
    <col min="12550" max="12550" width="32" style="244" bestFit="1" customWidth="1"/>
    <col min="12551" max="12551" width="14.5703125" style="244" bestFit="1" customWidth="1"/>
    <col min="12552" max="12552" width="12.42578125" style="244" bestFit="1" customWidth="1"/>
    <col min="12553" max="12553" width="51.28515625" style="244" bestFit="1" customWidth="1"/>
    <col min="12554" max="12554" width="14.85546875" style="244" bestFit="1" customWidth="1"/>
    <col min="12555" max="12555" width="25" style="244" bestFit="1" customWidth="1"/>
    <col min="12556" max="12557" width="12.28515625" style="244" bestFit="1" customWidth="1"/>
    <col min="12558" max="12558" width="24.7109375" style="244" bestFit="1" customWidth="1"/>
    <col min="12559" max="12559" width="15" style="244" bestFit="1" customWidth="1"/>
    <col min="12560" max="12804" width="9.140625" style="244"/>
    <col min="12805" max="12805" width="6.42578125" style="244" bestFit="1" customWidth="1"/>
    <col min="12806" max="12806" width="32" style="244" bestFit="1" customWidth="1"/>
    <col min="12807" max="12807" width="14.5703125" style="244" bestFit="1" customWidth="1"/>
    <col min="12808" max="12808" width="12.42578125" style="244" bestFit="1" customWidth="1"/>
    <col min="12809" max="12809" width="51.28515625" style="244" bestFit="1" customWidth="1"/>
    <col min="12810" max="12810" width="14.85546875" style="244" bestFit="1" customWidth="1"/>
    <col min="12811" max="12811" width="25" style="244" bestFit="1" customWidth="1"/>
    <col min="12812" max="12813" width="12.28515625" style="244" bestFit="1" customWidth="1"/>
    <col min="12814" max="12814" width="24.7109375" style="244" bestFit="1" customWidth="1"/>
    <col min="12815" max="12815" width="15" style="244" bestFit="1" customWidth="1"/>
    <col min="12816" max="13060" width="9.140625" style="244"/>
    <col min="13061" max="13061" width="6.42578125" style="244" bestFit="1" customWidth="1"/>
    <col min="13062" max="13062" width="32" style="244" bestFit="1" customWidth="1"/>
    <col min="13063" max="13063" width="14.5703125" style="244" bestFit="1" customWidth="1"/>
    <col min="13064" max="13064" width="12.42578125" style="244" bestFit="1" customWidth="1"/>
    <col min="13065" max="13065" width="51.28515625" style="244" bestFit="1" customWidth="1"/>
    <col min="13066" max="13066" width="14.85546875" style="244" bestFit="1" customWidth="1"/>
    <col min="13067" max="13067" width="25" style="244" bestFit="1" customWidth="1"/>
    <col min="13068" max="13069" width="12.28515625" style="244" bestFit="1" customWidth="1"/>
    <col min="13070" max="13070" width="24.7109375" style="244" bestFit="1" customWidth="1"/>
    <col min="13071" max="13071" width="15" style="244" bestFit="1" customWidth="1"/>
    <col min="13072" max="13316" width="9.140625" style="244"/>
    <col min="13317" max="13317" width="6.42578125" style="244" bestFit="1" customWidth="1"/>
    <col min="13318" max="13318" width="32" style="244" bestFit="1" customWidth="1"/>
    <col min="13319" max="13319" width="14.5703125" style="244" bestFit="1" customWidth="1"/>
    <col min="13320" max="13320" width="12.42578125" style="244" bestFit="1" customWidth="1"/>
    <col min="13321" max="13321" width="51.28515625" style="244" bestFit="1" customWidth="1"/>
    <col min="13322" max="13322" width="14.85546875" style="244" bestFit="1" customWidth="1"/>
    <col min="13323" max="13323" width="25" style="244" bestFit="1" customWidth="1"/>
    <col min="13324" max="13325" width="12.28515625" style="244" bestFit="1" customWidth="1"/>
    <col min="13326" max="13326" width="24.7109375" style="244" bestFit="1" customWidth="1"/>
    <col min="13327" max="13327" width="15" style="244" bestFit="1" customWidth="1"/>
    <col min="13328" max="13572" width="9.140625" style="244"/>
    <col min="13573" max="13573" width="6.42578125" style="244" bestFit="1" customWidth="1"/>
    <col min="13574" max="13574" width="32" style="244" bestFit="1" customWidth="1"/>
    <col min="13575" max="13575" width="14.5703125" style="244" bestFit="1" customWidth="1"/>
    <col min="13576" max="13576" width="12.42578125" style="244" bestFit="1" customWidth="1"/>
    <col min="13577" max="13577" width="51.28515625" style="244" bestFit="1" customWidth="1"/>
    <col min="13578" max="13578" width="14.85546875" style="244" bestFit="1" customWidth="1"/>
    <col min="13579" max="13579" width="25" style="244" bestFit="1" customWidth="1"/>
    <col min="13580" max="13581" width="12.28515625" style="244" bestFit="1" customWidth="1"/>
    <col min="13582" max="13582" width="24.7109375" style="244" bestFit="1" customWidth="1"/>
    <col min="13583" max="13583" width="15" style="244" bestFit="1" customWidth="1"/>
    <col min="13584" max="13828" width="9.140625" style="244"/>
    <col min="13829" max="13829" width="6.42578125" style="244" bestFit="1" customWidth="1"/>
    <col min="13830" max="13830" width="32" style="244" bestFit="1" customWidth="1"/>
    <col min="13831" max="13831" width="14.5703125" style="244" bestFit="1" customWidth="1"/>
    <col min="13832" max="13832" width="12.42578125" style="244" bestFit="1" customWidth="1"/>
    <col min="13833" max="13833" width="51.28515625" style="244" bestFit="1" customWidth="1"/>
    <col min="13834" max="13834" width="14.85546875" style="244" bestFit="1" customWidth="1"/>
    <col min="13835" max="13835" width="25" style="244" bestFit="1" customWidth="1"/>
    <col min="13836" max="13837" width="12.28515625" style="244" bestFit="1" customWidth="1"/>
    <col min="13838" max="13838" width="24.7109375" style="244" bestFit="1" customWidth="1"/>
    <col min="13839" max="13839" width="15" style="244" bestFit="1" customWidth="1"/>
    <col min="13840" max="14084" width="9.140625" style="244"/>
    <col min="14085" max="14085" width="6.42578125" style="244" bestFit="1" customWidth="1"/>
    <col min="14086" max="14086" width="32" style="244" bestFit="1" customWidth="1"/>
    <col min="14087" max="14087" width="14.5703125" style="244" bestFit="1" customWidth="1"/>
    <col min="14088" max="14088" width="12.42578125" style="244" bestFit="1" customWidth="1"/>
    <col min="14089" max="14089" width="51.28515625" style="244" bestFit="1" customWidth="1"/>
    <col min="14090" max="14090" width="14.85546875" style="244" bestFit="1" customWidth="1"/>
    <col min="14091" max="14091" width="25" style="244" bestFit="1" customWidth="1"/>
    <col min="14092" max="14093" width="12.28515625" style="244" bestFit="1" customWidth="1"/>
    <col min="14094" max="14094" width="24.7109375" style="244" bestFit="1" customWidth="1"/>
    <col min="14095" max="14095" width="15" style="244" bestFit="1" customWidth="1"/>
    <col min="14096" max="14340" width="9.140625" style="244"/>
    <col min="14341" max="14341" width="6.42578125" style="244" bestFit="1" customWidth="1"/>
    <col min="14342" max="14342" width="32" style="244" bestFit="1" customWidth="1"/>
    <col min="14343" max="14343" width="14.5703125" style="244" bestFit="1" customWidth="1"/>
    <col min="14344" max="14344" width="12.42578125" style="244" bestFit="1" customWidth="1"/>
    <col min="14345" max="14345" width="51.28515625" style="244" bestFit="1" customWidth="1"/>
    <col min="14346" max="14346" width="14.85546875" style="244" bestFit="1" customWidth="1"/>
    <col min="14347" max="14347" width="25" style="244" bestFit="1" customWidth="1"/>
    <col min="14348" max="14349" width="12.28515625" style="244" bestFit="1" customWidth="1"/>
    <col min="14350" max="14350" width="24.7109375" style="244" bestFit="1" customWidth="1"/>
    <col min="14351" max="14351" width="15" style="244" bestFit="1" customWidth="1"/>
    <col min="14352" max="14596" width="9.140625" style="244"/>
    <col min="14597" max="14597" width="6.42578125" style="244" bestFit="1" customWidth="1"/>
    <col min="14598" max="14598" width="32" style="244" bestFit="1" customWidth="1"/>
    <col min="14599" max="14599" width="14.5703125" style="244" bestFit="1" customWidth="1"/>
    <col min="14600" max="14600" width="12.42578125" style="244" bestFit="1" customWidth="1"/>
    <col min="14601" max="14601" width="51.28515625" style="244" bestFit="1" customWidth="1"/>
    <col min="14602" max="14602" width="14.85546875" style="244" bestFit="1" customWidth="1"/>
    <col min="14603" max="14603" width="25" style="244" bestFit="1" customWidth="1"/>
    <col min="14604" max="14605" width="12.28515625" style="244" bestFit="1" customWidth="1"/>
    <col min="14606" max="14606" width="24.7109375" style="244" bestFit="1" customWidth="1"/>
    <col min="14607" max="14607" width="15" style="244" bestFit="1" customWidth="1"/>
    <col min="14608" max="14852" width="9.140625" style="244"/>
    <col min="14853" max="14853" width="6.42578125" style="244" bestFit="1" customWidth="1"/>
    <col min="14854" max="14854" width="32" style="244" bestFit="1" customWidth="1"/>
    <col min="14855" max="14855" width="14.5703125" style="244" bestFit="1" customWidth="1"/>
    <col min="14856" max="14856" width="12.42578125" style="244" bestFit="1" customWidth="1"/>
    <col min="14857" max="14857" width="51.28515625" style="244" bestFit="1" customWidth="1"/>
    <col min="14858" max="14858" width="14.85546875" style="244" bestFit="1" customWidth="1"/>
    <col min="14859" max="14859" width="25" style="244" bestFit="1" customWidth="1"/>
    <col min="14860" max="14861" width="12.28515625" style="244" bestFit="1" customWidth="1"/>
    <col min="14862" max="14862" width="24.7109375" style="244" bestFit="1" customWidth="1"/>
    <col min="14863" max="14863" width="15" style="244" bestFit="1" customWidth="1"/>
    <col min="14864" max="15108" width="9.140625" style="244"/>
    <col min="15109" max="15109" width="6.42578125" style="244" bestFit="1" customWidth="1"/>
    <col min="15110" max="15110" width="32" style="244" bestFit="1" customWidth="1"/>
    <col min="15111" max="15111" width="14.5703125" style="244" bestFit="1" customWidth="1"/>
    <col min="15112" max="15112" width="12.42578125" style="244" bestFit="1" customWidth="1"/>
    <col min="15113" max="15113" width="51.28515625" style="244" bestFit="1" customWidth="1"/>
    <col min="15114" max="15114" width="14.85546875" style="244" bestFit="1" customWidth="1"/>
    <col min="15115" max="15115" width="25" style="244" bestFit="1" customWidth="1"/>
    <col min="15116" max="15117" width="12.28515625" style="244" bestFit="1" customWidth="1"/>
    <col min="15118" max="15118" width="24.7109375" style="244" bestFit="1" customWidth="1"/>
    <col min="15119" max="15119" width="15" style="244" bestFit="1" customWidth="1"/>
    <col min="15120" max="15364" width="9.140625" style="244"/>
    <col min="15365" max="15365" width="6.42578125" style="244" bestFit="1" customWidth="1"/>
    <col min="15366" max="15366" width="32" style="244" bestFit="1" customWidth="1"/>
    <col min="15367" max="15367" width="14.5703125" style="244" bestFit="1" customWidth="1"/>
    <col min="15368" max="15368" width="12.42578125" style="244" bestFit="1" customWidth="1"/>
    <col min="15369" max="15369" width="51.28515625" style="244" bestFit="1" customWidth="1"/>
    <col min="15370" max="15370" width="14.85546875" style="244" bestFit="1" customWidth="1"/>
    <col min="15371" max="15371" width="25" style="244" bestFit="1" customWidth="1"/>
    <col min="15372" max="15373" width="12.28515625" style="244" bestFit="1" customWidth="1"/>
    <col min="15374" max="15374" width="24.7109375" style="244" bestFit="1" customWidth="1"/>
    <col min="15375" max="15375" width="15" style="244" bestFit="1" customWidth="1"/>
    <col min="15376" max="15620" width="9.140625" style="244"/>
    <col min="15621" max="15621" width="6.42578125" style="244" bestFit="1" customWidth="1"/>
    <col min="15622" max="15622" width="32" style="244" bestFit="1" customWidth="1"/>
    <col min="15623" max="15623" width="14.5703125" style="244" bestFit="1" customWidth="1"/>
    <col min="15624" max="15624" width="12.42578125" style="244" bestFit="1" customWidth="1"/>
    <col min="15625" max="15625" width="51.28515625" style="244" bestFit="1" customWidth="1"/>
    <col min="15626" max="15626" width="14.85546875" style="244" bestFit="1" customWidth="1"/>
    <col min="15627" max="15627" width="25" style="244" bestFit="1" customWidth="1"/>
    <col min="15628" max="15629" width="12.28515625" style="244" bestFit="1" customWidth="1"/>
    <col min="15630" max="15630" width="24.7109375" style="244" bestFit="1" customWidth="1"/>
    <col min="15631" max="15631" width="15" style="244" bestFit="1" customWidth="1"/>
    <col min="15632" max="15876" width="9.140625" style="244"/>
    <col min="15877" max="15877" width="6.42578125" style="244" bestFit="1" customWidth="1"/>
    <col min="15878" max="15878" width="32" style="244" bestFit="1" customWidth="1"/>
    <col min="15879" max="15879" width="14.5703125" style="244" bestFit="1" customWidth="1"/>
    <col min="15880" max="15880" width="12.42578125" style="244" bestFit="1" customWidth="1"/>
    <col min="15881" max="15881" width="51.28515625" style="244" bestFit="1" customWidth="1"/>
    <col min="15882" max="15882" width="14.85546875" style="244" bestFit="1" customWidth="1"/>
    <col min="15883" max="15883" width="25" style="244" bestFit="1" customWidth="1"/>
    <col min="15884" max="15885" width="12.28515625" style="244" bestFit="1" customWidth="1"/>
    <col min="15886" max="15886" width="24.7109375" style="244" bestFit="1" customWidth="1"/>
    <col min="15887" max="15887" width="15" style="244" bestFit="1" customWidth="1"/>
    <col min="15888" max="16132" width="9.140625" style="244"/>
    <col min="16133" max="16133" width="6.42578125" style="244" bestFit="1" customWidth="1"/>
    <col min="16134" max="16134" width="32" style="244" bestFit="1" customWidth="1"/>
    <col min="16135" max="16135" width="14.5703125" style="244" bestFit="1" customWidth="1"/>
    <col min="16136" max="16136" width="12.42578125" style="244" bestFit="1" customWidth="1"/>
    <col min="16137" max="16137" width="51.28515625" style="244" bestFit="1" customWidth="1"/>
    <col min="16138" max="16138" width="14.85546875" style="244" bestFit="1" customWidth="1"/>
    <col min="16139" max="16139" width="25" style="244" bestFit="1" customWidth="1"/>
    <col min="16140" max="16141" width="12.28515625" style="244" bestFit="1" customWidth="1"/>
    <col min="16142" max="16142" width="24.7109375" style="244" bestFit="1" customWidth="1"/>
    <col min="16143" max="16143" width="15" style="244" bestFit="1" customWidth="1"/>
    <col min="16144" max="16384" width="9.140625" style="244"/>
  </cols>
  <sheetData>
    <row r="1" spans="1:15" x14ac:dyDescent="0.55000000000000004">
      <c r="A1" s="1327" t="s">
        <v>80</v>
      </c>
      <c r="B1" s="1327"/>
      <c r="C1" s="1327"/>
      <c r="D1" s="1327"/>
      <c r="E1" s="1327"/>
      <c r="F1" s="1327"/>
      <c r="G1" s="1327"/>
      <c r="H1" s="1327"/>
      <c r="I1" s="1327"/>
      <c r="J1" s="1327"/>
      <c r="K1" s="1327"/>
    </row>
    <row r="2" spans="1:15" x14ac:dyDescent="0.55000000000000004">
      <c r="A2" s="1327" t="s">
        <v>539</v>
      </c>
      <c r="B2" s="1327"/>
      <c r="C2" s="1327"/>
      <c r="D2" s="1327"/>
      <c r="E2" s="1327"/>
      <c r="F2" s="1327"/>
      <c r="G2" s="1327"/>
      <c r="H2" s="1327"/>
      <c r="I2" s="1327"/>
      <c r="J2" s="1327"/>
      <c r="K2" s="1327"/>
    </row>
    <row r="3" spans="1:15" x14ac:dyDescent="0.55000000000000004">
      <c r="A3" s="1328" t="s">
        <v>531</v>
      </c>
      <c r="B3" s="1328"/>
      <c r="C3" s="1328"/>
      <c r="D3" s="1328"/>
      <c r="E3" s="1328"/>
      <c r="F3" s="1328"/>
      <c r="G3" s="1328"/>
      <c r="H3" s="1328"/>
      <c r="I3" s="1328"/>
      <c r="J3" s="1328"/>
      <c r="K3" s="1328"/>
    </row>
    <row r="4" spans="1:15" s="249" customFormat="1" ht="23.25" x14ac:dyDescent="0.5">
      <c r="A4" s="256" t="s">
        <v>0</v>
      </c>
      <c r="B4" s="1329" t="s">
        <v>374</v>
      </c>
      <c r="C4" s="1329" t="s">
        <v>375</v>
      </c>
      <c r="D4" s="1329" t="s">
        <v>525</v>
      </c>
      <c r="E4" s="1330" t="s">
        <v>172</v>
      </c>
      <c r="F4" s="1329" t="s">
        <v>376</v>
      </c>
      <c r="G4" s="1331" t="s">
        <v>320</v>
      </c>
      <c r="H4" s="1323" t="s">
        <v>377</v>
      </c>
      <c r="I4" s="256" t="s">
        <v>17</v>
      </c>
      <c r="J4" s="1323" t="s">
        <v>535</v>
      </c>
      <c r="K4" s="256" t="s">
        <v>536</v>
      </c>
      <c r="L4" s="1325" t="s">
        <v>526</v>
      </c>
      <c r="M4" s="1325" t="s">
        <v>527</v>
      </c>
      <c r="N4" s="1325" t="s">
        <v>528</v>
      </c>
      <c r="O4" s="249" t="s">
        <v>378</v>
      </c>
    </row>
    <row r="5" spans="1:15" s="249" customFormat="1" ht="23.25" x14ac:dyDescent="0.5">
      <c r="A5" s="257" t="s">
        <v>58</v>
      </c>
      <c r="B5" s="1329"/>
      <c r="C5" s="1329"/>
      <c r="D5" s="1329"/>
      <c r="E5" s="1330"/>
      <c r="F5" s="1329"/>
      <c r="G5" s="1331"/>
      <c r="H5" s="1324"/>
      <c r="I5" s="257" t="s">
        <v>534</v>
      </c>
      <c r="J5" s="1324"/>
      <c r="K5" s="257" t="s">
        <v>81</v>
      </c>
      <c r="L5" s="1326"/>
      <c r="M5" s="1326"/>
      <c r="N5" s="1326"/>
    </row>
    <row r="6" spans="1:15" s="249" customFormat="1" ht="23.25" x14ac:dyDescent="0.5">
      <c r="A6" s="266">
        <v>1</v>
      </c>
      <c r="B6" s="258" t="s">
        <v>406</v>
      </c>
      <c r="C6" s="266">
        <v>1600600711</v>
      </c>
      <c r="D6" s="266" t="s">
        <v>14</v>
      </c>
      <c r="E6" s="210" t="s">
        <v>512</v>
      </c>
      <c r="F6" s="266">
        <v>7015264822</v>
      </c>
      <c r="G6" s="259" t="s">
        <v>529</v>
      </c>
      <c r="H6" s="204">
        <v>204000</v>
      </c>
      <c r="I6" s="260">
        <v>0</v>
      </c>
      <c r="J6" s="261">
        <f>+H6-I6</f>
        <v>204000</v>
      </c>
      <c r="K6" s="263">
        <f>+I6*100/H6</f>
        <v>0</v>
      </c>
      <c r="L6" s="251" t="s">
        <v>407</v>
      </c>
      <c r="M6" s="250" t="s">
        <v>408</v>
      </c>
      <c r="N6" s="250" t="s">
        <v>401</v>
      </c>
      <c r="O6" s="250" t="s">
        <v>409</v>
      </c>
    </row>
    <row r="7" spans="1:15" s="249" customFormat="1" ht="23.25" x14ac:dyDescent="0.5">
      <c r="A7" s="266">
        <v>2</v>
      </c>
      <c r="B7" s="258" t="s">
        <v>406</v>
      </c>
      <c r="C7" s="266">
        <v>1600600711</v>
      </c>
      <c r="D7" s="266" t="s">
        <v>14</v>
      </c>
      <c r="E7" s="210" t="s">
        <v>512</v>
      </c>
      <c r="F7" s="266">
        <v>7015272951</v>
      </c>
      <c r="G7" s="259" t="s">
        <v>530</v>
      </c>
      <c r="H7" s="204">
        <v>154404.6</v>
      </c>
      <c r="I7" s="260">
        <v>0</v>
      </c>
      <c r="J7" s="261">
        <f t="shared" ref="J7:J20" si="0">+H7-I7</f>
        <v>154404.6</v>
      </c>
      <c r="K7" s="263">
        <f t="shared" ref="K7:K44" si="1">+I7*100/H7</f>
        <v>0</v>
      </c>
      <c r="L7" s="251" t="s">
        <v>410</v>
      </c>
      <c r="M7" s="250" t="s">
        <v>400</v>
      </c>
      <c r="N7" s="250" t="s">
        <v>401</v>
      </c>
      <c r="O7" s="250" t="s">
        <v>411</v>
      </c>
    </row>
    <row r="8" spans="1:15" s="249" customFormat="1" ht="23.25" x14ac:dyDescent="0.5">
      <c r="A8" s="266">
        <v>3</v>
      </c>
      <c r="B8" s="258" t="s">
        <v>412</v>
      </c>
      <c r="C8" s="266">
        <v>1600600013</v>
      </c>
      <c r="D8" s="266" t="s">
        <v>14</v>
      </c>
      <c r="E8" s="210" t="s">
        <v>512</v>
      </c>
      <c r="F8" s="266">
        <v>7014896495</v>
      </c>
      <c r="G8" s="239" t="s">
        <v>413</v>
      </c>
      <c r="H8" s="204">
        <v>2782</v>
      </c>
      <c r="I8" s="260">
        <v>0</v>
      </c>
      <c r="J8" s="261">
        <f t="shared" si="0"/>
        <v>2782</v>
      </c>
      <c r="K8" s="263">
        <f t="shared" si="1"/>
        <v>0</v>
      </c>
      <c r="L8" s="251" t="s">
        <v>414</v>
      </c>
      <c r="M8" s="250" t="s">
        <v>415</v>
      </c>
      <c r="N8" s="250" t="s">
        <v>399</v>
      </c>
      <c r="O8" s="250" t="s">
        <v>416</v>
      </c>
    </row>
    <row r="9" spans="1:15" s="249" customFormat="1" ht="23.25" x14ac:dyDescent="0.5">
      <c r="A9" s="266">
        <v>4</v>
      </c>
      <c r="B9" s="258" t="s">
        <v>417</v>
      </c>
      <c r="C9" s="266">
        <v>1600600453</v>
      </c>
      <c r="D9" s="266" t="s">
        <v>14</v>
      </c>
      <c r="E9" s="210" t="s">
        <v>512</v>
      </c>
      <c r="F9" s="266">
        <v>7015155496</v>
      </c>
      <c r="G9" s="239" t="s">
        <v>524</v>
      </c>
      <c r="H9" s="204">
        <v>17983</v>
      </c>
      <c r="I9" s="260">
        <v>0</v>
      </c>
      <c r="J9" s="261">
        <f t="shared" si="0"/>
        <v>17983</v>
      </c>
      <c r="K9" s="263">
        <f t="shared" si="1"/>
        <v>0</v>
      </c>
      <c r="L9" s="251" t="s">
        <v>418</v>
      </c>
      <c r="M9" s="250" t="s">
        <v>419</v>
      </c>
      <c r="N9" s="250" t="s">
        <v>420</v>
      </c>
      <c r="O9" s="250" t="s">
        <v>421</v>
      </c>
    </row>
    <row r="10" spans="1:15" s="249" customFormat="1" ht="23.25" x14ac:dyDescent="0.5">
      <c r="A10" s="266">
        <v>5</v>
      </c>
      <c r="B10" s="258" t="s">
        <v>433</v>
      </c>
      <c r="C10" s="266">
        <v>1600600220</v>
      </c>
      <c r="D10" s="266" t="s">
        <v>14</v>
      </c>
      <c r="E10" s="210" t="s">
        <v>512</v>
      </c>
      <c r="F10" s="266">
        <v>2000459990</v>
      </c>
      <c r="G10" s="239" t="s">
        <v>282</v>
      </c>
      <c r="H10" s="204">
        <v>55800</v>
      </c>
      <c r="I10" s="260">
        <v>0</v>
      </c>
      <c r="J10" s="261">
        <f t="shared" si="0"/>
        <v>55800</v>
      </c>
      <c r="K10" s="263">
        <f t="shared" si="1"/>
        <v>0</v>
      </c>
      <c r="L10" s="251" t="s">
        <v>434</v>
      </c>
      <c r="M10" s="250" t="s">
        <v>435</v>
      </c>
      <c r="N10" s="250" t="s">
        <v>401</v>
      </c>
      <c r="O10" s="250" t="s">
        <v>436</v>
      </c>
    </row>
    <row r="11" spans="1:15" s="249" customFormat="1" ht="23.25" x14ac:dyDescent="0.5">
      <c r="A11" s="266">
        <v>6</v>
      </c>
      <c r="B11" s="258" t="s">
        <v>107</v>
      </c>
      <c r="C11" s="266">
        <v>1600699998</v>
      </c>
      <c r="D11" s="266" t="s">
        <v>14</v>
      </c>
      <c r="E11" s="210" t="s">
        <v>514</v>
      </c>
      <c r="F11" s="266">
        <v>7014096956</v>
      </c>
      <c r="G11" s="239" t="s">
        <v>283</v>
      </c>
      <c r="H11" s="204">
        <v>43000</v>
      </c>
      <c r="I11" s="260">
        <v>0</v>
      </c>
      <c r="J11" s="261">
        <f t="shared" si="0"/>
        <v>43000</v>
      </c>
      <c r="K11" s="263">
        <f t="shared" si="1"/>
        <v>0</v>
      </c>
      <c r="L11" s="251" t="s">
        <v>452</v>
      </c>
      <c r="M11" s="250" t="s">
        <v>453</v>
      </c>
      <c r="N11" s="250" t="s">
        <v>401</v>
      </c>
      <c r="O11" s="250" t="s">
        <v>454</v>
      </c>
    </row>
    <row r="12" spans="1:15" s="249" customFormat="1" ht="23.25" x14ac:dyDescent="0.5">
      <c r="A12" s="266">
        <v>7</v>
      </c>
      <c r="B12" s="258" t="s">
        <v>107</v>
      </c>
      <c r="C12" s="266">
        <v>1600699998</v>
      </c>
      <c r="D12" s="266" t="s">
        <v>14</v>
      </c>
      <c r="E12" s="210" t="s">
        <v>512</v>
      </c>
      <c r="F12" s="266">
        <v>7014150012</v>
      </c>
      <c r="G12" s="239" t="s">
        <v>523</v>
      </c>
      <c r="H12" s="204">
        <f>123750*3</f>
        <v>371250</v>
      </c>
      <c r="I12" s="260">
        <v>0</v>
      </c>
      <c r="J12" s="261">
        <f t="shared" si="0"/>
        <v>371250</v>
      </c>
      <c r="K12" s="263">
        <f t="shared" si="1"/>
        <v>0</v>
      </c>
      <c r="L12" s="251" t="s">
        <v>456</v>
      </c>
      <c r="M12" s="250" t="s">
        <v>457</v>
      </c>
      <c r="N12" s="250" t="s">
        <v>401</v>
      </c>
      <c r="O12" s="250" t="s">
        <v>458</v>
      </c>
    </row>
    <row r="13" spans="1:15" s="249" customFormat="1" ht="23.25" x14ac:dyDescent="0.5">
      <c r="A13" s="266">
        <v>8</v>
      </c>
      <c r="B13" s="258" t="s">
        <v>107</v>
      </c>
      <c r="C13" s="266">
        <v>1600699998</v>
      </c>
      <c r="D13" s="266" t="s">
        <v>14</v>
      </c>
      <c r="E13" s="210" t="s">
        <v>512</v>
      </c>
      <c r="F13" s="266">
        <v>7014299345</v>
      </c>
      <c r="G13" s="239" t="s">
        <v>522</v>
      </c>
      <c r="H13" s="204">
        <v>141240</v>
      </c>
      <c r="I13" s="260">
        <v>0</v>
      </c>
      <c r="J13" s="261">
        <f t="shared" si="0"/>
        <v>141240</v>
      </c>
      <c r="K13" s="263">
        <f t="shared" si="1"/>
        <v>0</v>
      </c>
      <c r="L13" s="251" t="s">
        <v>459</v>
      </c>
      <c r="M13" s="250" t="s">
        <v>460</v>
      </c>
      <c r="N13" s="250" t="s">
        <v>461</v>
      </c>
      <c r="O13" s="250" t="s">
        <v>462</v>
      </c>
    </row>
    <row r="14" spans="1:15" s="249" customFormat="1" ht="23.25" x14ac:dyDescent="0.5">
      <c r="A14" s="266">
        <v>9</v>
      </c>
      <c r="B14" s="258" t="s">
        <v>107</v>
      </c>
      <c r="C14" s="266">
        <v>1600699998</v>
      </c>
      <c r="D14" s="266" t="s">
        <v>14</v>
      </c>
      <c r="E14" s="210" t="s">
        <v>514</v>
      </c>
      <c r="F14" s="266">
        <v>7014665430</v>
      </c>
      <c r="G14" s="239" t="s">
        <v>283</v>
      </c>
      <c r="H14" s="204">
        <v>41810</v>
      </c>
      <c r="I14" s="260">
        <v>0</v>
      </c>
      <c r="J14" s="261">
        <f t="shared" si="0"/>
        <v>41810</v>
      </c>
      <c r="K14" s="263">
        <f t="shared" si="1"/>
        <v>0</v>
      </c>
      <c r="L14" s="251" t="s">
        <v>452</v>
      </c>
      <c r="M14" s="250" t="s">
        <v>463</v>
      </c>
      <c r="N14" s="250" t="s">
        <v>401</v>
      </c>
      <c r="O14" s="250" t="s">
        <v>454</v>
      </c>
    </row>
    <row r="15" spans="1:15" s="249" customFormat="1" ht="23.25" x14ac:dyDescent="0.5">
      <c r="A15" s="266">
        <v>10</v>
      </c>
      <c r="B15" s="258" t="s">
        <v>107</v>
      </c>
      <c r="C15" s="266">
        <v>1600600011</v>
      </c>
      <c r="D15" s="266" t="s">
        <v>14</v>
      </c>
      <c r="E15" s="210" t="s">
        <v>514</v>
      </c>
      <c r="F15" s="266">
        <v>7014733954</v>
      </c>
      <c r="G15" s="239" t="s">
        <v>469</v>
      </c>
      <c r="H15" s="204">
        <v>147660</v>
      </c>
      <c r="I15" s="260">
        <v>0</v>
      </c>
      <c r="J15" s="261">
        <f t="shared" si="0"/>
        <v>147660</v>
      </c>
      <c r="K15" s="263">
        <f t="shared" si="1"/>
        <v>0</v>
      </c>
      <c r="L15" s="251" t="s">
        <v>470</v>
      </c>
      <c r="M15" s="250" t="s">
        <v>471</v>
      </c>
      <c r="N15" s="250" t="s">
        <v>472</v>
      </c>
      <c r="O15" s="250" t="s">
        <v>473</v>
      </c>
    </row>
    <row r="16" spans="1:15" s="249" customFormat="1" ht="23.25" x14ac:dyDescent="0.5">
      <c r="A16" s="266">
        <v>11</v>
      </c>
      <c r="B16" s="258" t="s">
        <v>107</v>
      </c>
      <c r="C16" s="266">
        <v>1600600004</v>
      </c>
      <c r="D16" s="266" t="s">
        <v>14</v>
      </c>
      <c r="E16" s="210" t="s">
        <v>514</v>
      </c>
      <c r="F16" s="266">
        <v>7014789388</v>
      </c>
      <c r="G16" s="239" t="s">
        <v>521</v>
      </c>
      <c r="H16" s="204">
        <v>280730</v>
      </c>
      <c r="I16" s="260">
        <v>0</v>
      </c>
      <c r="J16" s="261">
        <f t="shared" si="0"/>
        <v>280730</v>
      </c>
      <c r="K16" s="263">
        <f t="shared" si="1"/>
        <v>0</v>
      </c>
      <c r="L16" s="251" t="s">
        <v>474</v>
      </c>
      <c r="M16" s="250" t="s">
        <v>387</v>
      </c>
      <c r="N16" s="250" t="s">
        <v>475</v>
      </c>
      <c r="O16" s="250" t="s">
        <v>476</v>
      </c>
    </row>
    <row r="17" spans="1:15" s="249" customFormat="1" ht="23.25" x14ac:dyDescent="0.5">
      <c r="A17" s="266">
        <v>12</v>
      </c>
      <c r="B17" s="258" t="s">
        <v>107</v>
      </c>
      <c r="C17" s="266">
        <v>1600600005</v>
      </c>
      <c r="D17" s="266" t="s">
        <v>14</v>
      </c>
      <c r="E17" s="210" t="s">
        <v>514</v>
      </c>
      <c r="F17" s="266">
        <v>7014934640</v>
      </c>
      <c r="G17" s="239" t="s">
        <v>479</v>
      </c>
      <c r="H17" s="204">
        <v>7500</v>
      </c>
      <c r="I17" s="260">
        <v>0</v>
      </c>
      <c r="J17" s="261">
        <f t="shared" si="0"/>
        <v>7500</v>
      </c>
      <c r="K17" s="263">
        <f t="shared" si="1"/>
        <v>0</v>
      </c>
      <c r="L17" s="251" t="s">
        <v>480</v>
      </c>
      <c r="M17" s="250" t="s">
        <v>422</v>
      </c>
      <c r="N17" s="250" t="s">
        <v>397</v>
      </c>
      <c r="O17" s="250" t="s">
        <v>455</v>
      </c>
    </row>
    <row r="18" spans="1:15" s="249" customFormat="1" ht="45.75" customHeight="1" x14ac:dyDescent="0.5">
      <c r="A18" s="266">
        <v>13</v>
      </c>
      <c r="B18" s="258" t="s">
        <v>107</v>
      </c>
      <c r="C18" s="266">
        <v>1600600006</v>
      </c>
      <c r="D18" s="266" t="s">
        <v>14</v>
      </c>
      <c r="E18" s="210" t="s">
        <v>514</v>
      </c>
      <c r="F18" s="266">
        <v>7015013787</v>
      </c>
      <c r="G18" s="239" t="s">
        <v>538</v>
      </c>
      <c r="H18" s="204">
        <v>799000</v>
      </c>
      <c r="I18" s="260">
        <v>0</v>
      </c>
      <c r="J18" s="261">
        <f t="shared" si="0"/>
        <v>799000</v>
      </c>
      <c r="K18" s="263">
        <f t="shared" si="1"/>
        <v>0</v>
      </c>
      <c r="L18" s="251" t="s">
        <v>477</v>
      </c>
      <c r="M18" s="250" t="s">
        <v>481</v>
      </c>
      <c r="N18" s="250" t="s">
        <v>482</v>
      </c>
      <c r="O18" s="250" t="s">
        <v>478</v>
      </c>
    </row>
    <row r="19" spans="1:15" s="249" customFormat="1" ht="23.25" x14ac:dyDescent="0.5">
      <c r="A19" s="266">
        <v>14</v>
      </c>
      <c r="B19" s="258" t="s">
        <v>107</v>
      </c>
      <c r="C19" s="266">
        <v>1600699998</v>
      </c>
      <c r="D19" s="266" t="s">
        <v>14</v>
      </c>
      <c r="E19" s="210" t="s">
        <v>514</v>
      </c>
      <c r="F19" s="266">
        <v>7015254174</v>
      </c>
      <c r="G19" s="239" t="s">
        <v>493</v>
      </c>
      <c r="H19" s="204">
        <v>5700000</v>
      </c>
      <c r="I19" s="260">
        <v>0</v>
      </c>
      <c r="J19" s="261">
        <f t="shared" si="0"/>
        <v>5700000</v>
      </c>
      <c r="K19" s="263">
        <f t="shared" si="1"/>
        <v>0</v>
      </c>
      <c r="L19" s="251" t="s">
        <v>452</v>
      </c>
      <c r="M19" s="250" t="s">
        <v>490</v>
      </c>
      <c r="N19" s="250" t="s">
        <v>494</v>
      </c>
      <c r="O19" s="250" t="s">
        <v>495</v>
      </c>
    </row>
    <row r="20" spans="1:15" s="249" customFormat="1" ht="23.25" x14ac:dyDescent="0.5">
      <c r="A20" s="266">
        <v>15</v>
      </c>
      <c r="B20" s="258" t="s">
        <v>107</v>
      </c>
      <c r="C20" s="266">
        <v>1600699998</v>
      </c>
      <c r="D20" s="266" t="s">
        <v>14</v>
      </c>
      <c r="E20" s="210" t="s">
        <v>512</v>
      </c>
      <c r="F20" s="266">
        <v>7015270833</v>
      </c>
      <c r="G20" s="239" t="s">
        <v>498</v>
      </c>
      <c r="H20" s="204">
        <v>5772752.96</v>
      </c>
      <c r="I20" s="260">
        <v>0</v>
      </c>
      <c r="J20" s="261">
        <f t="shared" si="0"/>
        <v>5772752.96</v>
      </c>
      <c r="K20" s="263">
        <f t="shared" si="1"/>
        <v>0</v>
      </c>
      <c r="L20" s="251" t="s">
        <v>499</v>
      </c>
      <c r="M20" s="250" t="s">
        <v>400</v>
      </c>
      <c r="N20" s="250" t="s">
        <v>484</v>
      </c>
      <c r="O20" s="250" t="s">
        <v>500</v>
      </c>
    </row>
    <row r="21" spans="1:15" s="254" customFormat="1" ht="23.25" x14ac:dyDescent="0.5">
      <c r="A21" s="1317" t="s">
        <v>532</v>
      </c>
      <c r="B21" s="1318"/>
      <c r="C21" s="1318"/>
      <c r="D21" s="1318"/>
      <c r="E21" s="1318"/>
      <c r="F21" s="1318"/>
      <c r="G21" s="1319"/>
      <c r="H21" s="262">
        <f>SUM(H6:H20)</f>
        <v>13739912.559999999</v>
      </c>
      <c r="I21" s="209">
        <f>SUM(I6:I20)</f>
        <v>0</v>
      </c>
      <c r="J21" s="262">
        <f>SUM(J6:J20)</f>
        <v>13739912.559999999</v>
      </c>
      <c r="K21" s="263">
        <f t="shared" si="1"/>
        <v>0</v>
      </c>
      <c r="L21" s="252"/>
      <c r="M21" s="253"/>
      <c r="N21" s="253"/>
      <c r="O21" s="253"/>
    </row>
    <row r="22" spans="1:15" s="249" customFormat="1" ht="23.25" x14ac:dyDescent="0.5">
      <c r="A22" s="266">
        <v>16</v>
      </c>
      <c r="B22" s="258" t="s">
        <v>379</v>
      </c>
      <c r="C22" s="266">
        <v>1600600046</v>
      </c>
      <c r="D22" s="266" t="s">
        <v>15</v>
      </c>
      <c r="E22" s="210" t="s">
        <v>324</v>
      </c>
      <c r="F22" s="266">
        <v>7014618240</v>
      </c>
      <c r="G22" s="239" t="s">
        <v>380</v>
      </c>
      <c r="H22" s="204">
        <v>2527500</v>
      </c>
      <c r="I22" s="260">
        <v>0</v>
      </c>
      <c r="J22" s="261">
        <f t="shared" ref="J22:J39" si="2">+H22-I22</f>
        <v>2527500</v>
      </c>
      <c r="K22" s="263">
        <f t="shared" si="1"/>
        <v>0</v>
      </c>
      <c r="L22" s="251" t="s">
        <v>381</v>
      </c>
      <c r="M22" s="250" t="s">
        <v>382</v>
      </c>
      <c r="N22" s="250" t="s">
        <v>383</v>
      </c>
      <c r="O22" s="250" t="s">
        <v>384</v>
      </c>
    </row>
    <row r="23" spans="1:15" s="249" customFormat="1" ht="23.25" x14ac:dyDescent="0.5">
      <c r="A23" s="266">
        <v>17</v>
      </c>
      <c r="B23" s="258" t="s">
        <v>385</v>
      </c>
      <c r="C23" s="266">
        <v>1600600052</v>
      </c>
      <c r="D23" s="266" t="s">
        <v>15</v>
      </c>
      <c r="E23" s="210" t="s">
        <v>325</v>
      </c>
      <c r="F23" s="266">
        <v>7014573620</v>
      </c>
      <c r="G23" s="239" t="s">
        <v>380</v>
      </c>
      <c r="H23" s="204">
        <v>3234000</v>
      </c>
      <c r="I23" s="260">
        <v>0</v>
      </c>
      <c r="J23" s="261">
        <f t="shared" si="2"/>
        <v>3234000</v>
      </c>
      <c r="K23" s="263">
        <f t="shared" si="1"/>
        <v>0</v>
      </c>
      <c r="L23" s="251" t="s">
        <v>386</v>
      </c>
      <c r="M23" s="250" t="s">
        <v>387</v>
      </c>
      <c r="N23" s="250" t="s">
        <v>388</v>
      </c>
      <c r="O23" s="250" t="s">
        <v>389</v>
      </c>
    </row>
    <row r="24" spans="1:15" s="249" customFormat="1" ht="23.25" x14ac:dyDescent="0.5">
      <c r="A24" s="266">
        <v>18</v>
      </c>
      <c r="B24" s="258" t="s">
        <v>390</v>
      </c>
      <c r="C24" s="266">
        <v>1600600058</v>
      </c>
      <c r="D24" s="266" t="s">
        <v>15</v>
      </c>
      <c r="E24" s="210" t="s">
        <v>326</v>
      </c>
      <c r="F24" s="266">
        <v>7014587703</v>
      </c>
      <c r="G24" s="239" t="s">
        <v>380</v>
      </c>
      <c r="H24" s="204">
        <v>2700000</v>
      </c>
      <c r="I24" s="260">
        <v>0</v>
      </c>
      <c r="J24" s="261">
        <f t="shared" si="2"/>
        <v>2700000</v>
      </c>
      <c r="K24" s="263">
        <f t="shared" si="1"/>
        <v>0</v>
      </c>
      <c r="L24" s="251" t="s">
        <v>391</v>
      </c>
      <c r="M24" s="250" t="s">
        <v>392</v>
      </c>
      <c r="N24" s="250" t="s">
        <v>393</v>
      </c>
      <c r="O24" s="250" t="s">
        <v>394</v>
      </c>
    </row>
    <row r="25" spans="1:15" s="249" customFormat="1" ht="23.25" x14ac:dyDescent="0.5">
      <c r="A25" s="266">
        <v>19</v>
      </c>
      <c r="B25" s="258" t="s">
        <v>395</v>
      </c>
      <c r="C25" s="266">
        <v>1600600064</v>
      </c>
      <c r="D25" s="266" t="s">
        <v>15</v>
      </c>
      <c r="E25" s="210" t="s">
        <v>327</v>
      </c>
      <c r="F25" s="266">
        <v>7014633408</v>
      </c>
      <c r="G25" s="239" t="s">
        <v>380</v>
      </c>
      <c r="H25" s="204">
        <v>3155139</v>
      </c>
      <c r="I25" s="260">
        <v>0</v>
      </c>
      <c r="J25" s="261">
        <f t="shared" si="2"/>
        <v>3155139</v>
      </c>
      <c r="K25" s="263">
        <f t="shared" si="1"/>
        <v>0</v>
      </c>
      <c r="L25" s="251" t="s">
        <v>396</v>
      </c>
      <c r="M25" s="250" t="s">
        <v>382</v>
      </c>
      <c r="N25" s="250" t="s">
        <v>397</v>
      </c>
      <c r="O25" s="250" t="s">
        <v>398</v>
      </c>
    </row>
    <row r="26" spans="1:15" s="249" customFormat="1" ht="46.5" x14ac:dyDescent="0.5">
      <c r="A26" s="266">
        <v>20</v>
      </c>
      <c r="B26" s="258" t="s">
        <v>366</v>
      </c>
      <c r="C26" s="266">
        <v>1600600094</v>
      </c>
      <c r="D26" s="266" t="s">
        <v>15</v>
      </c>
      <c r="E26" s="210" t="s">
        <v>354</v>
      </c>
      <c r="F26" s="266">
        <v>2000449395</v>
      </c>
      <c r="G26" s="239" t="s">
        <v>353</v>
      </c>
      <c r="H26" s="204">
        <v>3920000</v>
      </c>
      <c r="I26" s="260">
        <v>0</v>
      </c>
      <c r="J26" s="261">
        <f t="shared" si="2"/>
        <v>3920000</v>
      </c>
      <c r="K26" s="263">
        <f t="shared" si="1"/>
        <v>0</v>
      </c>
      <c r="L26" s="251" t="s">
        <v>402</v>
      </c>
      <c r="M26" s="250" t="s">
        <v>403</v>
      </c>
      <c r="N26" s="250" t="s">
        <v>404</v>
      </c>
      <c r="O26" s="250"/>
    </row>
    <row r="27" spans="1:15" s="249" customFormat="1" ht="46.5" x14ac:dyDescent="0.5">
      <c r="A27" s="266">
        <v>21</v>
      </c>
      <c r="B27" s="258" t="s">
        <v>366</v>
      </c>
      <c r="C27" s="266">
        <v>1600600094</v>
      </c>
      <c r="D27" s="266" t="s">
        <v>15</v>
      </c>
      <c r="E27" s="210" t="s">
        <v>335</v>
      </c>
      <c r="F27" s="266">
        <v>2000469732</v>
      </c>
      <c r="G27" s="239" t="s">
        <v>405</v>
      </c>
      <c r="H27" s="204">
        <v>2559120</v>
      </c>
      <c r="I27" s="260">
        <v>0</v>
      </c>
      <c r="J27" s="261">
        <f t="shared" si="2"/>
        <v>2559120</v>
      </c>
      <c r="K27" s="263">
        <f t="shared" si="1"/>
        <v>0</v>
      </c>
      <c r="L27" s="251" t="s">
        <v>402</v>
      </c>
      <c r="M27" s="250" t="s">
        <v>403</v>
      </c>
      <c r="N27" s="250" t="s">
        <v>404</v>
      </c>
      <c r="O27" s="250"/>
    </row>
    <row r="28" spans="1:15" s="249" customFormat="1" ht="23.25" x14ac:dyDescent="0.5">
      <c r="A28" s="266">
        <v>22</v>
      </c>
      <c r="B28" s="258" t="s">
        <v>365</v>
      </c>
      <c r="C28" s="266">
        <v>1600600420</v>
      </c>
      <c r="D28" s="266" t="s">
        <v>15</v>
      </c>
      <c r="E28" s="210" t="s">
        <v>358</v>
      </c>
      <c r="F28" s="266">
        <v>7014653159</v>
      </c>
      <c r="G28" s="239" t="s">
        <v>537</v>
      </c>
      <c r="H28" s="204">
        <v>3869000</v>
      </c>
      <c r="I28" s="260">
        <v>0</v>
      </c>
      <c r="J28" s="261">
        <f t="shared" si="2"/>
        <v>3869000</v>
      </c>
      <c r="K28" s="263">
        <f t="shared" si="1"/>
        <v>0</v>
      </c>
      <c r="L28" s="251" t="s">
        <v>423</v>
      </c>
      <c r="M28" s="250" t="s">
        <v>424</v>
      </c>
      <c r="N28" s="250" t="s">
        <v>425</v>
      </c>
      <c r="O28" s="250" t="s">
        <v>426</v>
      </c>
    </row>
    <row r="29" spans="1:15" s="249" customFormat="1" ht="23.25" x14ac:dyDescent="0.5">
      <c r="A29" s="266">
        <v>23</v>
      </c>
      <c r="B29" s="258" t="s">
        <v>427</v>
      </c>
      <c r="C29" s="266">
        <v>1600600456</v>
      </c>
      <c r="D29" s="266" t="s">
        <v>15</v>
      </c>
      <c r="E29" s="210" t="s">
        <v>323</v>
      </c>
      <c r="F29" s="266">
        <v>7014571829</v>
      </c>
      <c r="G29" s="239" t="s">
        <v>428</v>
      </c>
      <c r="H29" s="204">
        <v>2642900</v>
      </c>
      <c r="I29" s="260">
        <v>0</v>
      </c>
      <c r="J29" s="261">
        <f t="shared" si="2"/>
        <v>2642900</v>
      </c>
      <c r="K29" s="263">
        <f t="shared" si="1"/>
        <v>0</v>
      </c>
      <c r="L29" s="251" t="s">
        <v>429</v>
      </c>
      <c r="M29" s="250" t="s">
        <v>430</v>
      </c>
      <c r="N29" s="250" t="s">
        <v>431</v>
      </c>
      <c r="O29" s="250" t="s">
        <v>432</v>
      </c>
    </row>
    <row r="30" spans="1:15" s="249" customFormat="1" ht="23.25" x14ac:dyDescent="0.5">
      <c r="A30" s="266">
        <v>24</v>
      </c>
      <c r="B30" s="258" t="s">
        <v>107</v>
      </c>
      <c r="C30" s="266">
        <v>1600600001</v>
      </c>
      <c r="D30" s="266" t="s">
        <v>15</v>
      </c>
      <c r="E30" s="210" t="s">
        <v>332</v>
      </c>
      <c r="F30" s="266">
        <v>2000434631</v>
      </c>
      <c r="G30" s="239" t="s">
        <v>437</v>
      </c>
      <c r="H30" s="204">
        <v>5002622</v>
      </c>
      <c r="I30" s="260">
        <v>0</v>
      </c>
      <c r="J30" s="261">
        <f t="shared" si="2"/>
        <v>5002622</v>
      </c>
      <c r="K30" s="263">
        <f t="shared" si="1"/>
        <v>0</v>
      </c>
      <c r="L30" s="251" t="s">
        <v>438</v>
      </c>
      <c r="M30" s="250" t="s">
        <v>439</v>
      </c>
      <c r="N30" s="250" t="s">
        <v>440</v>
      </c>
      <c r="O30" s="250" t="s">
        <v>441</v>
      </c>
    </row>
    <row r="31" spans="1:15" s="249" customFormat="1" ht="23.25" x14ac:dyDescent="0.5">
      <c r="A31" s="266">
        <v>25</v>
      </c>
      <c r="B31" s="258" t="s">
        <v>107</v>
      </c>
      <c r="C31" s="266">
        <v>1600600001</v>
      </c>
      <c r="D31" s="266" t="s">
        <v>15</v>
      </c>
      <c r="E31" s="210" t="s">
        <v>329</v>
      </c>
      <c r="F31" s="266">
        <v>2000435147</v>
      </c>
      <c r="G31" s="239" t="s">
        <v>442</v>
      </c>
      <c r="H31" s="204">
        <v>4668200</v>
      </c>
      <c r="I31" s="260">
        <v>0</v>
      </c>
      <c r="J31" s="261">
        <f t="shared" si="2"/>
        <v>4668200</v>
      </c>
      <c r="K31" s="263">
        <f t="shared" si="1"/>
        <v>0</v>
      </c>
      <c r="L31" s="251" t="s">
        <v>443</v>
      </c>
      <c r="M31" s="250" t="s">
        <v>440</v>
      </c>
      <c r="N31" s="250" t="s">
        <v>444</v>
      </c>
      <c r="O31" s="250" t="s">
        <v>389</v>
      </c>
    </row>
    <row r="32" spans="1:15" s="249" customFormat="1" ht="23.25" x14ac:dyDescent="0.5">
      <c r="A32" s="266">
        <v>26</v>
      </c>
      <c r="B32" s="258" t="s">
        <v>107</v>
      </c>
      <c r="C32" s="266">
        <v>1600600001</v>
      </c>
      <c r="D32" s="266" t="s">
        <v>15</v>
      </c>
      <c r="E32" s="210" t="s">
        <v>334</v>
      </c>
      <c r="F32" s="266">
        <v>2000461421</v>
      </c>
      <c r="G32" s="239" t="s">
        <v>445</v>
      </c>
      <c r="H32" s="204">
        <v>2805000</v>
      </c>
      <c r="I32" s="260">
        <v>0</v>
      </c>
      <c r="J32" s="261">
        <f t="shared" si="2"/>
        <v>2805000</v>
      </c>
      <c r="K32" s="263">
        <f t="shared" si="1"/>
        <v>0</v>
      </c>
      <c r="L32" s="251" t="s">
        <v>446</v>
      </c>
      <c r="M32" s="250" t="s">
        <v>447</v>
      </c>
      <c r="N32" s="250" t="s">
        <v>448</v>
      </c>
      <c r="O32" s="250" t="s">
        <v>389</v>
      </c>
    </row>
    <row r="33" spans="1:15" s="249" customFormat="1" ht="23.25" x14ac:dyDescent="0.5">
      <c r="A33" s="266">
        <v>27</v>
      </c>
      <c r="B33" s="258" t="s">
        <v>107</v>
      </c>
      <c r="C33" s="266">
        <v>1600600001</v>
      </c>
      <c r="D33" s="266" t="s">
        <v>15</v>
      </c>
      <c r="E33" s="210" t="s">
        <v>330</v>
      </c>
      <c r="F33" s="266">
        <v>2000475789</v>
      </c>
      <c r="G33" s="239" t="s">
        <v>449</v>
      </c>
      <c r="H33" s="204">
        <v>9368000</v>
      </c>
      <c r="I33" s="260">
        <v>0</v>
      </c>
      <c r="J33" s="261">
        <f t="shared" si="2"/>
        <v>9368000</v>
      </c>
      <c r="K33" s="263">
        <f t="shared" si="1"/>
        <v>0</v>
      </c>
      <c r="L33" s="251" t="s">
        <v>450</v>
      </c>
      <c r="M33" s="250" t="s">
        <v>401</v>
      </c>
      <c r="N33" s="250" t="s">
        <v>451</v>
      </c>
      <c r="O33" s="250" t="s">
        <v>389</v>
      </c>
    </row>
    <row r="34" spans="1:15" s="249" customFormat="1" ht="23.25" x14ac:dyDescent="0.5">
      <c r="A34" s="266">
        <v>28</v>
      </c>
      <c r="B34" s="258" t="s">
        <v>107</v>
      </c>
      <c r="C34" s="266">
        <v>1600699998</v>
      </c>
      <c r="D34" s="266" t="s">
        <v>15</v>
      </c>
      <c r="E34" s="210" t="s">
        <v>513</v>
      </c>
      <c r="F34" s="266">
        <v>7014716158</v>
      </c>
      <c r="G34" s="239" t="s">
        <v>464</v>
      </c>
      <c r="H34" s="204">
        <v>2274000</v>
      </c>
      <c r="I34" s="260">
        <v>0</v>
      </c>
      <c r="J34" s="261">
        <f t="shared" si="2"/>
        <v>2274000</v>
      </c>
      <c r="K34" s="263">
        <f t="shared" si="1"/>
        <v>0</v>
      </c>
      <c r="L34" s="251" t="s">
        <v>465</v>
      </c>
      <c r="M34" s="250" t="s">
        <v>466</v>
      </c>
      <c r="N34" s="250" t="s">
        <v>467</v>
      </c>
      <c r="O34" s="250" t="s">
        <v>468</v>
      </c>
    </row>
    <row r="35" spans="1:15" s="249" customFormat="1" ht="23.25" x14ac:dyDescent="0.5">
      <c r="A35" s="266">
        <v>29</v>
      </c>
      <c r="B35" s="258" t="s">
        <v>107</v>
      </c>
      <c r="C35" s="266">
        <v>1600600011</v>
      </c>
      <c r="D35" s="266" t="s">
        <v>15</v>
      </c>
      <c r="E35" s="210" t="s">
        <v>517</v>
      </c>
      <c r="F35" s="266">
        <v>7015248976</v>
      </c>
      <c r="G35" s="239" t="s">
        <v>518</v>
      </c>
      <c r="H35" s="204">
        <v>500000</v>
      </c>
      <c r="I35" s="260">
        <v>0</v>
      </c>
      <c r="J35" s="261">
        <f t="shared" si="2"/>
        <v>500000</v>
      </c>
      <c r="K35" s="263">
        <f t="shared" si="1"/>
        <v>0</v>
      </c>
      <c r="L35" s="251" t="s">
        <v>489</v>
      </c>
      <c r="M35" s="250" t="s">
        <v>490</v>
      </c>
      <c r="N35" s="250" t="s">
        <v>491</v>
      </c>
      <c r="O35" s="250" t="s">
        <v>492</v>
      </c>
    </row>
    <row r="36" spans="1:15" s="249" customFormat="1" ht="46.5" x14ac:dyDescent="0.5">
      <c r="A36" s="266">
        <v>30</v>
      </c>
      <c r="B36" s="258" t="s">
        <v>107</v>
      </c>
      <c r="C36" s="266">
        <v>1600600006</v>
      </c>
      <c r="D36" s="266" t="s">
        <v>15</v>
      </c>
      <c r="E36" s="210" t="s">
        <v>515</v>
      </c>
      <c r="F36" s="266">
        <v>7015254679</v>
      </c>
      <c r="G36" s="239" t="s">
        <v>516</v>
      </c>
      <c r="H36" s="204">
        <v>497015</v>
      </c>
      <c r="I36" s="260">
        <v>0</v>
      </c>
      <c r="J36" s="261">
        <f t="shared" si="2"/>
        <v>497015</v>
      </c>
      <c r="K36" s="263">
        <f t="shared" si="1"/>
        <v>0</v>
      </c>
      <c r="L36" s="251" t="s">
        <v>496</v>
      </c>
      <c r="M36" s="250" t="s">
        <v>400</v>
      </c>
      <c r="N36" s="250" t="s">
        <v>484</v>
      </c>
      <c r="O36" s="250" t="s">
        <v>497</v>
      </c>
    </row>
    <row r="37" spans="1:15" s="249" customFormat="1" ht="23.25" x14ac:dyDescent="0.5">
      <c r="A37" s="266">
        <v>31</v>
      </c>
      <c r="B37" s="258" t="s">
        <v>107</v>
      </c>
      <c r="C37" s="266">
        <v>1600600001</v>
      </c>
      <c r="D37" s="266" t="s">
        <v>15</v>
      </c>
      <c r="E37" s="210" t="s">
        <v>331</v>
      </c>
      <c r="F37" s="266">
        <v>2000420428</v>
      </c>
      <c r="G37" s="239" t="s">
        <v>501</v>
      </c>
      <c r="H37" s="204">
        <v>13054741.23</v>
      </c>
      <c r="I37" s="260">
        <v>0</v>
      </c>
      <c r="J37" s="261">
        <f t="shared" si="2"/>
        <v>13054741.23</v>
      </c>
      <c r="K37" s="263">
        <f t="shared" si="1"/>
        <v>0</v>
      </c>
      <c r="L37" s="251" t="s">
        <v>502</v>
      </c>
      <c r="M37" s="250" t="s">
        <v>503</v>
      </c>
      <c r="N37" s="250" t="s">
        <v>504</v>
      </c>
      <c r="O37" s="250"/>
    </row>
    <row r="38" spans="1:15" s="249" customFormat="1" ht="23.25" x14ac:dyDescent="0.5">
      <c r="A38" s="266">
        <v>32</v>
      </c>
      <c r="B38" s="258" t="s">
        <v>107</v>
      </c>
      <c r="C38" s="266">
        <v>1600600001</v>
      </c>
      <c r="D38" s="266" t="s">
        <v>15</v>
      </c>
      <c r="E38" s="210" t="s">
        <v>328</v>
      </c>
      <c r="F38" s="266">
        <v>2000420910</v>
      </c>
      <c r="G38" s="239" t="s">
        <v>505</v>
      </c>
      <c r="H38" s="204">
        <v>5129331</v>
      </c>
      <c r="I38" s="260">
        <v>0</v>
      </c>
      <c r="J38" s="261">
        <f t="shared" si="2"/>
        <v>5129331</v>
      </c>
      <c r="K38" s="263">
        <f t="shared" si="1"/>
        <v>0</v>
      </c>
      <c r="L38" s="251" t="s">
        <v>506</v>
      </c>
      <c r="M38" s="250" t="s">
        <v>507</v>
      </c>
      <c r="N38" s="250" t="s">
        <v>508</v>
      </c>
      <c r="O38" s="250"/>
    </row>
    <row r="39" spans="1:15" s="249" customFormat="1" ht="23.25" x14ac:dyDescent="0.5">
      <c r="A39" s="266">
        <v>33</v>
      </c>
      <c r="B39" s="258" t="s">
        <v>107</v>
      </c>
      <c r="C39" s="266">
        <v>1600600001</v>
      </c>
      <c r="D39" s="266" t="s">
        <v>15</v>
      </c>
      <c r="E39" s="210" t="s">
        <v>333</v>
      </c>
      <c r="F39" s="266">
        <v>2000397264</v>
      </c>
      <c r="G39" s="239" t="s">
        <v>509</v>
      </c>
      <c r="H39" s="204">
        <v>11135650</v>
      </c>
      <c r="I39" s="260">
        <v>0</v>
      </c>
      <c r="J39" s="261">
        <f t="shared" si="2"/>
        <v>11135650</v>
      </c>
      <c r="K39" s="263">
        <f t="shared" si="1"/>
        <v>0</v>
      </c>
      <c r="L39" s="251" t="s">
        <v>510</v>
      </c>
      <c r="M39" s="250" t="s">
        <v>400</v>
      </c>
      <c r="N39" s="250" t="s">
        <v>511</v>
      </c>
      <c r="O39" s="250"/>
    </row>
    <row r="40" spans="1:15" s="254" customFormat="1" ht="23.25" x14ac:dyDescent="0.5">
      <c r="A40" s="1317" t="s">
        <v>533</v>
      </c>
      <c r="B40" s="1318"/>
      <c r="C40" s="1318"/>
      <c r="D40" s="1318"/>
      <c r="E40" s="1318"/>
      <c r="F40" s="1318"/>
      <c r="G40" s="1319"/>
      <c r="H40" s="262">
        <f>SUM(H22:H39)</f>
        <v>79042218.230000004</v>
      </c>
      <c r="I40" s="209">
        <f>SUM(I22:I39)</f>
        <v>0</v>
      </c>
      <c r="J40" s="262">
        <f>SUM(J22:J39)</f>
        <v>79042218.230000004</v>
      </c>
      <c r="K40" s="263">
        <f t="shared" si="1"/>
        <v>0</v>
      </c>
      <c r="L40" s="252"/>
      <c r="M40" s="253"/>
      <c r="N40" s="253"/>
      <c r="O40" s="253"/>
    </row>
    <row r="41" spans="1:15" s="249" customFormat="1" ht="69.75" x14ac:dyDescent="0.5">
      <c r="A41" s="266">
        <v>34</v>
      </c>
      <c r="B41" s="258" t="s">
        <v>107</v>
      </c>
      <c r="C41" s="266">
        <v>1600600011</v>
      </c>
      <c r="D41" s="266" t="s">
        <v>16</v>
      </c>
      <c r="E41" s="210" t="s">
        <v>314</v>
      </c>
      <c r="F41" s="266">
        <v>7015076230</v>
      </c>
      <c r="G41" s="239" t="s">
        <v>520</v>
      </c>
      <c r="H41" s="204">
        <v>1620000</v>
      </c>
      <c r="I41" s="260">
        <v>0</v>
      </c>
      <c r="J41" s="261">
        <f>+H41-I41</f>
        <v>1620000</v>
      </c>
      <c r="K41" s="263">
        <f t="shared" si="1"/>
        <v>0</v>
      </c>
      <c r="L41" s="251" t="s">
        <v>483</v>
      </c>
      <c r="M41" s="250" t="s">
        <v>481</v>
      </c>
      <c r="N41" s="250" t="s">
        <v>484</v>
      </c>
      <c r="O41" s="250" t="s">
        <v>478</v>
      </c>
    </row>
    <row r="42" spans="1:15" s="249" customFormat="1" ht="23.25" x14ac:dyDescent="0.5">
      <c r="A42" s="266">
        <v>35</v>
      </c>
      <c r="B42" s="258" t="s">
        <v>107</v>
      </c>
      <c r="C42" s="266">
        <v>1600600011</v>
      </c>
      <c r="D42" s="266" t="s">
        <v>16</v>
      </c>
      <c r="E42" s="210" t="s">
        <v>318</v>
      </c>
      <c r="F42" s="266">
        <v>7015167313</v>
      </c>
      <c r="G42" s="239" t="s">
        <v>519</v>
      </c>
      <c r="H42" s="204">
        <v>56300</v>
      </c>
      <c r="I42" s="260">
        <v>0</v>
      </c>
      <c r="J42" s="261">
        <f>+H42-I42</f>
        <v>56300</v>
      </c>
      <c r="K42" s="263">
        <f t="shared" si="1"/>
        <v>0</v>
      </c>
      <c r="L42" s="251" t="s">
        <v>485</v>
      </c>
      <c r="M42" s="250" t="s">
        <v>486</v>
      </c>
      <c r="N42" s="250" t="s">
        <v>487</v>
      </c>
      <c r="O42" s="250" t="s">
        <v>488</v>
      </c>
    </row>
    <row r="43" spans="1:15" s="254" customFormat="1" ht="23.25" x14ac:dyDescent="0.5">
      <c r="A43" s="1317" t="s">
        <v>284</v>
      </c>
      <c r="B43" s="1318"/>
      <c r="C43" s="1318"/>
      <c r="D43" s="1318"/>
      <c r="E43" s="1318"/>
      <c r="F43" s="1318"/>
      <c r="G43" s="1319"/>
      <c r="H43" s="262">
        <f>SUM(H41:H42)</f>
        <v>1676300</v>
      </c>
      <c r="I43" s="209">
        <v>0</v>
      </c>
      <c r="J43" s="262">
        <f>SUM(J41:J42)</f>
        <v>1676300</v>
      </c>
      <c r="K43" s="263">
        <f t="shared" si="1"/>
        <v>0</v>
      </c>
    </row>
    <row r="44" spans="1:15" s="245" customFormat="1" x14ac:dyDescent="0.55000000000000004">
      <c r="A44" s="1320" t="s">
        <v>367</v>
      </c>
      <c r="B44" s="1321"/>
      <c r="C44" s="1321"/>
      <c r="D44" s="1321"/>
      <c r="E44" s="1321"/>
      <c r="F44" s="1321"/>
      <c r="G44" s="1322"/>
      <c r="H44" s="264">
        <f>+H21+H40+H43</f>
        <v>94458430.790000007</v>
      </c>
      <c r="I44" s="264">
        <f>+I21+I40+I43</f>
        <v>0</v>
      </c>
      <c r="J44" s="264">
        <f>+J21+J40+J43</f>
        <v>94458430.790000007</v>
      </c>
      <c r="K44" s="263">
        <f t="shared" si="1"/>
        <v>0</v>
      </c>
    </row>
    <row r="47" spans="1:15" x14ac:dyDescent="0.55000000000000004">
      <c r="H47" s="255"/>
      <c r="I47" s="255"/>
      <c r="J47" s="255"/>
      <c r="K47" s="265"/>
    </row>
  </sheetData>
  <mergeCells count="18">
    <mergeCell ref="N4:N5"/>
    <mergeCell ref="A21:G21"/>
    <mergeCell ref="A40:G40"/>
    <mergeCell ref="A1:K1"/>
    <mergeCell ref="A2:K2"/>
    <mergeCell ref="A3:K3"/>
    <mergeCell ref="B4:B5"/>
    <mergeCell ref="C4:C5"/>
    <mergeCell ref="D4:D5"/>
    <mergeCell ref="E4:E5"/>
    <mergeCell ref="F4:F5"/>
    <mergeCell ref="G4:G5"/>
    <mergeCell ref="H4:H5"/>
    <mergeCell ref="A43:G43"/>
    <mergeCell ref="A44:G44"/>
    <mergeCell ref="J4:J5"/>
    <mergeCell ref="L4:L5"/>
    <mergeCell ref="M4:M5"/>
  </mergeCells>
  <printOptions horizontalCentered="1"/>
  <pageMargins left="0" right="0" top="0.75" bottom="0.75" header="0.3" footer="0.3"/>
  <pageSetup paperSize="5" orientation="landscape" r:id="rId1"/>
  <headerFooter>
    <oddFooter>หน้าที่ &amp;P จาก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F441"/>
  <sheetViews>
    <sheetView topLeftCell="A21" zoomScale="70" zoomScaleNormal="70" workbookViewId="0">
      <selection activeCell="D30" sqref="D30"/>
    </sheetView>
  </sheetViews>
  <sheetFormatPr defaultRowHeight="24" x14ac:dyDescent="0.5"/>
  <cols>
    <col min="1" max="1" width="19.85546875" style="53" customWidth="1"/>
    <col min="2" max="2" width="23.28515625" style="194" customWidth="1"/>
    <col min="3" max="3" width="18.5703125" style="194" hidden="1" customWidth="1"/>
    <col min="4" max="4" width="26" style="57" customWidth="1"/>
    <col min="5" max="5" width="21.5703125" style="53" customWidth="1"/>
    <col min="6" max="6" width="23.5703125" style="53" customWidth="1"/>
    <col min="7" max="7" width="20.28515625" style="53" customWidth="1"/>
    <col min="8" max="8" width="22.140625" style="53" customWidth="1"/>
    <col min="9" max="9" width="17.28515625" style="53" customWidth="1"/>
    <col min="10" max="10" width="23.42578125" style="53" bestFit="1" customWidth="1"/>
    <col min="11" max="11" width="41.28515625" style="53" hidden="1" customWidth="1"/>
    <col min="12" max="32" width="9.140625" style="53" hidden="1" customWidth="1"/>
    <col min="33" max="97" width="9.140625" style="53" customWidth="1"/>
    <col min="98" max="98" width="1.42578125" style="53" customWidth="1"/>
    <col min="99" max="112" width="9.140625" style="53" customWidth="1"/>
    <col min="113" max="113" width="1.42578125" style="53" customWidth="1"/>
    <col min="114" max="16384" width="9.140625" style="53"/>
  </cols>
  <sheetData>
    <row r="1" spans="1:14" s="199" customFormat="1" ht="39.75" x14ac:dyDescent="0.5">
      <c r="A1" s="1333" t="s">
        <v>919</v>
      </c>
      <c r="B1" s="1333"/>
      <c r="C1" s="1333"/>
      <c r="D1" s="1333"/>
      <c r="E1" s="1333"/>
      <c r="F1" s="1333"/>
      <c r="G1" s="1333"/>
      <c r="H1" s="1333"/>
      <c r="I1" s="1333"/>
      <c r="J1" s="1333"/>
    </row>
    <row r="2" spans="1:14" s="199" customFormat="1" ht="39.75" x14ac:dyDescent="0.5">
      <c r="A2" s="1333" t="s">
        <v>831</v>
      </c>
      <c r="B2" s="1333"/>
      <c r="C2" s="1333"/>
      <c r="D2" s="1333"/>
      <c r="E2" s="1333"/>
      <c r="F2" s="1333"/>
      <c r="G2" s="1333"/>
      <c r="H2" s="1333"/>
      <c r="I2" s="1333"/>
      <c r="J2" s="1333"/>
    </row>
    <row r="3" spans="1:14" s="199" customFormat="1" ht="39.75" x14ac:dyDescent="0.5">
      <c r="A3" s="1334" t="str">
        <f>+รายจ่ายจริง!A3:P3</f>
        <v>ตั้งแต่วันที่ 1  ตุลาคม 2564 ถึงวันที่ 31 มกราคม 2565</v>
      </c>
      <c r="B3" s="1334"/>
      <c r="C3" s="1334"/>
      <c r="D3" s="1334"/>
      <c r="E3" s="1334"/>
      <c r="F3" s="1334"/>
      <c r="G3" s="1334"/>
      <c r="H3" s="1334"/>
      <c r="I3" s="1334"/>
      <c r="J3" s="1334"/>
    </row>
    <row r="4" spans="1:14" s="123" customFormat="1" ht="30.75" x14ac:dyDescent="0.5">
      <c r="A4" s="1335" t="s">
        <v>201</v>
      </c>
      <c r="B4" s="1344" t="s">
        <v>59</v>
      </c>
      <c r="C4" s="1345"/>
      <c r="D4" s="1346"/>
      <c r="E4" s="639" t="s">
        <v>161</v>
      </c>
      <c r="F4" s="641" t="s">
        <v>17</v>
      </c>
      <c r="G4" s="639" t="s">
        <v>62</v>
      </c>
      <c r="H4" s="639" t="s">
        <v>62</v>
      </c>
      <c r="I4" s="1344" t="s">
        <v>65</v>
      </c>
      <c r="J4" s="1346"/>
      <c r="K4" s="123" t="s">
        <v>847</v>
      </c>
    </row>
    <row r="5" spans="1:14" s="123" customFormat="1" ht="30.75" x14ac:dyDescent="0.5">
      <c r="A5" s="1336"/>
      <c r="B5" s="535" t="s">
        <v>700</v>
      </c>
      <c r="C5" s="535" t="s">
        <v>699</v>
      </c>
      <c r="D5" s="815" t="s">
        <v>602</v>
      </c>
      <c r="E5" s="535" t="s">
        <v>627</v>
      </c>
      <c r="F5" s="642" t="s">
        <v>2</v>
      </c>
      <c r="G5" s="535" t="s">
        <v>71</v>
      </c>
      <c r="H5" s="535" t="s">
        <v>98</v>
      </c>
      <c r="I5" s="535" t="s">
        <v>106</v>
      </c>
      <c r="J5" s="535" t="s">
        <v>672</v>
      </c>
    </row>
    <row r="6" spans="1:14" s="55" customFormat="1" ht="27.75" x14ac:dyDescent="0.5">
      <c r="A6" s="1337"/>
      <c r="B6" s="643">
        <v>1</v>
      </c>
      <c r="C6" s="643">
        <v>2</v>
      </c>
      <c r="D6" s="643">
        <v>2</v>
      </c>
      <c r="E6" s="643">
        <v>3</v>
      </c>
      <c r="F6" s="644">
        <v>4</v>
      </c>
      <c r="G6" s="643" t="s">
        <v>849</v>
      </c>
      <c r="H6" s="643" t="s">
        <v>846</v>
      </c>
      <c r="I6" s="640"/>
      <c r="J6" s="640" t="s">
        <v>104</v>
      </c>
    </row>
    <row r="7" spans="1:14" ht="44.25" customHeight="1" x14ac:dyDescent="0.5">
      <c r="A7" s="104" t="s">
        <v>13</v>
      </c>
      <c r="B7" s="820">
        <f>+รายจ่ายจริง!G79</f>
        <v>1390052000</v>
      </c>
      <c r="C7" s="821">
        <f>+D7-B7</f>
        <v>-695026000</v>
      </c>
      <c r="D7" s="822">
        <f>+รายจ่ายจริง!G80</f>
        <v>695026000</v>
      </c>
      <c r="E7" s="823">
        <f>+รายจ่ายจริง!G81</f>
        <v>0</v>
      </c>
      <c r="F7" s="824">
        <f>+รายจ่ายจริง!G82</f>
        <v>455978224.26999998</v>
      </c>
      <c r="G7" s="826">
        <f>+B7-F7</f>
        <v>934073775.73000002</v>
      </c>
      <c r="H7" s="827">
        <f>+B7-E7-F7</f>
        <v>934073775.73000002</v>
      </c>
      <c r="I7" s="536">
        <f>+F7*100/B7</f>
        <v>32.802961635248181</v>
      </c>
      <c r="J7" s="536">
        <f>+K7*100/B7</f>
        <v>32.802961635248181</v>
      </c>
      <c r="K7" s="537">
        <f>+E7+F7</f>
        <v>455978224.26999998</v>
      </c>
    </row>
    <row r="8" spans="1:14" ht="44.25" customHeight="1" x14ac:dyDescent="0.5">
      <c r="A8" s="104" t="s">
        <v>14</v>
      </c>
      <c r="B8" s="820">
        <f>+รายจ่ายจริง!J79</f>
        <v>432541700</v>
      </c>
      <c r="C8" s="821">
        <f>+D8-B8</f>
        <v>-216271200</v>
      </c>
      <c r="D8" s="822">
        <f>+รายจ่ายจริง!J80</f>
        <v>216270500</v>
      </c>
      <c r="E8" s="823">
        <f>+รายจ่ายจริง!J81</f>
        <v>44861334.840000004</v>
      </c>
      <c r="F8" s="824">
        <f>+รายจ่ายจริง!J82</f>
        <v>108116326.24000001</v>
      </c>
      <c r="G8" s="826">
        <f>+B8-F8</f>
        <v>324425373.75999999</v>
      </c>
      <c r="H8" s="827">
        <f>+B8-E8-F8</f>
        <v>279564038.91999996</v>
      </c>
      <c r="I8" s="536">
        <f t="shared" ref="I8:I12" si="0">+F8*100/B8</f>
        <v>24.995584527457122</v>
      </c>
      <c r="J8" s="536">
        <f t="shared" ref="J8:J12" si="1">+K8*100/B8</f>
        <v>35.367147509708317</v>
      </c>
      <c r="K8" s="537">
        <f t="shared" ref="K8:K15" si="2">+E8+F8</f>
        <v>152977661.08000001</v>
      </c>
    </row>
    <row r="9" spans="1:14" s="57" customFormat="1" ht="44.25" customHeight="1" x14ac:dyDescent="0.5">
      <c r="A9" s="104" t="s">
        <v>15</v>
      </c>
      <c r="B9" s="825">
        <f>SUM(B10:B11)</f>
        <v>118294300</v>
      </c>
      <c r="C9" s="825">
        <f>SUM(C10:C11)</f>
        <v>-50070800</v>
      </c>
      <c r="D9" s="825">
        <f>SUM(D10:D11)</f>
        <v>68223500</v>
      </c>
      <c r="E9" s="825">
        <f>SUM(E10:E11)</f>
        <v>22444868</v>
      </c>
      <c r="F9" s="825">
        <f>SUM(F10:F11)</f>
        <v>18036707.699999999</v>
      </c>
      <c r="G9" s="825">
        <f t="shared" ref="G9" si="3">+D9-F9</f>
        <v>50186792.299999997</v>
      </c>
      <c r="H9" s="825">
        <f t="shared" ref="H9" si="4">+D9-E9-F9</f>
        <v>27741924.300000001</v>
      </c>
      <c r="I9" s="536">
        <f t="shared" si="0"/>
        <v>15.247317664502855</v>
      </c>
      <c r="J9" s="536">
        <f t="shared" si="1"/>
        <v>34.221070415058044</v>
      </c>
      <c r="K9" s="537">
        <f t="shared" si="2"/>
        <v>40481575.700000003</v>
      </c>
    </row>
    <row r="10" spans="1:14" ht="44.25" customHeight="1" x14ac:dyDescent="0.5">
      <c r="A10" s="200" t="s">
        <v>913</v>
      </c>
      <c r="B10" s="820">
        <f>+รายจ่ายจริง!K79</f>
        <v>19128700</v>
      </c>
      <c r="C10" s="820">
        <f>+D10-B10</f>
        <v>1296985</v>
      </c>
      <c r="D10" s="822">
        <f>+รายจ่ายจริง!K80</f>
        <v>20425685</v>
      </c>
      <c r="E10" s="823">
        <f>+รายจ่ายจริง!K81</f>
        <v>746218</v>
      </c>
      <c r="F10" s="824">
        <f>+รายจ่ายจริง!K82</f>
        <v>15059134.779999999</v>
      </c>
      <c r="G10" s="826">
        <f t="shared" ref="G10:G12" si="5">+B10-F10</f>
        <v>4069565.2200000007</v>
      </c>
      <c r="H10" s="827">
        <f t="shared" ref="H10:H12" si="6">+B10-E10-F10</f>
        <v>3323347.2200000007</v>
      </c>
      <c r="I10" s="536">
        <f t="shared" si="0"/>
        <v>78.725343489102755</v>
      </c>
      <c r="J10" s="536">
        <f t="shared" si="1"/>
        <v>82.62638224238971</v>
      </c>
      <c r="K10" s="537">
        <f t="shared" si="2"/>
        <v>15805352.779999999</v>
      </c>
    </row>
    <row r="11" spans="1:14" ht="44.25" customHeight="1" x14ac:dyDescent="0.5">
      <c r="A11" s="201" t="s">
        <v>205</v>
      </c>
      <c r="B11" s="826">
        <f>+รายจ่ายจริง!L79</f>
        <v>99165600</v>
      </c>
      <c r="C11" s="821">
        <f>+D11-B11</f>
        <v>-51367785</v>
      </c>
      <c r="D11" s="822">
        <f>+รายจ่ายจริง!L80</f>
        <v>47797815</v>
      </c>
      <c r="E11" s="823">
        <f>+รายจ่ายจริง!L81</f>
        <v>21698650</v>
      </c>
      <c r="F11" s="824">
        <f>+รายจ่ายจริง!L82</f>
        <v>2977572.92</v>
      </c>
      <c r="G11" s="826">
        <f t="shared" si="5"/>
        <v>96188027.079999998</v>
      </c>
      <c r="H11" s="827">
        <f t="shared" si="6"/>
        <v>74489377.079999998</v>
      </c>
      <c r="I11" s="536">
        <f t="shared" si="0"/>
        <v>3.0026268383391015</v>
      </c>
      <c r="J11" s="536">
        <f t="shared" si="1"/>
        <v>24.883853796074444</v>
      </c>
      <c r="K11" s="537">
        <f t="shared" si="2"/>
        <v>24676222.920000002</v>
      </c>
    </row>
    <row r="12" spans="1:14" ht="44.25" customHeight="1" x14ac:dyDescent="0.5">
      <c r="A12" s="104" t="s">
        <v>16</v>
      </c>
      <c r="B12" s="820">
        <f>+รายจ่ายจริง!O79</f>
        <v>28793900</v>
      </c>
      <c r="C12" s="820">
        <f>+D12-B12</f>
        <v>-14397100</v>
      </c>
      <c r="D12" s="822">
        <f>+รายจ่ายจริง!O80</f>
        <v>14396800</v>
      </c>
      <c r="E12" s="823">
        <f>+รายจ่ายจริง!O81</f>
        <v>2611120</v>
      </c>
      <c r="F12" s="824">
        <f>+รายจ่ายจริง!O82</f>
        <v>1250719.4200000002</v>
      </c>
      <c r="G12" s="826">
        <f t="shared" si="5"/>
        <v>27543180.579999998</v>
      </c>
      <c r="H12" s="827">
        <f t="shared" si="6"/>
        <v>24932060.579999998</v>
      </c>
      <c r="I12" s="536">
        <f t="shared" si="0"/>
        <v>4.3436957827873268</v>
      </c>
      <c r="J12" s="536">
        <f t="shared" si="1"/>
        <v>13.412005390030528</v>
      </c>
      <c r="K12" s="537">
        <f t="shared" si="2"/>
        <v>3861839.42</v>
      </c>
    </row>
    <row r="13" spans="1:14" s="243" customFormat="1" ht="54" customHeight="1" x14ac:dyDescent="0.5">
      <c r="A13" s="303" t="s">
        <v>271</v>
      </c>
      <c r="B13" s="304">
        <f>SUM(B7+B8+B9+B12)</f>
        <v>1969681900</v>
      </c>
      <c r="C13" s="304">
        <f t="shared" ref="C13:H13" si="7">SUM(C7+C8+C9+C12)</f>
        <v>-975765100</v>
      </c>
      <c r="D13" s="304">
        <f t="shared" si="7"/>
        <v>993916800</v>
      </c>
      <c r="E13" s="304">
        <f t="shared" si="7"/>
        <v>69917322.840000004</v>
      </c>
      <c r="F13" s="304">
        <f t="shared" si="7"/>
        <v>583381977.63</v>
      </c>
      <c r="G13" s="304">
        <f t="shared" si="7"/>
        <v>1336229122.3699999</v>
      </c>
      <c r="H13" s="304">
        <f t="shared" si="7"/>
        <v>1266311799.53</v>
      </c>
      <c r="I13" s="538">
        <f t="shared" ref="I13:I15" si="8">+F13*100/B13</f>
        <v>29.618080850009335</v>
      </c>
      <c r="J13" s="538">
        <f t="shared" ref="J13:J15" si="9">+K13*100/B13</f>
        <v>33.167756705790922</v>
      </c>
      <c r="K13" s="537">
        <f>+E13+F13</f>
        <v>653299300.47000003</v>
      </c>
    </row>
    <row r="14" spans="1:14" s="59" customFormat="1" ht="54" customHeight="1" x14ac:dyDescent="0.5">
      <c r="A14" s="539" t="s">
        <v>269</v>
      </c>
      <c r="B14" s="827">
        <f>+B7+B8+B12</f>
        <v>1851387600</v>
      </c>
      <c r="C14" s="828">
        <f>+C7+C8+C12</f>
        <v>-925694300</v>
      </c>
      <c r="D14" s="827">
        <f>+D7+D8+D12</f>
        <v>925693300</v>
      </c>
      <c r="E14" s="827">
        <f>+E7+E8+E12</f>
        <v>47472454.840000004</v>
      </c>
      <c r="F14" s="829">
        <f>+F7+F8+F12</f>
        <v>565345269.92999995</v>
      </c>
      <c r="G14" s="827">
        <f>+B14-F14</f>
        <v>1286042330.0700002</v>
      </c>
      <c r="H14" s="827">
        <f>+B14-E14-F14</f>
        <v>1238569875.23</v>
      </c>
      <c r="I14" s="540">
        <f t="shared" si="8"/>
        <v>30.536299904460844</v>
      </c>
      <c r="J14" s="540">
        <f t="shared" si="9"/>
        <v>33.100455289319214</v>
      </c>
      <c r="K14" s="537">
        <f t="shared" si="2"/>
        <v>612817724.76999998</v>
      </c>
      <c r="N14" s="795">
        <f>+D13*100/B13</f>
        <v>50.460777448378849</v>
      </c>
    </row>
    <row r="15" spans="1:14" s="59" customFormat="1" ht="54" customHeight="1" x14ac:dyDescent="0.5">
      <c r="A15" s="539" t="s">
        <v>270</v>
      </c>
      <c r="B15" s="827">
        <f>+B9</f>
        <v>118294300</v>
      </c>
      <c r="C15" s="827">
        <f>+C9</f>
        <v>-50070800</v>
      </c>
      <c r="D15" s="827">
        <f>+D9</f>
        <v>68223500</v>
      </c>
      <c r="E15" s="827">
        <f>+E9</f>
        <v>22444868</v>
      </c>
      <c r="F15" s="827">
        <f>+F9</f>
        <v>18036707.699999999</v>
      </c>
      <c r="G15" s="827">
        <f>+B15-F15</f>
        <v>100257592.3</v>
      </c>
      <c r="H15" s="827">
        <f>+B15-E15-F15</f>
        <v>77812724.299999997</v>
      </c>
      <c r="I15" s="540">
        <f t="shared" si="8"/>
        <v>15.247317664502855</v>
      </c>
      <c r="J15" s="540">
        <f t="shared" si="9"/>
        <v>34.221070415058044</v>
      </c>
      <c r="K15" s="537">
        <f t="shared" si="2"/>
        <v>40481575.700000003</v>
      </c>
    </row>
    <row r="16" spans="1:14" s="242" customFormat="1" ht="36" hidden="1" x14ac:dyDescent="0.5">
      <c r="A16" s="1338" t="s">
        <v>696</v>
      </c>
      <c r="B16" s="1338"/>
      <c r="C16" s="1338"/>
      <c r="D16" s="1338"/>
      <c r="E16" s="1338"/>
      <c r="F16" s="1338"/>
      <c r="G16" s="1338"/>
      <c r="H16" s="1338"/>
      <c r="I16" s="1338"/>
      <c r="J16" s="1338"/>
      <c r="K16" s="541"/>
    </row>
    <row r="17" spans="1:11" s="242" customFormat="1" ht="27.75" hidden="1" x14ac:dyDescent="0.5">
      <c r="A17" s="1339" t="s">
        <v>246</v>
      </c>
      <c r="B17" s="1339"/>
      <c r="C17" s="1339"/>
      <c r="D17" s="1339"/>
      <c r="E17" s="542" t="s">
        <v>166</v>
      </c>
      <c r="F17" s="542" t="s">
        <v>167</v>
      </c>
      <c r="G17" s="637" t="s">
        <v>168</v>
      </c>
      <c r="H17" s="737" t="s">
        <v>169</v>
      </c>
      <c r="I17" s="1340" t="s">
        <v>652</v>
      </c>
      <c r="J17" s="1341"/>
      <c r="K17" s="543"/>
    </row>
    <row r="18" spans="1:11" s="242" customFormat="1" ht="39.75" hidden="1" x14ac:dyDescent="0.5">
      <c r="A18" s="544" t="s">
        <v>268</v>
      </c>
      <c r="B18" s="1342" t="s">
        <v>272</v>
      </c>
      <c r="C18" s="1343"/>
      <c r="D18" s="545" t="s">
        <v>81</v>
      </c>
      <c r="E18" s="98">
        <v>32</v>
      </c>
      <c r="F18" s="98">
        <v>54</v>
      </c>
      <c r="G18" s="98">
        <v>77</v>
      </c>
      <c r="H18" s="98">
        <v>100</v>
      </c>
      <c r="I18" s="601" t="s">
        <v>350</v>
      </c>
      <c r="J18" s="679">
        <f>+I13-H18</f>
        <v>-70.381919149990665</v>
      </c>
      <c r="K18" s="541"/>
    </row>
    <row r="19" spans="1:11" s="242" customFormat="1" ht="39.75" hidden="1" x14ac:dyDescent="0.5">
      <c r="A19" s="544" t="s">
        <v>269</v>
      </c>
      <c r="B19" s="1342" t="s">
        <v>272</v>
      </c>
      <c r="C19" s="1343"/>
      <c r="D19" s="545" t="s">
        <v>81</v>
      </c>
      <c r="E19" s="98">
        <v>36</v>
      </c>
      <c r="F19" s="98">
        <v>57</v>
      </c>
      <c r="G19" s="98">
        <v>80</v>
      </c>
      <c r="H19" s="98">
        <v>100</v>
      </c>
      <c r="I19" s="601" t="s">
        <v>350</v>
      </c>
      <c r="J19" s="679">
        <f>+I14-H19</f>
        <v>-69.463700095539153</v>
      </c>
      <c r="K19" s="541"/>
    </row>
    <row r="20" spans="1:11" s="242" customFormat="1" ht="39.75" hidden="1" x14ac:dyDescent="0.5">
      <c r="A20" s="544" t="s">
        <v>270</v>
      </c>
      <c r="B20" s="1342" t="s">
        <v>272</v>
      </c>
      <c r="C20" s="1343"/>
      <c r="D20" s="545" t="s">
        <v>81</v>
      </c>
      <c r="E20" s="98">
        <v>20</v>
      </c>
      <c r="F20" s="98">
        <v>45</v>
      </c>
      <c r="G20" s="98">
        <v>65</v>
      </c>
      <c r="H20" s="98">
        <v>100</v>
      </c>
      <c r="I20" s="601" t="s">
        <v>350</v>
      </c>
      <c r="J20" s="679">
        <f>+I15-H20</f>
        <v>-84.752682335497141</v>
      </c>
      <c r="K20" s="541"/>
    </row>
    <row r="21" spans="1:11" s="686" customFormat="1" ht="11.25" customHeight="1" x14ac:dyDescent="0.5">
      <c r="A21" s="687"/>
      <c r="B21" s="688"/>
      <c r="C21" s="688"/>
      <c r="D21" s="688"/>
      <c r="E21" s="689"/>
      <c r="F21" s="689"/>
      <c r="G21" s="689"/>
      <c r="H21" s="690"/>
      <c r="I21" s="691"/>
      <c r="J21" s="692"/>
      <c r="K21" s="685"/>
    </row>
    <row r="22" spans="1:11" s="733" customFormat="1" ht="33" x14ac:dyDescent="0.5">
      <c r="A22" s="796" t="s">
        <v>880</v>
      </c>
      <c r="B22" s="796"/>
      <c r="C22" s="796"/>
      <c r="D22" s="796"/>
      <c r="E22" s="796"/>
      <c r="F22" s="796"/>
      <c r="G22" s="796"/>
      <c r="H22" s="796"/>
      <c r="I22" s="796"/>
      <c r="J22" s="796"/>
      <c r="K22" s="797"/>
    </row>
    <row r="23" spans="1:11" s="799" customFormat="1" ht="33" x14ac:dyDescent="0.5">
      <c r="A23" s="796" t="s">
        <v>909</v>
      </c>
      <c r="B23" s="798"/>
      <c r="C23" s="798"/>
      <c r="E23" s="800"/>
      <c r="F23" s="801"/>
      <c r="G23" s="801"/>
      <c r="J23" s="801"/>
    </row>
    <row r="24" spans="1:11" s="799" customFormat="1" ht="33" x14ac:dyDescent="0.5">
      <c r="A24" s="796" t="s">
        <v>879</v>
      </c>
      <c r="B24" s="798"/>
      <c r="C24" s="798"/>
      <c r="E24" s="800"/>
      <c r="F24" s="801"/>
      <c r="G24" s="801"/>
    </row>
    <row r="25" spans="1:11" s="195" customFormat="1" ht="36" x14ac:dyDescent="0.8">
      <c r="A25" s="1332" t="s">
        <v>905</v>
      </c>
      <c r="B25" s="1332"/>
      <c r="C25" s="1332"/>
      <c r="D25" s="1332"/>
      <c r="E25" s="1332"/>
      <c r="F25" s="1332"/>
      <c r="G25" s="1332"/>
      <c r="H25" s="1332"/>
      <c r="I25" s="1332"/>
      <c r="J25" s="1332"/>
    </row>
    <row r="26" spans="1:11" s="196" customFormat="1" ht="18.75" hidden="1" customHeight="1" x14ac:dyDescent="0.5">
      <c r="A26" s="267"/>
      <c r="B26" s="267"/>
      <c r="C26" s="267"/>
      <c r="D26" s="267"/>
      <c r="E26" s="267"/>
      <c r="F26" s="268"/>
      <c r="G26" s="268"/>
      <c r="H26" s="268"/>
      <c r="I26" s="268"/>
      <c r="J26" s="268"/>
    </row>
    <row r="27" spans="1:11" s="123" customFormat="1" ht="30.75" x14ac:dyDescent="0.5">
      <c r="A27" s="1347" t="s">
        <v>58</v>
      </c>
      <c r="B27" s="1348"/>
      <c r="C27" s="1348"/>
      <c r="D27" s="1348"/>
      <c r="E27" s="1349"/>
      <c r="F27" s="207" t="s">
        <v>275</v>
      </c>
      <c r="G27" s="208" t="s">
        <v>17</v>
      </c>
      <c r="H27" s="208" t="s">
        <v>60</v>
      </c>
      <c r="I27" s="208" t="s">
        <v>65</v>
      </c>
      <c r="J27" s="208" t="s">
        <v>160</v>
      </c>
    </row>
    <row r="28" spans="1:11" s="142" customFormat="1" ht="27.75" x14ac:dyDescent="0.5">
      <c r="A28" s="602">
        <v>1</v>
      </c>
      <c r="B28" s="552" t="s">
        <v>14</v>
      </c>
      <c r="C28" s="312"/>
      <c r="D28" s="301"/>
      <c r="E28" s="313"/>
      <c r="F28" s="206">
        <f>+F29</f>
        <v>721233.5</v>
      </c>
      <c r="G28" s="206">
        <f t="shared" ref="G28:H28" si="10">+G29</f>
        <v>0</v>
      </c>
      <c r="H28" s="206">
        <f t="shared" si="10"/>
        <v>721233.5</v>
      </c>
      <c r="I28" s="206">
        <f t="shared" ref="I28:I35" si="11">+G28*100/F28</f>
        <v>0</v>
      </c>
      <c r="J28" s="206"/>
    </row>
    <row r="29" spans="1:11" s="142" customFormat="1" ht="73.5" customHeight="1" x14ac:dyDescent="0.5">
      <c r="A29" s="602"/>
      <c r="B29" s="1352" t="s">
        <v>918</v>
      </c>
      <c r="C29" s="1352"/>
      <c r="D29" s="1352"/>
      <c r="E29" s="1353"/>
      <c r="F29" s="202">
        <v>721233.5</v>
      </c>
      <c r="G29" s="202"/>
      <c r="H29" s="202">
        <f>+F29-G29</f>
        <v>721233.5</v>
      </c>
      <c r="I29" s="206">
        <f t="shared" si="11"/>
        <v>0</v>
      </c>
      <c r="J29" s="803" t="s">
        <v>903</v>
      </c>
    </row>
    <row r="30" spans="1:11" s="142" customFormat="1" ht="28.5" customHeight="1" x14ac:dyDescent="0.5">
      <c r="A30" s="602">
        <v>2</v>
      </c>
      <c r="B30" s="552" t="s">
        <v>15</v>
      </c>
      <c r="C30" s="312"/>
      <c r="D30" s="301"/>
      <c r="E30" s="205"/>
      <c r="F30" s="206">
        <f>SUM(F31:F34)</f>
        <v>20862347.390000001</v>
      </c>
      <c r="G30" s="206">
        <f t="shared" ref="G30:H30" si="12">SUM(G31:G34)</f>
        <v>0</v>
      </c>
      <c r="H30" s="206">
        <f t="shared" si="12"/>
        <v>20862347.390000001</v>
      </c>
      <c r="I30" s="206">
        <f t="shared" si="11"/>
        <v>0</v>
      </c>
      <c r="J30" s="206"/>
    </row>
    <row r="31" spans="1:11" s="142" customFormat="1" ht="28.5" customHeight="1" x14ac:dyDescent="0.5">
      <c r="A31" s="602"/>
      <c r="B31" s="1352" t="s">
        <v>815</v>
      </c>
      <c r="C31" s="1352"/>
      <c r="D31" s="1352"/>
      <c r="E31" s="1353"/>
      <c r="F31" s="202">
        <f>+เงินกันปี63!J25</f>
        <v>11135650</v>
      </c>
      <c r="G31" s="202">
        <v>0</v>
      </c>
      <c r="H31" s="202">
        <f>+F31-G31</f>
        <v>11135650</v>
      </c>
      <c r="I31" s="206">
        <f t="shared" si="11"/>
        <v>0</v>
      </c>
      <c r="J31" s="202"/>
    </row>
    <row r="32" spans="1:11" s="142" customFormat="1" ht="28.5" customHeight="1" x14ac:dyDescent="0.5">
      <c r="A32" s="602"/>
      <c r="B32" s="1352" t="s">
        <v>816</v>
      </c>
      <c r="C32" s="1352"/>
      <c r="D32" s="1352"/>
      <c r="E32" s="1353"/>
      <c r="F32" s="202">
        <f>+เงินกันปี63!J29</f>
        <v>2339940.84</v>
      </c>
      <c r="G32" s="202">
        <v>0</v>
      </c>
      <c r="H32" s="202">
        <f t="shared" ref="H32:H34" si="13">+F32-G32</f>
        <v>2339940.84</v>
      </c>
      <c r="I32" s="206">
        <f t="shared" si="11"/>
        <v>0</v>
      </c>
      <c r="J32" s="202"/>
    </row>
    <row r="33" spans="1:10" s="142" customFormat="1" ht="28.5" customHeight="1" x14ac:dyDescent="0.5">
      <c r="A33" s="602"/>
      <c r="B33" s="1352" t="s">
        <v>817</v>
      </c>
      <c r="C33" s="1352"/>
      <c r="D33" s="1352"/>
      <c r="E33" s="1353"/>
      <c r="F33" s="202">
        <f>+เงินกันปี63!J31</f>
        <v>4231617.55</v>
      </c>
      <c r="G33" s="202"/>
      <c r="H33" s="202">
        <f t="shared" si="13"/>
        <v>4231617.55</v>
      </c>
      <c r="I33" s="206">
        <f t="shared" si="11"/>
        <v>0</v>
      </c>
      <c r="J33" s="202"/>
    </row>
    <row r="34" spans="1:10" s="142" customFormat="1" ht="28.5" customHeight="1" x14ac:dyDescent="0.5">
      <c r="A34" s="602"/>
      <c r="B34" s="1352" t="s">
        <v>818</v>
      </c>
      <c r="C34" s="1352"/>
      <c r="D34" s="1352"/>
      <c r="E34" s="1353"/>
      <c r="F34" s="202">
        <f>+เงินกันปี63!J35</f>
        <v>3155139</v>
      </c>
      <c r="G34" s="202"/>
      <c r="H34" s="202">
        <f t="shared" si="13"/>
        <v>3155139</v>
      </c>
      <c r="I34" s="206">
        <f t="shared" si="11"/>
        <v>0</v>
      </c>
      <c r="J34" s="206" t="s">
        <v>848</v>
      </c>
    </row>
    <row r="35" spans="1:10" s="199" customFormat="1" ht="33" x14ac:dyDescent="0.5">
      <c r="A35" s="1358" t="s">
        <v>279</v>
      </c>
      <c r="B35" s="1359"/>
      <c r="C35" s="1359"/>
      <c r="D35" s="1359"/>
      <c r="E35" s="1360"/>
      <c r="F35" s="206">
        <f>+F28+F30</f>
        <v>21583580.890000001</v>
      </c>
      <c r="G35" s="206">
        <f t="shared" ref="G35:H35" si="14">+G28+G30</f>
        <v>0</v>
      </c>
      <c r="H35" s="206">
        <f t="shared" si="14"/>
        <v>21583580.890000001</v>
      </c>
      <c r="I35" s="206">
        <f t="shared" si="11"/>
        <v>0</v>
      </c>
      <c r="J35" s="203"/>
    </row>
    <row r="36" spans="1:10" s="195" customFormat="1" ht="36" x14ac:dyDescent="0.8">
      <c r="A36" s="1332" t="s">
        <v>733</v>
      </c>
      <c r="B36" s="1332"/>
      <c r="C36" s="1332"/>
      <c r="D36" s="1332"/>
      <c r="E36" s="1332"/>
      <c r="F36" s="1332"/>
      <c r="G36" s="1332"/>
      <c r="H36" s="1332"/>
      <c r="I36" s="1332"/>
      <c r="J36" s="1332"/>
    </row>
    <row r="37" spans="1:10" s="196" customFormat="1" ht="18.75" hidden="1" customHeight="1" x14ac:dyDescent="0.5">
      <c r="A37" s="267"/>
      <c r="B37" s="267"/>
      <c r="C37" s="267"/>
      <c r="D37" s="267"/>
      <c r="E37" s="267"/>
      <c r="F37" s="268"/>
      <c r="G37" s="268"/>
      <c r="H37" s="268"/>
      <c r="I37" s="268"/>
      <c r="J37" s="268"/>
    </row>
    <row r="38" spans="1:10" s="196" customFormat="1" ht="18.75" hidden="1" customHeight="1" x14ac:dyDescent="0.5">
      <c r="A38" s="267"/>
      <c r="B38" s="267"/>
      <c r="C38" s="267"/>
      <c r="D38" s="267"/>
      <c r="E38" s="267"/>
      <c r="F38" s="268"/>
      <c r="G38" s="268"/>
      <c r="H38" s="268"/>
      <c r="I38" s="268"/>
      <c r="J38" s="268"/>
    </row>
    <row r="39" spans="1:10" s="123" customFormat="1" ht="30.75" x14ac:dyDescent="0.5">
      <c r="A39" s="1347" t="s">
        <v>58</v>
      </c>
      <c r="B39" s="1348"/>
      <c r="C39" s="1348"/>
      <c r="D39" s="1348"/>
      <c r="E39" s="1349"/>
      <c r="F39" s="207" t="s">
        <v>275</v>
      </c>
      <c r="G39" s="208" t="s">
        <v>17</v>
      </c>
      <c r="H39" s="208" t="s">
        <v>60</v>
      </c>
      <c r="I39" s="208" t="s">
        <v>65</v>
      </c>
      <c r="J39" s="208" t="s">
        <v>160</v>
      </c>
    </row>
    <row r="40" spans="1:10" s="142" customFormat="1" ht="30.75" customHeight="1" x14ac:dyDescent="0.5">
      <c r="A40" s="602">
        <v>1</v>
      </c>
      <c r="B40" s="552" t="s">
        <v>14</v>
      </c>
      <c r="C40" s="312"/>
      <c r="D40" s="301"/>
      <c r="E40" s="313"/>
      <c r="F40" s="206">
        <f>+เงินกันปี64!H22</f>
        <v>9240390</v>
      </c>
      <c r="G40" s="206">
        <f>+เงินกันปี64!I22</f>
        <v>4144164</v>
      </c>
      <c r="H40" s="206">
        <f>+เงินกันปี64!J22</f>
        <v>5096226</v>
      </c>
      <c r="I40" s="206">
        <f t="shared" ref="I40:I43" si="15">+G40*100/F40</f>
        <v>44.848366789713424</v>
      </c>
      <c r="J40" s="206"/>
    </row>
    <row r="41" spans="1:10" s="142" customFormat="1" ht="30.75" customHeight="1" x14ac:dyDescent="0.5">
      <c r="A41" s="602">
        <v>2</v>
      </c>
      <c r="B41" s="552" t="s">
        <v>15</v>
      </c>
      <c r="C41" s="312"/>
      <c r="D41" s="301"/>
      <c r="E41" s="205"/>
      <c r="F41" s="206">
        <f>SUM(F42:F43)</f>
        <v>121075475.32000001</v>
      </c>
      <c r="G41" s="206">
        <f t="shared" ref="G41:H41" si="16">SUM(G42:G43)</f>
        <v>22251760.420000002</v>
      </c>
      <c r="H41" s="206">
        <f t="shared" si="16"/>
        <v>98823714.900000006</v>
      </c>
      <c r="I41" s="206">
        <f t="shared" si="15"/>
        <v>18.378420866149028</v>
      </c>
      <c r="J41" s="206"/>
    </row>
    <row r="42" spans="1:10" s="142" customFormat="1" ht="30.75" customHeight="1" x14ac:dyDescent="0.5">
      <c r="A42" s="602"/>
      <c r="B42" s="1352" t="s">
        <v>819</v>
      </c>
      <c r="C42" s="1352"/>
      <c r="D42" s="1352"/>
      <c r="E42" s="1353"/>
      <c r="F42" s="202">
        <f>+เงินกันปี64!H23+เงินกันปี64!H24+เงินกันปี64!H25+เงินกันปี64!H26+เงินกันปี64!H27+เงินกันปี64!H28+เงินกันปี64!H29+เงินกันปี64!H30+เงินกันปี64!H31+เงินกันปี64!H32+เงินกันปี64!H33</f>
        <v>3678102.5</v>
      </c>
      <c r="G42" s="202">
        <f>+เงินกันปี64!I23+เงินกันปี64!I24+เงินกันปี64!I25+เงินกันปี64!I26+เงินกันปี64!I27+เงินกันปี64!I28+เงินกันปี64!I29+เงินกันปี64!I30+เงินกันปี64!I31+เงินกันปี64!I32+เงินกันปี64!I33</f>
        <v>2068530</v>
      </c>
      <c r="H42" s="202">
        <f>+เงินกันปี64!J23+เงินกันปี64!J24+เงินกันปี64!J25+เงินกันปี64!J26+เงินกันปี64!J27+เงินกันปี64!J28+เงินกันปี64!J29+เงินกันปี64!J30+เงินกันปี64!J31+เงินกันปี64!J32+เงินกันปี64!J33</f>
        <v>1609572.5</v>
      </c>
      <c r="I42" s="206">
        <f t="shared" si="15"/>
        <v>56.239052609327771</v>
      </c>
      <c r="J42" s="202"/>
    </row>
    <row r="43" spans="1:10" s="142" customFormat="1" ht="30.75" customHeight="1" x14ac:dyDescent="0.5">
      <c r="A43" s="602"/>
      <c r="B43" s="1352" t="s">
        <v>820</v>
      </c>
      <c r="C43" s="1352"/>
      <c r="D43" s="1352"/>
      <c r="E43" s="1353"/>
      <c r="F43" s="202">
        <f>+เงินกันปี64!H34+เงินกันปี64!H35+เงินกันปี64!H36+เงินกันปี64!H37+เงินกันปี64!H38+เงินกันปี64!H39+เงินกันปี64!H40+เงินกันปี64!H41+เงินกันปี64!H42+เงินกันปี64!H43+เงินกันปี64!H44+เงินกันปี64!H45+เงินกันปี64!H46+เงินกันปี64!H47+เงินกันปี64!H48+เงินกันปี64!H49+เงินกันปี64!H50+เงินกันปี64!H51</f>
        <v>117397372.82000001</v>
      </c>
      <c r="G43" s="202">
        <f>+เงินกันปี64!I34+เงินกันปี64!I35+เงินกันปี64!I36+เงินกันปี64!I37+เงินกันปี64!I38+เงินกันปี64!I39+เงินกันปี64!I40+เงินกันปี64!I41+เงินกันปี64!I42+เงินกันปี64!I43+เงินกันปี64!I44+เงินกันปี64!I45+เงินกันปี64!I46+เงินกันปี64!I47+เงินกันปี64!I48+เงินกันปี64!I49+เงินกันปี64!I50+เงินกันปี64!I51</f>
        <v>20183230.420000002</v>
      </c>
      <c r="H43" s="202">
        <f>+เงินกันปี64!J34+เงินกันปี64!J35+เงินกันปี64!J36+เงินกันปี64!J37+เงินกันปี64!J38+เงินกันปี64!J39+เงินกันปี64!J40+เงินกันปี64!J41+เงินกันปี64!J42+เงินกันปี64!J43+เงินกันปี64!J44+เงินกันปี64!J45+เงินกันปี64!J46+เงินกันปี64!J47+เงินกันปี64!J48+เงินกันปี64!J49+เงินกันปี64!J50+เงินกันปี64!J51</f>
        <v>97214142.400000006</v>
      </c>
      <c r="I43" s="206">
        <f t="shared" si="15"/>
        <v>17.192233467563216</v>
      </c>
      <c r="J43" s="202"/>
    </row>
    <row r="44" spans="1:10" s="142" customFormat="1" ht="30.75" customHeight="1" x14ac:dyDescent="0.5">
      <c r="A44" s="602">
        <v>3</v>
      </c>
      <c r="B44" s="552" t="s">
        <v>16</v>
      </c>
      <c r="C44" s="312"/>
      <c r="D44" s="301"/>
      <c r="E44" s="205"/>
      <c r="F44" s="206">
        <f>SUM(F45:F46)</f>
        <v>11129007.4</v>
      </c>
      <c r="G44" s="206">
        <f t="shared" ref="G44:H44" si="17">SUM(G45:G46)</f>
        <v>7107007.4000000004</v>
      </c>
      <c r="H44" s="206">
        <f t="shared" si="17"/>
        <v>4022000</v>
      </c>
      <c r="I44" s="206">
        <f t="shared" ref="I44:I46" si="18">+G44*100/F44</f>
        <v>63.860209132397557</v>
      </c>
      <c r="J44" s="206"/>
    </row>
    <row r="45" spans="1:10" s="77" customFormat="1" ht="30.75" customHeight="1" x14ac:dyDescent="0.5">
      <c r="A45" s="197"/>
      <c r="B45" s="1352" t="s">
        <v>928</v>
      </c>
      <c r="C45" s="1352"/>
      <c r="D45" s="1352"/>
      <c r="E45" s="1353"/>
      <c r="F45" s="202">
        <f>+เงินกันปี64!H62</f>
        <v>6129007.4000000004</v>
      </c>
      <c r="G45" s="202">
        <f>+เงินกันปี64!I62</f>
        <v>2107007.4</v>
      </c>
      <c r="H45" s="202">
        <f>+เงินกันปี64!J62</f>
        <v>4022000</v>
      </c>
      <c r="I45" s="206">
        <f t="shared" si="18"/>
        <v>34.377628586318885</v>
      </c>
      <c r="J45" s="202"/>
    </row>
    <row r="46" spans="1:10" s="77" customFormat="1" ht="83.25" x14ac:dyDescent="0.5">
      <c r="A46" s="197"/>
      <c r="B46" s="1175" t="s">
        <v>929</v>
      </c>
      <c r="C46" s="1175"/>
      <c r="D46" s="1175"/>
      <c r="E46" s="1176"/>
      <c r="F46" s="302">
        <f>+เงินกันปี64!H63</f>
        <v>5000000</v>
      </c>
      <c r="G46" s="302">
        <f>+เงินกันปี64!I63</f>
        <v>5000000</v>
      </c>
      <c r="H46" s="302">
        <f>+เงินกันปี64!J63</f>
        <v>0</v>
      </c>
      <c r="I46" s="206">
        <f t="shared" si="18"/>
        <v>100</v>
      </c>
      <c r="J46" s="802" t="s">
        <v>908</v>
      </c>
    </row>
    <row r="47" spans="1:10" s="733" customFormat="1" ht="38.25" customHeight="1" x14ac:dyDescent="0.5">
      <c r="A47" s="1358" t="s">
        <v>279</v>
      </c>
      <c r="B47" s="1359"/>
      <c r="C47" s="1359"/>
      <c r="D47" s="1359"/>
      <c r="E47" s="1360"/>
      <c r="F47" s="206">
        <f>+F40+F41+F44</f>
        <v>141444872.72</v>
      </c>
      <c r="G47" s="206">
        <f t="shared" ref="G47:H47" si="19">+G40+G41+G44</f>
        <v>33502931.82</v>
      </c>
      <c r="H47" s="206">
        <f t="shared" si="19"/>
        <v>107941940.90000001</v>
      </c>
      <c r="I47" s="549">
        <f t="shared" ref="I47" si="20">+G47*100/F47</f>
        <v>23.686211578924741</v>
      </c>
      <c r="J47" s="203"/>
    </row>
    <row r="48" spans="1:10" s="794" customFormat="1" ht="33" x14ac:dyDescent="0.5">
      <c r="A48" s="1350" t="s">
        <v>931</v>
      </c>
      <c r="B48" s="1350"/>
      <c r="C48" s="1350"/>
      <c r="D48" s="1350"/>
      <c r="E48" s="1350"/>
      <c r="F48" s="1350"/>
      <c r="G48" s="1350"/>
      <c r="H48" s="1350"/>
      <c r="I48" s="1350"/>
      <c r="J48" s="793"/>
    </row>
    <row r="49" spans="1:10" s="123" customFormat="1" ht="32.25" customHeight="1" x14ac:dyDescent="0.5">
      <c r="A49" s="1351"/>
      <c r="B49" s="1351"/>
      <c r="C49" s="1351"/>
      <c r="D49" s="1351"/>
      <c r="E49" s="1351"/>
      <c r="F49" s="1351"/>
      <c r="G49" s="1351"/>
      <c r="H49" s="1351"/>
      <c r="I49" s="1351"/>
      <c r="J49" s="550"/>
    </row>
    <row r="50" spans="1:10" s="123" customFormat="1" ht="32.25" hidden="1" customHeight="1" x14ac:dyDescent="0.5">
      <c r="A50" s="531"/>
      <c r="B50" s="531"/>
      <c r="C50" s="531"/>
      <c r="D50" s="531"/>
      <c r="E50" s="531"/>
      <c r="F50" s="531"/>
      <c r="G50" s="531"/>
      <c r="H50" s="531"/>
      <c r="I50" s="531"/>
      <c r="J50" s="550"/>
    </row>
    <row r="51" spans="1:10" s="195" customFormat="1" ht="36" x14ac:dyDescent="0.8">
      <c r="A51" s="1332" t="s">
        <v>930</v>
      </c>
      <c r="B51" s="1332"/>
      <c r="C51" s="1332"/>
      <c r="D51" s="1332"/>
      <c r="E51" s="1332"/>
      <c r="F51" s="1332"/>
      <c r="G51" s="1332"/>
      <c r="H51" s="1332"/>
      <c r="I51" s="1332"/>
      <c r="J51" s="1332"/>
    </row>
    <row r="52" spans="1:10" s="123" customFormat="1" ht="51" customHeight="1" x14ac:dyDescent="0.5">
      <c r="A52" s="1347" t="s">
        <v>58</v>
      </c>
      <c r="B52" s="1348"/>
      <c r="C52" s="1348"/>
      <c r="D52" s="1348"/>
      <c r="E52" s="1349"/>
      <c r="F52" s="207" t="s">
        <v>275</v>
      </c>
      <c r="G52" s="208" t="s">
        <v>17</v>
      </c>
      <c r="H52" s="208" t="s">
        <v>60</v>
      </c>
      <c r="I52" s="208" t="s">
        <v>65</v>
      </c>
      <c r="J52" s="546"/>
    </row>
    <row r="53" spans="1:10" s="142" customFormat="1" ht="51" customHeight="1" x14ac:dyDescent="0.5">
      <c r="A53" s="1356" t="s">
        <v>620</v>
      </c>
      <c r="B53" s="1357"/>
      <c r="C53" s="312"/>
      <c r="D53" s="301"/>
      <c r="E53" s="313"/>
      <c r="F53" s="206">
        <f>SUM(F54:F55)</f>
        <v>2700000</v>
      </c>
      <c r="G53" s="206">
        <f t="shared" ref="G53:H53" si="21">SUM(G54:G55)</f>
        <v>556359.67999999993</v>
      </c>
      <c r="H53" s="206">
        <f t="shared" si="21"/>
        <v>2143640.3200000003</v>
      </c>
      <c r="I53" s="206">
        <f>+G53*100/F53</f>
        <v>20.605914074074072</v>
      </c>
      <c r="J53" s="547"/>
    </row>
    <row r="54" spans="1:10" s="142" customFormat="1" ht="51" customHeight="1" x14ac:dyDescent="0.5">
      <c r="A54" s="551" t="s">
        <v>637</v>
      </c>
      <c r="B54" s="552" t="s">
        <v>621</v>
      </c>
      <c r="C54" s="198"/>
      <c r="D54" s="301"/>
      <c r="E54" s="205"/>
      <c r="F54" s="202">
        <f>+'เบิกแทน กรมคุม'!D103</f>
        <v>2700000</v>
      </c>
      <c r="G54" s="202">
        <f>+'เบิกแทน กรมคุม'!E103</f>
        <v>556359.67999999993</v>
      </c>
      <c r="H54" s="202">
        <f>SUM(F54-G54)</f>
        <v>2143640.3200000003</v>
      </c>
      <c r="I54" s="202">
        <f>+G54*100/F54</f>
        <v>20.605914074074072</v>
      </c>
      <c r="J54" s="547"/>
    </row>
    <row r="55" spans="1:10" s="123" customFormat="1" ht="51" customHeight="1" x14ac:dyDescent="0.5">
      <c r="A55" s="551" t="s">
        <v>638</v>
      </c>
      <c r="B55" s="1354" t="s">
        <v>636</v>
      </c>
      <c r="C55" s="1355"/>
      <c r="D55" s="1355"/>
      <c r="E55" s="1355"/>
      <c r="F55" s="838">
        <v>0</v>
      </c>
      <c r="G55" s="838">
        <v>0</v>
      </c>
      <c r="H55" s="838">
        <v>0</v>
      </c>
      <c r="I55" s="202">
        <v>0</v>
      </c>
      <c r="J55" s="548"/>
    </row>
    <row r="56" spans="1:10" s="123" customFormat="1" ht="32.25" hidden="1" customHeight="1" x14ac:dyDescent="0.5">
      <c r="A56" s="123" t="s">
        <v>628</v>
      </c>
      <c r="B56" s="193"/>
      <c r="C56" s="193"/>
    </row>
    <row r="441" spans="9:9" x14ac:dyDescent="0.5">
      <c r="I441" s="151"/>
    </row>
  </sheetData>
  <mergeCells count="33">
    <mergeCell ref="B55:E55"/>
    <mergeCell ref="A52:E52"/>
    <mergeCell ref="A53:B53"/>
    <mergeCell ref="A35:E35"/>
    <mergeCell ref="A51:J51"/>
    <mergeCell ref="A47:E47"/>
    <mergeCell ref="A39:E39"/>
    <mergeCell ref="B42:E42"/>
    <mergeCell ref="B43:E43"/>
    <mergeCell ref="B45:E45"/>
    <mergeCell ref="B46:E46"/>
    <mergeCell ref="A27:E27"/>
    <mergeCell ref="A48:I48"/>
    <mergeCell ref="A49:I49"/>
    <mergeCell ref="B34:E34"/>
    <mergeCell ref="A36:J36"/>
    <mergeCell ref="B29:E29"/>
    <mergeCell ref="B31:E31"/>
    <mergeCell ref="B32:E32"/>
    <mergeCell ref="B33:E33"/>
    <mergeCell ref="A25:J25"/>
    <mergeCell ref="A1:J1"/>
    <mergeCell ref="A2:J2"/>
    <mergeCell ref="A3:J3"/>
    <mergeCell ref="A4:A6"/>
    <mergeCell ref="A16:J16"/>
    <mergeCell ref="A17:D17"/>
    <mergeCell ref="I17:J17"/>
    <mergeCell ref="B18:C18"/>
    <mergeCell ref="B19:C19"/>
    <mergeCell ref="B20:C20"/>
    <mergeCell ref="B4:D4"/>
    <mergeCell ref="I4:J4"/>
  </mergeCells>
  <pageMargins left="0.43307086614173229" right="0.19685039370078741" top="0.39370078740157483" bottom="0.43307086614173229" header="0.15748031496062992" footer="0.15748031496062992"/>
  <pageSetup paperSize="9" scale="76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52117-1DE4-4A92-9512-AD925A328C5C}">
  <sheetPr>
    <tabColor theme="5" tint="-0.249977111117893"/>
  </sheetPr>
  <dimension ref="A1:M24"/>
  <sheetViews>
    <sheetView topLeftCell="A5" zoomScale="70" zoomScaleNormal="70" workbookViewId="0">
      <pane ySplit="1170" topLeftCell="A4" activePane="bottomLeft"/>
      <selection activeCell="K5" sqref="K1:L1048576"/>
      <selection pane="bottomLeft" activeCell="D11" sqref="D11"/>
    </sheetView>
  </sheetViews>
  <sheetFormatPr defaultRowHeight="24" x14ac:dyDescent="0.55000000000000004"/>
  <cols>
    <col min="1" max="1" width="2.5703125" style="221" bestFit="1" customWidth="1"/>
    <col min="2" max="2" width="9.28515625" style="221" customWidth="1"/>
    <col min="3" max="3" width="32.140625" style="219" customWidth="1"/>
    <col min="4" max="5" width="24.85546875" style="219" customWidth="1"/>
    <col min="6" max="6" width="23.42578125" style="219" customWidth="1"/>
    <col min="7" max="7" width="17.5703125" style="219" customWidth="1"/>
    <col min="8" max="9" width="25.28515625" style="219" customWidth="1"/>
    <col min="10" max="10" width="17.5703125" style="219" customWidth="1"/>
    <col min="11" max="12" width="29.140625" style="219" customWidth="1"/>
    <col min="13" max="16384" width="9.140625" style="219"/>
  </cols>
  <sheetData>
    <row r="1" spans="1:13" ht="33" x14ac:dyDescent="0.75">
      <c r="A1" s="1102" t="str">
        <f>+รายงานผู้บริหาร!A1</f>
        <v>กรมพินิจและคุ้มครองเด็กและเยาวชน กระทรวงยุติธรรม</v>
      </c>
      <c r="B1" s="1102"/>
      <c r="C1" s="1102"/>
      <c r="D1" s="1102"/>
      <c r="E1" s="1102"/>
      <c r="F1" s="1102"/>
      <c r="G1" s="1102"/>
      <c r="H1" s="1102"/>
      <c r="I1" s="1102"/>
      <c r="J1" s="1102"/>
      <c r="K1" s="1102"/>
      <c r="L1" s="1102"/>
      <c r="M1" s="477"/>
    </row>
    <row r="2" spans="1:13" ht="33" x14ac:dyDescent="0.75">
      <c r="A2" s="1102" t="s">
        <v>1005</v>
      </c>
      <c r="B2" s="1102"/>
      <c r="C2" s="1102"/>
      <c r="D2" s="1102"/>
      <c r="E2" s="1102"/>
      <c r="F2" s="1102"/>
      <c r="G2" s="1102"/>
      <c r="H2" s="1102"/>
      <c r="I2" s="1102"/>
      <c r="J2" s="1102"/>
      <c r="K2" s="1102"/>
      <c r="L2" s="1102"/>
      <c r="M2" s="949"/>
    </row>
    <row r="3" spans="1:13" ht="33" x14ac:dyDescent="0.75">
      <c r="A3" s="1102" t="s">
        <v>292</v>
      </c>
      <c r="B3" s="1102"/>
      <c r="C3" s="1102"/>
      <c r="D3" s="1102"/>
      <c r="E3" s="1102"/>
      <c r="F3" s="1102"/>
      <c r="G3" s="1102"/>
      <c r="H3" s="1102"/>
      <c r="I3" s="1102"/>
      <c r="J3" s="1102"/>
      <c r="K3" s="1102"/>
      <c r="L3" s="1102"/>
      <c r="M3" s="949"/>
    </row>
    <row r="4" spans="1:13" ht="33" x14ac:dyDescent="0.75">
      <c r="A4" s="1103" t="str">
        <f>+รายงานผู้บริหาร!A3</f>
        <v>ตั้งแต่วันที่ 1  ตุลาคม 2564 ถึงวันที่ 31 มกราคม 2565</v>
      </c>
      <c r="B4" s="1104"/>
      <c r="C4" s="1104"/>
      <c r="D4" s="1104"/>
      <c r="E4" s="1104"/>
      <c r="F4" s="1104"/>
      <c r="G4" s="1104"/>
      <c r="H4" s="1104"/>
      <c r="I4" s="1104"/>
      <c r="J4" s="1104"/>
      <c r="K4" s="1104"/>
      <c r="L4" s="1104"/>
      <c r="M4" s="477"/>
    </row>
    <row r="5" spans="1:13" s="477" customFormat="1" ht="27.75" x14ac:dyDescent="0.65">
      <c r="A5" s="1105" t="s">
        <v>58</v>
      </c>
      <c r="B5" s="1105"/>
      <c r="C5" s="1105"/>
      <c r="D5" s="1108" t="s">
        <v>961</v>
      </c>
      <c r="E5" s="1108"/>
      <c r="F5" s="1105" t="s">
        <v>105</v>
      </c>
      <c r="G5" s="1010" t="s">
        <v>625</v>
      </c>
      <c r="H5" s="1011" t="s">
        <v>161</v>
      </c>
      <c r="I5" s="1108" t="s">
        <v>967</v>
      </c>
      <c r="J5" s="1109"/>
      <c r="K5" s="972" t="s">
        <v>60</v>
      </c>
      <c r="L5" s="973" t="s">
        <v>934</v>
      </c>
    </row>
    <row r="6" spans="1:13" s="477" customFormat="1" ht="27.75" x14ac:dyDescent="0.65">
      <c r="A6" s="1106"/>
      <c r="B6" s="1106"/>
      <c r="C6" s="1106"/>
      <c r="D6" s="973" t="s">
        <v>624</v>
      </c>
      <c r="E6" s="973" t="s">
        <v>602</v>
      </c>
      <c r="F6" s="1106"/>
      <c r="G6" s="1012" t="s">
        <v>935</v>
      </c>
      <c r="H6" s="1013" t="s">
        <v>873</v>
      </c>
      <c r="I6" s="973" t="s">
        <v>377</v>
      </c>
      <c r="J6" s="1010" t="s">
        <v>81</v>
      </c>
      <c r="K6" s="974" t="s">
        <v>933</v>
      </c>
      <c r="L6" s="975" t="s">
        <v>935</v>
      </c>
    </row>
    <row r="7" spans="1:13" s="477" customFormat="1" ht="27.75" x14ac:dyDescent="0.65">
      <c r="A7" s="1107"/>
      <c r="B7" s="1107"/>
      <c r="C7" s="1107"/>
      <c r="D7" s="976" t="s">
        <v>937</v>
      </c>
      <c r="E7" s="976" t="s">
        <v>938</v>
      </c>
      <c r="F7" s="976" t="s">
        <v>939</v>
      </c>
      <c r="G7" s="1014" t="s">
        <v>940</v>
      </c>
      <c r="H7" s="1015" t="s">
        <v>941</v>
      </c>
      <c r="I7" s="978" t="s">
        <v>963</v>
      </c>
      <c r="J7" s="1014" t="s">
        <v>964</v>
      </c>
      <c r="K7" s="977" t="s">
        <v>965</v>
      </c>
      <c r="L7" s="978" t="s">
        <v>966</v>
      </c>
    </row>
    <row r="8" spans="1:13" s="963" customFormat="1" ht="30" customHeight="1" x14ac:dyDescent="0.7">
      <c r="A8" s="983" t="s">
        <v>1008</v>
      </c>
      <c r="B8" s="984"/>
      <c r="C8" s="984"/>
      <c r="D8" s="984"/>
      <c r="E8" s="984"/>
      <c r="F8" s="984"/>
      <c r="G8" s="1016"/>
      <c r="H8" s="1017"/>
      <c r="I8" s="984"/>
      <c r="J8" s="1016"/>
      <c r="K8" s="984"/>
      <c r="L8" s="985"/>
    </row>
    <row r="9" spans="1:13" s="484" customFormat="1" ht="35.25" customHeight="1" x14ac:dyDescent="0.65">
      <c r="A9" s="849"/>
      <c r="B9" s="959" t="s">
        <v>1006</v>
      </c>
      <c r="C9" s="851"/>
      <c r="D9" s="857">
        <f>+'เงินกันปี64 (2)'!H7+'เงินกันปี64 (2)'!H8+'เงินกันปี64 (2)'!H9+'เงินกันปี64 (2)'!H10+'เงินกันปี64 (2)'!H11</f>
        <v>93756328</v>
      </c>
      <c r="E9" s="858"/>
      <c r="F9" s="857">
        <f>+'เงินกันปี64 (2)'!I7+'เงินกันปี64 (2)'!I8+'เงินกันปี64 (2)'!I9+'เงินกันปี64 (2)'!I10+'เงินกันปี64 (2)'!I11</f>
        <v>15089200</v>
      </c>
      <c r="G9" s="1018">
        <f>+F9*100/D9</f>
        <v>16.094060339052529</v>
      </c>
      <c r="H9" s="1019"/>
      <c r="I9" s="859"/>
      <c r="J9" s="1030"/>
      <c r="K9" s="883">
        <f>+D9-F9</f>
        <v>78667128</v>
      </c>
      <c r="L9" s="852">
        <f>+K9*100/D9</f>
        <v>83.905939660947467</v>
      </c>
    </row>
    <row r="10" spans="1:13" s="484" customFormat="1" ht="35.25" customHeight="1" x14ac:dyDescent="0.65">
      <c r="A10" s="849"/>
      <c r="B10" s="959" t="s">
        <v>1007</v>
      </c>
      <c r="C10" s="851"/>
      <c r="D10" s="857">
        <f>+'เงินกันปี64 (2)'!H24-D9</f>
        <v>23641044.819999993</v>
      </c>
      <c r="E10" s="858"/>
      <c r="F10" s="857">
        <f>+'เงินกันปี64 (2)'!I24-F9</f>
        <v>5094030.4200000018</v>
      </c>
      <c r="G10" s="1018">
        <f>+F10*100/D10</f>
        <v>21.547399697370921</v>
      </c>
      <c r="H10" s="1019"/>
      <c r="I10" s="859"/>
      <c r="J10" s="1030"/>
      <c r="K10" s="883">
        <f>+D10-F10</f>
        <v>18547014.399999991</v>
      </c>
      <c r="L10" s="852">
        <f>+K10*100/D10</f>
        <v>78.452600302629079</v>
      </c>
    </row>
    <row r="11" spans="1:13" s="999" customFormat="1" ht="40.5" customHeight="1" x14ac:dyDescent="0.5">
      <c r="A11" s="1075" t="s">
        <v>1019</v>
      </c>
      <c r="B11" s="1075"/>
      <c r="C11" s="1075"/>
      <c r="D11" s="1000">
        <f>SUM(D9:D10)</f>
        <v>117397372.81999999</v>
      </c>
      <c r="E11" s="1001"/>
      <c r="F11" s="1000">
        <f t="shared" ref="F11:K11" si="0">SUM(F9:F10)</f>
        <v>20183230.420000002</v>
      </c>
      <c r="G11" s="1020">
        <f>+F11*100/D11</f>
        <v>17.192233467563216</v>
      </c>
      <c r="H11" s="1021"/>
      <c r="I11" s="1001"/>
      <c r="J11" s="1031"/>
      <c r="K11" s="1003">
        <f t="shared" si="0"/>
        <v>97214142.399999991</v>
      </c>
      <c r="L11" s="998">
        <f>+K11*100/D11</f>
        <v>82.807766532436787</v>
      </c>
    </row>
    <row r="12" spans="1:13" s="963" customFormat="1" ht="31.5" customHeight="1" x14ac:dyDescent="0.7">
      <c r="A12" s="986" t="s">
        <v>1024</v>
      </c>
      <c r="B12" s="987"/>
      <c r="C12" s="988"/>
      <c r="D12" s="989"/>
      <c r="E12" s="989"/>
      <c r="F12" s="989"/>
      <c r="G12" s="1022"/>
      <c r="H12" s="1023"/>
      <c r="I12" s="990"/>
      <c r="J12" s="1022"/>
      <c r="K12" s="989"/>
      <c r="L12" s="991"/>
    </row>
    <row r="13" spans="1:13" s="963" customFormat="1" ht="32.25" customHeight="1" x14ac:dyDescent="0.7">
      <c r="A13" s="992"/>
      <c r="B13" s="993" t="s">
        <v>1006</v>
      </c>
      <c r="C13" s="994"/>
      <c r="D13" s="982">
        <f>SUM(D14:D15)</f>
        <v>72669000</v>
      </c>
      <c r="E13" s="982">
        <f t="shared" ref="E13:H13" si="1">SUM(E14:E15)</f>
        <v>28037400</v>
      </c>
      <c r="F13" s="982">
        <f t="shared" si="1"/>
        <v>0</v>
      </c>
      <c r="G13" s="1028">
        <f t="shared" ref="G13:G19" si="2">+F13*100/D13</f>
        <v>0</v>
      </c>
      <c r="H13" s="1029">
        <f t="shared" si="1"/>
        <v>6235800</v>
      </c>
      <c r="I13" s="982">
        <f t="shared" ref="I13" si="3">+F13+H13</f>
        <v>6235800</v>
      </c>
      <c r="J13" s="1028">
        <f t="shared" ref="J13:J19" si="4">+I13*100/D13</f>
        <v>8.5811006068612468</v>
      </c>
      <c r="K13" s="995">
        <f t="shared" ref="K13" si="5">+D13-F13</f>
        <v>72669000</v>
      </c>
      <c r="L13" s="982">
        <f t="shared" ref="L13:L19" si="6">+K13*100/D13</f>
        <v>100</v>
      </c>
    </row>
    <row r="14" spans="1:13" s="484" customFormat="1" ht="32.25" customHeight="1" x14ac:dyDescent="0.65">
      <c r="A14" s="849"/>
      <c r="B14" s="939" t="s">
        <v>1011</v>
      </c>
      <c r="C14" s="851" t="s">
        <v>1012</v>
      </c>
      <c r="D14" s="852">
        <f>+'งบลงทุน (2)'!E29-'งบลงทุน (2)'!E35</f>
        <v>66565100</v>
      </c>
      <c r="E14" s="852">
        <f>+'งบลงทุน (2)'!G29-'งบลงทุน (2)'!G35</f>
        <v>21933500</v>
      </c>
      <c r="F14" s="852">
        <f>+'งบลงทุน (2)'!I29-'งบลงทุน (2)'!I35</f>
        <v>0</v>
      </c>
      <c r="G14" s="1018">
        <f t="shared" si="2"/>
        <v>0</v>
      </c>
      <c r="H14" s="1019">
        <f>+'งบลงทุน (2)'!H29-'งบลงทุน (2)'!H35</f>
        <v>6235800</v>
      </c>
      <c r="I14" s="852">
        <f>+F14+H14</f>
        <v>6235800</v>
      </c>
      <c r="J14" s="1018">
        <f t="shared" si="4"/>
        <v>9.3679721055027336</v>
      </c>
      <c r="K14" s="869">
        <f t="shared" ref="K14:K18" si="7">+D14-F14</f>
        <v>66565100</v>
      </c>
      <c r="L14" s="852">
        <f t="shared" ref="L14:L18" si="8">+K14*100/D14</f>
        <v>100</v>
      </c>
    </row>
    <row r="15" spans="1:13" s="484" customFormat="1" ht="55.5" x14ac:dyDescent="0.65">
      <c r="A15" s="849"/>
      <c r="B15" s="960" t="s">
        <v>1013</v>
      </c>
      <c r="C15" s="964" t="s">
        <v>1014</v>
      </c>
      <c r="D15" s="961">
        <f>+'งบลงทุน (2)'!E26+'งบลงทุน (2)'!E22+'งบลงทุน (2)'!E11</f>
        <v>6103900</v>
      </c>
      <c r="E15" s="961">
        <f>+'งบลงทุน (2)'!F26+'งบลงทุน (2)'!F22+'งบลงทุน (2)'!F11</f>
        <v>6103900</v>
      </c>
      <c r="F15" s="962">
        <f>+'งบลงทุน (2)'!I11+'งบลงทุน (2)'!I26+'งบลงทุน (2)'!I22</f>
        <v>0</v>
      </c>
      <c r="G15" s="1026">
        <f t="shared" si="2"/>
        <v>0</v>
      </c>
      <c r="H15" s="1027">
        <f>+'งบลงทุน (2)'!H22+'งบลงทุน (2)'!H26+'งบลงทุน (2)'!H11</f>
        <v>0</v>
      </c>
      <c r="I15" s="961">
        <f t="shared" ref="I15" si="9">+F15+H15</f>
        <v>0</v>
      </c>
      <c r="J15" s="1026">
        <f t="shared" ref="J15:J16" si="10">+I15*100/D15</f>
        <v>0</v>
      </c>
      <c r="K15" s="962">
        <f t="shared" si="7"/>
        <v>6103900</v>
      </c>
      <c r="L15" s="961">
        <f t="shared" si="8"/>
        <v>100</v>
      </c>
    </row>
    <row r="16" spans="1:13" s="963" customFormat="1" ht="32.25" customHeight="1" x14ac:dyDescent="0.7">
      <c r="A16" s="992"/>
      <c r="B16" s="993" t="s">
        <v>1007</v>
      </c>
      <c r="C16" s="994"/>
      <c r="D16" s="982">
        <f>SUM(D17:D18)</f>
        <v>26496600</v>
      </c>
      <c r="E16" s="982">
        <f t="shared" ref="E16:F16" si="11">SUM(E17:E18)</f>
        <v>19760415</v>
      </c>
      <c r="F16" s="982">
        <f t="shared" si="11"/>
        <v>2977572.92</v>
      </c>
      <c r="G16" s="1028">
        <f t="shared" si="2"/>
        <v>11.237566027339357</v>
      </c>
      <c r="H16" s="1029">
        <f t="shared" ref="H16" si="12">SUM(H17:H18)</f>
        <v>15462850</v>
      </c>
      <c r="I16" s="982">
        <f t="shared" ref="I16" si="13">SUM(I17:I18)</f>
        <v>18440422.920000002</v>
      </c>
      <c r="J16" s="1028">
        <f t="shared" si="10"/>
        <v>69.595430809990731</v>
      </c>
      <c r="K16" s="995">
        <f t="shared" ref="K16" si="14">SUM(K17:K18)</f>
        <v>23519027.079999998</v>
      </c>
      <c r="L16" s="982">
        <f t="shared" si="8"/>
        <v>88.762433972660645</v>
      </c>
    </row>
    <row r="17" spans="1:12" s="484" customFormat="1" ht="32.25" customHeight="1" x14ac:dyDescent="0.65">
      <c r="A17" s="849"/>
      <c r="B17" s="939" t="s">
        <v>1015</v>
      </c>
      <c r="C17" s="851" t="s">
        <v>1012</v>
      </c>
      <c r="D17" s="852">
        <f>+'งบลงทุน (2)'!E35</f>
        <v>5439200</v>
      </c>
      <c r="E17" s="852">
        <f>+'งบลงทุน (2)'!G35</f>
        <v>0</v>
      </c>
      <c r="F17" s="852">
        <f>+'งบลงทุน (2)'!I35</f>
        <v>0</v>
      </c>
      <c r="G17" s="1018">
        <f t="shared" si="2"/>
        <v>0</v>
      </c>
      <c r="H17" s="1019">
        <f>+'งบลงทุน (2)'!H35</f>
        <v>0</v>
      </c>
      <c r="I17" s="852">
        <f t="shared" ref="I17:I18" si="15">+F17+H17</f>
        <v>0</v>
      </c>
      <c r="J17" s="1018">
        <f t="shared" ref="J17:J18" si="16">+I17*100/D17</f>
        <v>0</v>
      </c>
      <c r="K17" s="869">
        <f t="shared" si="7"/>
        <v>5439200</v>
      </c>
      <c r="L17" s="852">
        <f t="shared" si="8"/>
        <v>100</v>
      </c>
    </row>
    <row r="18" spans="1:12" s="484" customFormat="1" ht="32.25" customHeight="1" x14ac:dyDescent="0.65">
      <c r="A18" s="849"/>
      <c r="B18" s="939" t="s">
        <v>1016</v>
      </c>
      <c r="C18" s="851" t="s">
        <v>103</v>
      </c>
      <c r="D18" s="852">
        <f>+'งบลงทุน (2)'!E8-D15</f>
        <v>21057400</v>
      </c>
      <c r="E18" s="852">
        <f>+'งบลงทุน (2)'!G8-E15</f>
        <v>19760415</v>
      </c>
      <c r="F18" s="852">
        <f>+'งบลงทุน (2)'!I8</f>
        <v>2977572.92</v>
      </c>
      <c r="G18" s="1018">
        <f t="shared" si="2"/>
        <v>14.14026859916229</v>
      </c>
      <c r="H18" s="1019">
        <f>+'งบลงทุน (2)'!H8</f>
        <v>15462850</v>
      </c>
      <c r="I18" s="852">
        <f t="shared" si="15"/>
        <v>18440422.920000002</v>
      </c>
      <c r="J18" s="1018">
        <f t="shared" si="16"/>
        <v>87.572173772640511</v>
      </c>
      <c r="K18" s="869">
        <f t="shared" si="7"/>
        <v>18079827.079999998</v>
      </c>
      <c r="L18" s="852">
        <f t="shared" si="8"/>
        <v>85.859731400837703</v>
      </c>
    </row>
    <row r="19" spans="1:12" s="999" customFormat="1" ht="42.75" customHeight="1" x14ac:dyDescent="0.5">
      <c r="A19" s="1075" t="s">
        <v>1020</v>
      </c>
      <c r="B19" s="1075"/>
      <c r="C19" s="1075"/>
      <c r="D19" s="998">
        <f>+D13+D16</f>
        <v>99165600</v>
      </c>
      <c r="E19" s="998">
        <f>+E13+E16</f>
        <v>47797815</v>
      </c>
      <c r="F19" s="998">
        <f>+F13+F16</f>
        <v>2977572.92</v>
      </c>
      <c r="G19" s="1020">
        <f t="shared" si="2"/>
        <v>3.0026268383391015</v>
      </c>
      <c r="H19" s="1021">
        <f t="shared" ref="H19:I19" si="17">+H13+H16</f>
        <v>21698650</v>
      </c>
      <c r="I19" s="998">
        <f t="shared" si="17"/>
        <v>24676222.920000002</v>
      </c>
      <c r="J19" s="1020">
        <f t="shared" si="4"/>
        <v>24.883853796074444</v>
      </c>
      <c r="K19" s="1002">
        <f>+K13+K16</f>
        <v>96188027.079999998</v>
      </c>
      <c r="L19" s="998">
        <f t="shared" si="6"/>
        <v>96.997373161660903</v>
      </c>
    </row>
    <row r="20" spans="1:12" s="963" customFormat="1" ht="46.5" customHeight="1" x14ac:dyDescent="0.7">
      <c r="A20" s="1088" t="s">
        <v>982</v>
      </c>
      <c r="B20" s="1089"/>
      <c r="C20" s="1089"/>
      <c r="D20" s="1089"/>
      <c r="E20" s="1089"/>
      <c r="F20" s="1089"/>
      <c r="G20" s="1089"/>
      <c r="H20" s="1089"/>
      <c r="I20" s="1089"/>
      <c r="J20" s="1089"/>
      <c r="K20" s="1089"/>
      <c r="L20" s="1090"/>
    </row>
    <row r="21" spans="1:12" s="477" customFormat="1" ht="33" customHeight="1" x14ac:dyDescent="0.75">
      <c r="A21" s="1091" t="s">
        <v>58</v>
      </c>
      <c r="B21" s="1092"/>
      <c r="C21" s="1095" t="s">
        <v>983</v>
      </c>
      <c r="D21" s="1096"/>
      <c r="E21" s="1097" t="s">
        <v>984</v>
      </c>
      <c r="F21" s="1098"/>
      <c r="G21" s="1099" t="s">
        <v>985</v>
      </c>
      <c r="H21" s="1095"/>
      <c r="I21" s="1095" t="s">
        <v>986</v>
      </c>
      <c r="J21" s="1095"/>
      <c r="K21" s="1100" t="s">
        <v>990</v>
      </c>
      <c r="L21" s="1101"/>
    </row>
    <row r="22" spans="1:12" s="477" customFormat="1" ht="33" customHeight="1" x14ac:dyDescent="0.65">
      <c r="A22" s="1093"/>
      <c r="B22" s="1094"/>
      <c r="C22" s="955" t="s">
        <v>987</v>
      </c>
      <c r="D22" s="942" t="s">
        <v>988</v>
      </c>
      <c r="E22" s="1032" t="s">
        <v>987</v>
      </c>
      <c r="F22" s="1033" t="s">
        <v>988</v>
      </c>
      <c r="G22" s="956" t="s">
        <v>987</v>
      </c>
      <c r="H22" s="941" t="s">
        <v>988</v>
      </c>
      <c r="I22" s="955" t="s">
        <v>987</v>
      </c>
      <c r="J22" s="941" t="s">
        <v>988</v>
      </c>
      <c r="K22" s="950" t="s">
        <v>987</v>
      </c>
      <c r="L22" s="941" t="s">
        <v>988</v>
      </c>
    </row>
    <row r="23" spans="1:12" s="484" customFormat="1" ht="42" x14ac:dyDescent="0.95">
      <c r="A23" s="1076" t="s">
        <v>270</v>
      </c>
      <c r="B23" s="1077"/>
      <c r="C23" s="1073">
        <v>13</v>
      </c>
      <c r="D23" s="1080">
        <v>28.96</v>
      </c>
      <c r="E23" s="1082">
        <f>+C23+16</f>
        <v>29</v>
      </c>
      <c r="F23" s="1084">
        <f>+D23+29.19</f>
        <v>58.150000000000006</v>
      </c>
      <c r="G23" s="1086">
        <f>+E23+17</f>
        <v>46</v>
      </c>
      <c r="H23" s="1073">
        <f>+F23+23.5</f>
        <v>81.650000000000006</v>
      </c>
      <c r="I23" s="1073">
        <f>+G23+29</f>
        <v>75</v>
      </c>
      <c r="J23" s="1073">
        <f>+H23+18.35</f>
        <v>100</v>
      </c>
      <c r="K23" s="996" t="s">
        <v>350</v>
      </c>
      <c r="L23" s="996" t="s">
        <v>350</v>
      </c>
    </row>
    <row r="24" spans="1:12" s="484" customFormat="1" ht="46.5" customHeight="1" x14ac:dyDescent="1.2">
      <c r="A24" s="1078"/>
      <c r="B24" s="1079"/>
      <c r="C24" s="1074"/>
      <c r="D24" s="1081"/>
      <c r="E24" s="1083"/>
      <c r="F24" s="1085"/>
      <c r="G24" s="1087"/>
      <c r="H24" s="1074"/>
      <c r="I24" s="1074"/>
      <c r="J24" s="1074"/>
      <c r="K24" s="997">
        <f>+G19-E23</f>
        <v>-25.997373161660899</v>
      </c>
      <c r="L24" s="997">
        <f>+J19-F23</f>
        <v>-33.266146203925558</v>
      </c>
    </row>
  </sheetData>
  <mergeCells count="26">
    <mergeCell ref="I21:J21"/>
    <mergeCell ref="K21:L21"/>
    <mergeCell ref="A1:L1"/>
    <mergeCell ref="A2:L2"/>
    <mergeCell ref="A4:L4"/>
    <mergeCell ref="A5:C7"/>
    <mergeCell ref="D5:E5"/>
    <mergeCell ref="F5:F6"/>
    <mergeCell ref="I5:J5"/>
    <mergeCell ref="A3:L3"/>
    <mergeCell ref="J23:J24"/>
    <mergeCell ref="A11:C11"/>
    <mergeCell ref="A23:B24"/>
    <mergeCell ref="C23:C24"/>
    <mergeCell ref="D23:D24"/>
    <mergeCell ref="E23:E24"/>
    <mergeCell ref="F23:F24"/>
    <mergeCell ref="G23:G24"/>
    <mergeCell ref="H23:H24"/>
    <mergeCell ref="I23:I24"/>
    <mergeCell ref="A19:C19"/>
    <mergeCell ref="A20:L20"/>
    <mergeCell ref="A21:B22"/>
    <mergeCell ref="C21:D21"/>
    <mergeCell ref="E21:F21"/>
    <mergeCell ref="G21:H21"/>
  </mergeCells>
  <phoneticPr fontId="92" type="noConversion"/>
  <printOptions horizontalCentered="1"/>
  <pageMargins left="0.19685039370078741" right="0.11811023622047245" top="0.39370078740157483" bottom="0.35433070866141736" header="0.31496062992125984" footer="0.11811023622047245"/>
  <pageSetup paperSize="5"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45"/>
  <sheetViews>
    <sheetView workbookViewId="0">
      <selection activeCell="B9" sqref="B9"/>
    </sheetView>
  </sheetViews>
  <sheetFormatPr defaultColWidth="13" defaultRowHeight="26.25" x14ac:dyDescent="0.55000000000000004"/>
  <cols>
    <col min="1" max="1" width="24.85546875" style="36" customWidth="1"/>
    <col min="2" max="2" width="21.7109375" style="43" customWidth="1"/>
    <col min="3" max="3" width="18.7109375" style="43" customWidth="1"/>
    <col min="4" max="5" width="21.7109375" style="43" customWidth="1"/>
    <col min="6" max="6" width="20.5703125" style="36" customWidth="1"/>
    <col min="7" max="16384" width="13" style="36"/>
  </cols>
  <sheetData>
    <row r="1" spans="1:6" x14ac:dyDescent="0.55000000000000004">
      <c r="A1" s="34" t="s">
        <v>58</v>
      </c>
      <c r="B1" s="35" t="s">
        <v>176</v>
      </c>
      <c r="C1" s="35" t="s">
        <v>177</v>
      </c>
      <c r="D1" s="35" t="s">
        <v>78</v>
      </c>
      <c r="E1" s="35" t="s">
        <v>17</v>
      </c>
      <c r="F1" s="37" t="s">
        <v>60</v>
      </c>
    </row>
    <row r="2" spans="1:6" x14ac:dyDescent="0.55000000000000004">
      <c r="A2" s="37" t="s">
        <v>178</v>
      </c>
      <c r="B2" s="38"/>
      <c r="C2" s="38"/>
      <c r="D2" s="38"/>
      <c r="E2" s="38"/>
      <c r="F2" s="44">
        <f>+B2-C2-D2-E2</f>
        <v>0</v>
      </c>
    </row>
    <row r="3" spans="1:6" x14ac:dyDescent="0.55000000000000004">
      <c r="A3" s="37" t="s">
        <v>179</v>
      </c>
      <c r="B3" s="38"/>
      <c r="C3" s="38"/>
      <c r="D3" s="38"/>
      <c r="E3" s="38"/>
      <c r="F3" s="44">
        <f t="shared" ref="F3:F12" si="0">+B3-C3-D3-E3</f>
        <v>0</v>
      </c>
    </row>
    <row r="4" spans="1:6" x14ac:dyDescent="0.55000000000000004">
      <c r="A4" s="37"/>
      <c r="B4" s="38"/>
      <c r="C4" s="38"/>
      <c r="D4" s="38"/>
      <c r="E4" s="38"/>
      <c r="F4" s="44">
        <f t="shared" si="0"/>
        <v>0</v>
      </c>
    </row>
    <row r="5" spans="1:6" x14ac:dyDescent="0.55000000000000004">
      <c r="A5" s="37"/>
      <c r="B5" s="38"/>
      <c r="C5" s="38"/>
      <c r="D5" s="38"/>
      <c r="E5" s="38"/>
      <c r="F5" s="44">
        <f t="shared" si="0"/>
        <v>0</v>
      </c>
    </row>
    <row r="6" spans="1:6" x14ac:dyDescent="0.55000000000000004">
      <c r="A6" s="37"/>
      <c r="B6" s="38"/>
      <c r="C6" s="38"/>
      <c r="D6" s="38"/>
      <c r="E6" s="38"/>
      <c r="F6" s="44">
        <f t="shared" si="0"/>
        <v>0</v>
      </c>
    </row>
    <row r="7" spans="1:6" x14ac:dyDescent="0.55000000000000004">
      <c r="A7" s="37"/>
      <c r="B7" s="38"/>
      <c r="C7" s="38"/>
      <c r="D7" s="38"/>
      <c r="E7" s="38"/>
      <c r="F7" s="44">
        <f t="shared" si="0"/>
        <v>0</v>
      </c>
    </row>
    <row r="8" spans="1:6" x14ac:dyDescent="0.55000000000000004">
      <c r="A8" s="37"/>
      <c r="B8" s="38"/>
      <c r="C8" s="38"/>
      <c r="D8" s="38"/>
      <c r="E8" s="38"/>
      <c r="F8" s="44">
        <f t="shared" si="0"/>
        <v>0</v>
      </c>
    </row>
    <row r="9" spans="1:6" x14ac:dyDescent="0.55000000000000004">
      <c r="A9" s="37"/>
      <c r="B9" s="38"/>
      <c r="C9" s="38"/>
      <c r="D9" s="38"/>
      <c r="E9" s="38"/>
      <c r="F9" s="44">
        <f t="shared" si="0"/>
        <v>0</v>
      </c>
    </row>
    <row r="10" spans="1:6" x14ac:dyDescent="0.55000000000000004">
      <c r="A10" s="37"/>
      <c r="B10" s="38"/>
      <c r="C10" s="38"/>
      <c r="D10" s="38"/>
      <c r="E10" s="38"/>
      <c r="F10" s="44">
        <f t="shared" si="0"/>
        <v>0</v>
      </c>
    </row>
    <row r="11" spans="1:6" x14ac:dyDescent="0.55000000000000004">
      <c r="A11" s="37"/>
      <c r="B11" s="38"/>
      <c r="C11" s="38"/>
      <c r="D11" s="38"/>
      <c r="E11" s="38"/>
      <c r="F11" s="44">
        <f t="shared" si="0"/>
        <v>0</v>
      </c>
    </row>
    <row r="12" spans="1:6" x14ac:dyDescent="0.55000000000000004">
      <c r="A12" s="37"/>
      <c r="B12" s="38"/>
      <c r="C12" s="38"/>
      <c r="D12" s="38"/>
      <c r="E12" s="38"/>
      <c r="F12" s="44">
        <f t="shared" si="0"/>
        <v>0</v>
      </c>
    </row>
    <row r="13" spans="1:6" hidden="1" x14ac:dyDescent="0.55000000000000004">
      <c r="A13" s="37"/>
      <c r="B13" s="38"/>
      <c r="C13" s="38"/>
      <c r="D13" s="38"/>
      <c r="E13" s="38"/>
      <c r="F13" s="44"/>
    </row>
    <row r="14" spans="1:6" hidden="1" x14ac:dyDescent="0.55000000000000004">
      <c r="A14" s="37"/>
      <c r="B14" s="38"/>
      <c r="C14" s="38"/>
      <c r="D14" s="38">
        <v>0</v>
      </c>
      <c r="E14" s="38">
        <v>0</v>
      </c>
      <c r="F14" s="44">
        <f>+B14-C14-D14-E14</f>
        <v>0</v>
      </c>
    </row>
    <row r="15" spans="1:6" ht="27" thickBot="1" x14ac:dyDescent="0.6">
      <c r="A15" s="37" t="s">
        <v>180</v>
      </c>
      <c r="B15" s="39">
        <f>SUM(B3:B14)</f>
        <v>0</v>
      </c>
      <c r="C15" s="39">
        <f>SUM(C3:C14)</f>
        <v>0</v>
      </c>
      <c r="D15" s="39">
        <f>SUM(D3:D14)</f>
        <v>0</v>
      </c>
      <c r="E15" s="39">
        <f>SUM(E3:E14)</f>
        <v>0</v>
      </c>
      <c r="F15" s="39">
        <f>SUM(F3:F14)</f>
        <v>0</v>
      </c>
    </row>
    <row r="16" spans="1:6" ht="27" thickTop="1" x14ac:dyDescent="0.55000000000000004">
      <c r="A16" s="37" t="s">
        <v>214</v>
      </c>
      <c r="B16" s="40">
        <f>+B2-B15</f>
        <v>0</v>
      </c>
      <c r="C16" s="40">
        <f>+C2-C15</f>
        <v>0</v>
      </c>
      <c r="D16" s="40">
        <f>+D2-D15</f>
        <v>0</v>
      </c>
      <c r="E16" s="40">
        <f>+E2-E15</f>
        <v>0</v>
      </c>
      <c r="F16" s="40">
        <f>+F2-F15</f>
        <v>0</v>
      </c>
    </row>
    <row r="17" spans="1:6" x14ac:dyDescent="0.55000000000000004">
      <c r="A17" s="41"/>
      <c r="B17" s="42"/>
      <c r="C17" s="42"/>
      <c r="D17" s="42"/>
      <c r="E17" s="42"/>
      <c r="F17" s="41"/>
    </row>
    <row r="19" spans="1:6" x14ac:dyDescent="0.55000000000000004">
      <c r="A19" s="36" t="s">
        <v>181</v>
      </c>
      <c r="B19" s="45">
        <f>+รายจ่ายจริง!P80</f>
        <v>993916800</v>
      </c>
      <c r="C19" s="45"/>
      <c r="D19" s="45">
        <f>+รายจ่ายจริง!P81</f>
        <v>69917322.840000004</v>
      </c>
      <c r="E19" s="45">
        <f>+รายจ่ายจริง!P82</f>
        <v>583381977.63</v>
      </c>
      <c r="F19" s="45">
        <f>+B19-C19-D19-E19</f>
        <v>340617499.52999997</v>
      </c>
    </row>
    <row r="20" spans="1:6" s="47" customFormat="1" x14ac:dyDescent="0.55000000000000004">
      <c r="A20" s="47" t="s">
        <v>182</v>
      </c>
      <c r="B20" s="46">
        <f>+B16-B19</f>
        <v>-993916800</v>
      </c>
      <c r="C20" s="46">
        <f>+C16-C19</f>
        <v>0</v>
      </c>
      <c r="D20" s="46">
        <f>+D16-D19</f>
        <v>-69917322.840000004</v>
      </c>
      <c r="E20" s="46">
        <f>+E16-E19</f>
        <v>-583381977.63</v>
      </c>
      <c r="F20" s="46">
        <f>+F16-F19</f>
        <v>-340617499.52999997</v>
      </c>
    </row>
    <row r="22" spans="1:6" hidden="1" x14ac:dyDescent="0.55000000000000004">
      <c r="A22" s="36" t="s">
        <v>206</v>
      </c>
      <c r="B22" s="43">
        <v>181782377.80000001</v>
      </c>
      <c r="D22" s="43">
        <v>181782377.80000001</v>
      </c>
    </row>
    <row r="23" spans="1:6" hidden="1" x14ac:dyDescent="0.55000000000000004">
      <c r="A23" s="36" t="s">
        <v>207</v>
      </c>
      <c r="B23" s="43">
        <v>119500</v>
      </c>
      <c r="D23" s="43">
        <v>119500</v>
      </c>
    </row>
    <row r="24" spans="1:6" hidden="1" x14ac:dyDescent="0.55000000000000004">
      <c r="A24" s="36" t="s">
        <v>208</v>
      </c>
      <c r="B24" s="43">
        <f>+B22-B23</f>
        <v>181662877.80000001</v>
      </c>
      <c r="C24" s="43">
        <f>+C22-C23</f>
        <v>0</v>
      </c>
      <c r="D24" s="43">
        <f>+D22-D23</f>
        <v>181662877.80000001</v>
      </c>
    </row>
    <row r="25" spans="1:6" x14ac:dyDescent="0.55000000000000004">
      <c r="A25" s="36" t="s">
        <v>15</v>
      </c>
      <c r="B25" s="43" t="e">
        <f>+รายจ่ายจริง!#REF!</f>
        <v>#REF!</v>
      </c>
      <c r="D25" s="43" t="e">
        <f>+รายจ่ายจริง!#REF!</f>
        <v>#REF!</v>
      </c>
      <c r="E25" s="43" t="e">
        <f>+รายจ่ายจริง!#REF!</f>
        <v>#REF!</v>
      </c>
      <c r="F25" s="51" t="e">
        <f>+B25-C25-D25-E25</f>
        <v>#REF!</v>
      </c>
    </row>
    <row r="26" spans="1:6" x14ac:dyDescent="0.55000000000000004">
      <c r="B26" s="43" t="e">
        <f>+B25+B20</f>
        <v>#REF!</v>
      </c>
      <c r="C26" s="43">
        <f>+C25+C20</f>
        <v>0</v>
      </c>
      <c r="D26" s="43" t="e">
        <f>+D25+D20</f>
        <v>#REF!</v>
      </c>
      <c r="E26" s="43" t="e">
        <f>+E25+E20</f>
        <v>#REF!</v>
      </c>
      <c r="F26" s="43" t="e">
        <f>+F25+F20</f>
        <v>#REF!</v>
      </c>
    </row>
    <row r="28" spans="1:6" x14ac:dyDescent="0.55000000000000004">
      <c r="B28" s="61">
        <v>43443127</v>
      </c>
      <c r="C28" s="61"/>
      <c r="D28" s="61">
        <v>4828500</v>
      </c>
      <c r="E28" s="61">
        <v>38589387.729999997</v>
      </c>
      <c r="F28" s="62">
        <f>+B28-C28-D28-E28</f>
        <v>25239.270000003278</v>
      </c>
    </row>
    <row r="29" spans="1:6" x14ac:dyDescent="0.55000000000000004">
      <c r="B29" s="61">
        <v>97567324</v>
      </c>
      <c r="C29" s="61">
        <v>10692000</v>
      </c>
      <c r="D29" s="61">
        <v>50048348.219999999</v>
      </c>
      <c r="E29" s="61">
        <v>36672845.18</v>
      </c>
      <c r="F29" s="62">
        <f>+B29-C29-D29-E29</f>
        <v>154130.60000000149</v>
      </c>
    </row>
    <row r="30" spans="1:6" x14ac:dyDescent="0.55000000000000004">
      <c r="B30" s="61">
        <v>24046058</v>
      </c>
      <c r="C30" s="61"/>
      <c r="D30" s="61"/>
      <c r="E30" s="61">
        <v>24044510.100000001</v>
      </c>
      <c r="F30" s="62">
        <f>+B30-C30-D30-E30</f>
        <v>1547.8999999985099</v>
      </c>
    </row>
    <row r="31" spans="1:6" x14ac:dyDescent="0.55000000000000004">
      <c r="B31" s="61">
        <v>72778942</v>
      </c>
      <c r="C31" s="61"/>
      <c r="D31" s="61">
        <v>21011266.739999998</v>
      </c>
      <c r="E31" s="61">
        <v>51765141.030000001</v>
      </c>
      <c r="F31" s="62">
        <f>+B31-C31-D31-E31</f>
        <v>2534.2300000041723</v>
      </c>
    </row>
    <row r="32" spans="1:6" x14ac:dyDescent="0.55000000000000004">
      <c r="B32" s="61">
        <f>SUM(B28:B31)</f>
        <v>237835451</v>
      </c>
      <c r="C32" s="61">
        <f>SUM(C28:C31)</f>
        <v>10692000</v>
      </c>
      <c r="D32" s="61">
        <f>SUM(D28:D31)</f>
        <v>75888114.959999993</v>
      </c>
      <c r="E32" s="61">
        <f>SUM(E28:E31)</f>
        <v>151071884.03999999</v>
      </c>
      <c r="F32" s="61">
        <f>SUM(F28:F31)</f>
        <v>183452.00000000745</v>
      </c>
    </row>
    <row r="33" spans="2:6" x14ac:dyDescent="0.55000000000000004">
      <c r="B33" s="43">
        <f>+B32+B16</f>
        <v>237835451</v>
      </c>
      <c r="C33" s="43">
        <f>+C32+C16</f>
        <v>10692000</v>
      </c>
      <c r="D33" s="43">
        <f>+D32+D16</f>
        <v>75888114.959999993</v>
      </c>
      <c r="E33" s="43">
        <f>+E32+E16</f>
        <v>151071884.03999999</v>
      </c>
      <c r="F33" s="43">
        <f>+F32+F16</f>
        <v>183452.00000000745</v>
      </c>
    </row>
    <row r="34" spans="2:6" x14ac:dyDescent="0.55000000000000004">
      <c r="F34" s="43"/>
    </row>
    <row r="35" spans="2:6" x14ac:dyDescent="0.55000000000000004">
      <c r="B35" s="43">
        <v>363976.87</v>
      </c>
    </row>
    <row r="36" spans="2:6" x14ac:dyDescent="0.55000000000000004">
      <c r="B36" s="43">
        <v>19207006.5</v>
      </c>
    </row>
    <row r="37" spans="2:6" x14ac:dyDescent="0.55000000000000004">
      <c r="B37" s="43">
        <v>17075529</v>
      </c>
    </row>
    <row r="38" spans="2:6" x14ac:dyDescent="0.55000000000000004">
      <c r="B38" s="43">
        <f>SUM(B35:B37)</f>
        <v>36646512.370000005</v>
      </c>
      <c r="C38" s="43">
        <f>SUM(C35:C37)</f>
        <v>0</v>
      </c>
      <c r="D38" s="43">
        <f>SUM(D35:D37)</f>
        <v>0</v>
      </c>
      <c r="E38" s="43">
        <f>SUM(E35:E37)</f>
        <v>0</v>
      </c>
      <c r="F38" s="43">
        <f>SUM(F35:F37)</f>
        <v>0</v>
      </c>
    </row>
    <row r="39" spans="2:6" x14ac:dyDescent="0.55000000000000004">
      <c r="B39" s="43">
        <f>+B33+B38</f>
        <v>274481963.37</v>
      </c>
      <c r="C39" s="43">
        <f>+C33+C38</f>
        <v>10692000</v>
      </c>
      <c r="D39" s="43">
        <f>+D33+D38</f>
        <v>75888114.959999993</v>
      </c>
      <c r="E39" s="43">
        <f>+E33+E38</f>
        <v>151071884.03999999</v>
      </c>
      <c r="F39" s="43">
        <f>+F33+F38</f>
        <v>183452.00000000745</v>
      </c>
    </row>
    <row r="40" spans="2:6" x14ac:dyDescent="0.55000000000000004">
      <c r="B40" s="43">
        <v>5000000</v>
      </c>
      <c r="E40" s="43">
        <v>5000000</v>
      </c>
    </row>
    <row r="41" spans="2:6" x14ac:dyDescent="0.55000000000000004">
      <c r="B41" s="43">
        <f>+B39+B40</f>
        <v>279481963.37</v>
      </c>
      <c r="C41" s="43">
        <f>+C39+C40</f>
        <v>10692000</v>
      </c>
      <c r="D41" s="43">
        <f>+D39+D40</f>
        <v>75888114.959999993</v>
      </c>
      <c r="E41" s="43">
        <f>+E39+E40</f>
        <v>156071884.03999999</v>
      </c>
    </row>
    <row r="42" spans="2:6" x14ac:dyDescent="0.55000000000000004">
      <c r="B42" s="43">
        <v>493000</v>
      </c>
      <c r="E42" s="43">
        <v>493000</v>
      </c>
    </row>
    <row r="43" spans="2:6" x14ac:dyDescent="0.55000000000000004">
      <c r="B43" s="43">
        <f>+B41+B42</f>
        <v>279974963.37</v>
      </c>
      <c r="C43" s="43">
        <f>+C41+C42</f>
        <v>10692000</v>
      </c>
      <c r="D43" s="43">
        <f>+D41+D42</f>
        <v>75888114.959999993</v>
      </c>
      <c r="E43" s="43">
        <f>+E41+E42</f>
        <v>156564884.03999999</v>
      </c>
    </row>
    <row r="44" spans="2:6" x14ac:dyDescent="0.55000000000000004">
      <c r="B44" s="43">
        <f>+B19</f>
        <v>993916800</v>
      </c>
      <c r="C44" s="43">
        <f>+C19</f>
        <v>0</v>
      </c>
      <c r="D44" s="43">
        <f>+D19</f>
        <v>69917322.840000004</v>
      </c>
      <c r="E44" s="43">
        <f>+E19</f>
        <v>583381977.63</v>
      </c>
    </row>
    <row r="45" spans="2:6" x14ac:dyDescent="0.55000000000000004">
      <c r="B45" s="43">
        <f>+B43-B44</f>
        <v>-713941836.63</v>
      </c>
      <c r="E45" s="43">
        <f>+E43-E44</f>
        <v>-426817093.59000003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</sheetPr>
  <dimension ref="A1:AM66"/>
  <sheetViews>
    <sheetView topLeftCell="D8" zoomScale="80" zoomScaleNormal="80" workbookViewId="0">
      <pane ySplit="2010" topLeftCell="A6" activePane="bottomLeft"/>
      <selection activeCell="S8" sqref="S1:AM1048576"/>
      <selection pane="bottomLeft" activeCell="K11" sqref="K11"/>
    </sheetView>
  </sheetViews>
  <sheetFormatPr defaultRowHeight="26.25" x14ac:dyDescent="0.5"/>
  <cols>
    <col min="1" max="1" width="6.85546875" style="371" customWidth="1"/>
    <col min="2" max="2" width="22.28515625" style="411" hidden="1" customWidth="1"/>
    <col min="3" max="3" width="6" style="434" customWidth="1"/>
    <col min="4" max="4" width="48.7109375" style="373" customWidth="1"/>
    <col min="5" max="5" width="20.5703125" style="351" bestFit="1" customWidth="1"/>
    <col min="6" max="6" width="22.85546875" style="351" bestFit="1" customWidth="1"/>
    <col min="7" max="7" width="12.85546875" style="351" hidden="1" customWidth="1"/>
    <col min="8" max="8" width="24.42578125" style="366" hidden="1" customWidth="1"/>
    <col min="9" max="9" width="17.85546875" style="357" bestFit="1" customWidth="1"/>
    <col min="10" max="10" width="17.85546875" style="351" bestFit="1" customWidth="1"/>
    <col min="11" max="11" width="19.140625" style="351" bestFit="1" customWidth="1"/>
    <col min="12" max="12" width="21.7109375" style="351" bestFit="1" customWidth="1"/>
    <col min="13" max="13" width="11.5703125" style="357" bestFit="1" customWidth="1"/>
    <col min="14" max="14" width="16" style="357" bestFit="1" customWidth="1"/>
    <col min="15" max="15" width="21" style="357" bestFit="1" customWidth="1"/>
    <col min="16" max="16" width="17.5703125" style="357" customWidth="1"/>
    <col min="17" max="17" width="36.85546875" style="372" customWidth="1"/>
    <col min="18" max="18" width="1.5703125" style="351" hidden="1" customWidth="1"/>
    <col min="19" max="39" width="9.140625" style="351" hidden="1" customWidth="1"/>
    <col min="40" max="44" width="9.140625" style="351" customWidth="1"/>
    <col min="45" max="16384" width="9.140625" style="351"/>
  </cols>
  <sheetData>
    <row r="1" spans="1:18" ht="29.25" x14ac:dyDescent="0.5">
      <c r="A1" s="1375" t="s">
        <v>57</v>
      </c>
      <c r="B1" s="1375"/>
      <c r="C1" s="1375"/>
      <c r="D1" s="1375"/>
      <c r="E1" s="1375"/>
      <c r="F1" s="1375"/>
      <c r="G1" s="1375"/>
      <c r="H1" s="1375"/>
      <c r="I1" s="1375"/>
      <c r="J1" s="1375"/>
      <c r="K1" s="1375"/>
      <c r="L1" s="1375"/>
      <c r="M1" s="1375"/>
      <c r="N1" s="1375"/>
      <c r="O1" s="1375"/>
      <c r="P1" s="1375"/>
      <c r="Q1" s="1375"/>
    </row>
    <row r="2" spans="1:18" ht="29.25" x14ac:dyDescent="0.5">
      <c r="A2" s="1375" t="s">
        <v>542</v>
      </c>
      <c r="B2" s="1375"/>
      <c r="C2" s="1375"/>
      <c r="D2" s="1375"/>
      <c r="E2" s="1375"/>
      <c r="F2" s="1375"/>
      <c r="G2" s="1375"/>
      <c r="H2" s="1375"/>
      <c r="I2" s="1375"/>
      <c r="J2" s="1375"/>
      <c r="K2" s="1375"/>
      <c r="L2" s="1375"/>
      <c r="M2" s="1375"/>
      <c r="N2" s="1375"/>
      <c r="O2" s="1375"/>
      <c r="P2" s="1375"/>
      <c r="Q2" s="1375"/>
    </row>
    <row r="3" spans="1:18" ht="29.25" x14ac:dyDescent="0.5">
      <c r="A3" s="1375" t="s">
        <v>64</v>
      </c>
      <c r="B3" s="1375"/>
      <c r="C3" s="1375"/>
      <c r="D3" s="1375"/>
      <c r="E3" s="1375"/>
      <c r="F3" s="1375"/>
      <c r="G3" s="1375"/>
      <c r="H3" s="1375"/>
      <c r="I3" s="1375"/>
      <c r="J3" s="1375"/>
      <c r="K3" s="1375"/>
      <c r="L3" s="1375"/>
      <c r="M3" s="1375"/>
      <c r="N3" s="1375"/>
      <c r="O3" s="1375"/>
      <c r="P3" s="1375"/>
      <c r="Q3" s="1375"/>
    </row>
    <row r="4" spans="1:18" ht="29.25" x14ac:dyDescent="0.5">
      <c r="A4" s="1376" t="str">
        <f>+รายจ่ายจริง!A3:P3</f>
        <v>ตั้งแต่วันที่ 1  ตุลาคม 2564 ถึงวันที่ 31 มกราคม 2565</v>
      </c>
      <c r="B4" s="1376"/>
      <c r="C4" s="1376"/>
      <c r="D4" s="1376"/>
      <c r="E4" s="1376"/>
      <c r="F4" s="1376"/>
      <c r="G4" s="1376"/>
      <c r="H4" s="1376"/>
      <c r="I4" s="1376"/>
      <c r="J4" s="1376"/>
      <c r="K4" s="1376"/>
      <c r="L4" s="1376"/>
      <c r="M4" s="1376"/>
      <c r="N4" s="1376"/>
      <c r="O4" s="1376"/>
      <c r="P4" s="1376"/>
      <c r="Q4" s="1376"/>
    </row>
    <row r="5" spans="1:18" s="443" customFormat="1" ht="36.75" customHeight="1" x14ac:dyDescent="0.5">
      <c r="A5" s="1377" t="s">
        <v>0</v>
      </c>
      <c r="B5" s="445"/>
      <c r="C5" s="1379" t="s">
        <v>58</v>
      </c>
      <c r="D5" s="1379"/>
      <c r="E5" s="1361" t="s">
        <v>679</v>
      </c>
      <c r="F5" s="1362"/>
      <c r="G5" s="1362"/>
      <c r="H5" s="1362"/>
      <c r="I5" s="1362"/>
      <c r="J5" s="1362"/>
      <c r="K5" s="1362"/>
      <c r="L5" s="1362"/>
      <c r="M5" s="1362"/>
      <c r="N5" s="1362"/>
      <c r="O5" s="1363"/>
      <c r="P5" s="446" t="s">
        <v>673</v>
      </c>
      <c r="Q5" s="1380" t="s">
        <v>160</v>
      </c>
    </row>
    <row r="6" spans="1:18" s="352" customFormat="1" x14ac:dyDescent="0.5">
      <c r="A6" s="1378"/>
      <c r="B6" s="447"/>
      <c r="C6" s="1379"/>
      <c r="D6" s="1379"/>
      <c r="E6" s="448" t="s">
        <v>59</v>
      </c>
      <c r="F6" s="449" t="s">
        <v>684</v>
      </c>
      <c r="G6" s="449" t="s">
        <v>321</v>
      </c>
      <c r="H6" s="449" t="s">
        <v>200</v>
      </c>
      <c r="I6" s="449" t="s">
        <v>161</v>
      </c>
      <c r="J6" s="449" t="s">
        <v>17</v>
      </c>
      <c r="K6" s="449" t="s">
        <v>62</v>
      </c>
      <c r="L6" s="449" t="s">
        <v>535</v>
      </c>
      <c r="M6" s="446" t="s">
        <v>81</v>
      </c>
      <c r="N6" s="446" t="s">
        <v>81</v>
      </c>
      <c r="O6" s="464" t="s">
        <v>680</v>
      </c>
      <c r="P6" s="450" t="s">
        <v>676</v>
      </c>
      <c r="Q6" s="1380"/>
    </row>
    <row r="7" spans="1:18" s="352" customFormat="1" x14ac:dyDescent="0.5">
      <c r="A7" s="451" t="s">
        <v>591</v>
      </c>
      <c r="B7" s="452" t="s">
        <v>172</v>
      </c>
      <c r="C7" s="1379"/>
      <c r="D7" s="1379"/>
      <c r="E7" s="453" t="s">
        <v>678</v>
      </c>
      <c r="F7" s="454" t="s">
        <v>683</v>
      </c>
      <c r="G7" s="455" t="s">
        <v>322</v>
      </c>
      <c r="H7" s="455"/>
      <c r="I7" s="455" t="s">
        <v>642</v>
      </c>
      <c r="J7" s="455" t="s">
        <v>2</v>
      </c>
      <c r="K7" s="455" t="s">
        <v>71</v>
      </c>
      <c r="L7" s="455" t="s">
        <v>98</v>
      </c>
      <c r="M7" s="456" t="s">
        <v>600</v>
      </c>
      <c r="N7" s="456" t="s">
        <v>600</v>
      </c>
      <c r="O7" s="424" t="s">
        <v>681</v>
      </c>
      <c r="P7" s="456" t="s">
        <v>674</v>
      </c>
      <c r="Q7" s="1380"/>
    </row>
    <row r="8" spans="1:18" s="352" customFormat="1" x14ac:dyDescent="0.5">
      <c r="A8" s="457"/>
      <c r="B8" s="458"/>
      <c r="C8" s="1379"/>
      <c r="D8" s="1379"/>
      <c r="E8" s="459" t="s">
        <v>337</v>
      </c>
      <c r="F8" s="460" t="s">
        <v>338</v>
      </c>
      <c r="G8" s="460" t="s">
        <v>569</v>
      </c>
      <c r="H8" s="460" t="s">
        <v>99</v>
      </c>
      <c r="I8" s="460" t="s">
        <v>339</v>
      </c>
      <c r="J8" s="460" t="s">
        <v>340</v>
      </c>
      <c r="K8" s="461" t="s">
        <v>623</v>
      </c>
      <c r="L8" s="461" t="s">
        <v>626</v>
      </c>
      <c r="M8" s="462" t="s">
        <v>61</v>
      </c>
      <c r="N8" s="462" t="s">
        <v>630</v>
      </c>
      <c r="O8" s="465" t="s">
        <v>682</v>
      </c>
      <c r="P8" s="463" t="s">
        <v>685</v>
      </c>
      <c r="Q8" s="1380"/>
    </row>
    <row r="9" spans="1:18" s="442" customFormat="1" ht="36.75" customHeight="1" x14ac:dyDescent="0.5">
      <c r="A9" s="435" t="s">
        <v>601</v>
      </c>
      <c r="B9" s="436"/>
      <c r="C9" s="437"/>
      <c r="D9" s="438"/>
      <c r="E9" s="439">
        <f>SUM(E10:E17)</f>
        <v>145666300</v>
      </c>
      <c r="F9" s="439">
        <f>SUM(F10:F17)</f>
        <v>40819000</v>
      </c>
      <c r="G9" s="439">
        <f t="shared" ref="G9:L9" si="0">SUM(G10:G17)</f>
        <v>0</v>
      </c>
      <c r="H9" s="439">
        <f t="shared" si="0"/>
        <v>40819000</v>
      </c>
      <c r="I9" s="439">
        <f t="shared" si="0"/>
        <v>30192654.93</v>
      </c>
      <c r="J9" s="439">
        <f t="shared" si="0"/>
        <v>10626345.07</v>
      </c>
      <c r="K9" s="439">
        <f t="shared" si="0"/>
        <v>135039954.93000001</v>
      </c>
      <c r="L9" s="439">
        <f t="shared" si="0"/>
        <v>104847300</v>
      </c>
      <c r="M9" s="440">
        <f t="shared" ref="M9:M17" si="1">+J9*100/E9</f>
        <v>7.2949920949457772</v>
      </c>
      <c r="N9" s="439">
        <f t="shared" ref="N9:N22" si="2">+R9*100/E9</f>
        <v>28.022267332938366</v>
      </c>
      <c r="O9" s="466">
        <f>SUM(O10:O17)</f>
        <v>104847300</v>
      </c>
      <c r="P9" s="439">
        <f>SUM(P10:P17)</f>
        <v>26383184.75</v>
      </c>
      <c r="Q9" s="441"/>
      <c r="R9" s="428">
        <f t="shared" ref="R9:R22" si="3">+I9+J9</f>
        <v>40819000</v>
      </c>
    </row>
    <row r="10" spans="1:18" s="366" customFormat="1" ht="104.25" customHeight="1" x14ac:dyDescent="0.5">
      <c r="A10" s="468"/>
      <c r="B10" s="469" t="s">
        <v>583</v>
      </c>
      <c r="C10" s="470" t="s">
        <v>337</v>
      </c>
      <c r="D10" s="444" t="s">
        <v>599</v>
      </c>
      <c r="E10" s="358">
        <v>14508000</v>
      </c>
      <c r="F10" s="361">
        <v>2418000</v>
      </c>
      <c r="G10" s="365">
        <v>0</v>
      </c>
      <c r="H10" s="354">
        <f>SUM(F10:G10)</f>
        <v>2418000</v>
      </c>
      <c r="I10" s="354">
        <v>2418000</v>
      </c>
      <c r="J10" s="354">
        <v>0</v>
      </c>
      <c r="K10" s="353">
        <f t="shared" ref="K10:K17" si="4">+E10-J10</f>
        <v>14508000</v>
      </c>
      <c r="L10" s="353">
        <f t="shared" ref="L10:L17" si="5">+E10-I10-J10</f>
        <v>12090000</v>
      </c>
      <c r="M10" s="264">
        <f t="shared" si="1"/>
        <v>0</v>
      </c>
      <c r="N10" s="264">
        <f t="shared" si="2"/>
        <v>16.666666666666668</v>
      </c>
      <c r="O10" s="467">
        <f>+E10-F10</f>
        <v>12090000</v>
      </c>
      <c r="P10" s="264">
        <v>4668200</v>
      </c>
      <c r="Q10" s="359" t="s">
        <v>655</v>
      </c>
      <c r="R10" s="352">
        <f t="shared" si="3"/>
        <v>2418000</v>
      </c>
    </row>
    <row r="11" spans="1:18" s="366" customFormat="1" ht="89.25" customHeight="1" x14ac:dyDescent="0.5">
      <c r="A11" s="468"/>
      <c r="B11" s="469" t="s">
        <v>584</v>
      </c>
      <c r="C11" s="470" t="s">
        <v>338</v>
      </c>
      <c r="D11" s="444" t="s">
        <v>592</v>
      </c>
      <c r="E11" s="358">
        <v>5632000</v>
      </c>
      <c r="F11" s="361">
        <v>2825700</v>
      </c>
      <c r="G11" s="365">
        <v>0</v>
      </c>
      <c r="H11" s="354">
        <f t="shared" ref="H11:H17" si="6">SUM(F11:G11)</f>
        <v>2825700</v>
      </c>
      <c r="I11" s="354">
        <v>2825700</v>
      </c>
      <c r="J11" s="354">
        <v>0</v>
      </c>
      <c r="K11" s="353">
        <f t="shared" si="4"/>
        <v>5632000</v>
      </c>
      <c r="L11" s="353">
        <f t="shared" si="5"/>
        <v>2806300</v>
      </c>
      <c r="M11" s="264">
        <f t="shared" si="1"/>
        <v>0</v>
      </c>
      <c r="N11" s="264">
        <f t="shared" si="2"/>
        <v>50.172230113636367</v>
      </c>
      <c r="O11" s="467">
        <f t="shared" ref="O11:O17" si="7">+E11-F11</f>
        <v>2806300</v>
      </c>
      <c r="P11" s="264">
        <v>7191566.75</v>
      </c>
      <c r="Q11" s="359" t="s">
        <v>656</v>
      </c>
      <c r="R11" s="352">
        <f t="shared" si="3"/>
        <v>2825700</v>
      </c>
    </row>
    <row r="12" spans="1:18" s="366" customFormat="1" ht="89.25" customHeight="1" x14ac:dyDescent="0.5">
      <c r="A12" s="468"/>
      <c r="B12" s="469" t="s">
        <v>585</v>
      </c>
      <c r="C12" s="470" t="s">
        <v>339</v>
      </c>
      <c r="D12" s="444" t="s">
        <v>593</v>
      </c>
      <c r="E12" s="358">
        <v>18890000</v>
      </c>
      <c r="F12" s="361">
        <v>5440000</v>
      </c>
      <c r="G12" s="365">
        <v>0</v>
      </c>
      <c r="H12" s="354">
        <f t="shared" si="6"/>
        <v>5440000</v>
      </c>
      <c r="I12" s="354">
        <v>0</v>
      </c>
      <c r="J12" s="354">
        <v>5440000</v>
      </c>
      <c r="K12" s="353">
        <f t="shared" si="4"/>
        <v>13450000</v>
      </c>
      <c r="L12" s="353">
        <f t="shared" si="5"/>
        <v>13450000</v>
      </c>
      <c r="M12" s="264">
        <f t="shared" si="1"/>
        <v>28.798305982001057</v>
      </c>
      <c r="N12" s="264">
        <f t="shared" si="2"/>
        <v>28.798305982001057</v>
      </c>
      <c r="O12" s="467">
        <f t="shared" si="7"/>
        <v>13450000</v>
      </c>
      <c r="P12" s="264">
        <v>0</v>
      </c>
      <c r="Q12" s="410" t="s">
        <v>657</v>
      </c>
      <c r="R12" s="352">
        <f t="shared" si="3"/>
        <v>5440000</v>
      </c>
    </row>
    <row r="13" spans="1:18" s="366" customFormat="1" ht="72.75" customHeight="1" x14ac:dyDescent="0.5">
      <c r="A13" s="468"/>
      <c r="B13" s="469" t="s">
        <v>586</v>
      </c>
      <c r="C13" s="470" t="s">
        <v>340</v>
      </c>
      <c r="D13" s="444" t="s">
        <v>594</v>
      </c>
      <c r="E13" s="358">
        <v>8400000</v>
      </c>
      <c r="F13" s="361">
        <v>5186400</v>
      </c>
      <c r="G13" s="365">
        <v>0</v>
      </c>
      <c r="H13" s="354">
        <f t="shared" si="6"/>
        <v>5186400</v>
      </c>
      <c r="I13" s="354">
        <v>54.93</v>
      </c>
      <c r="J13" s="354">
        <v>5186345.07</v>
      </c>
      <c r="K13" s="353">
        <f t="shared" si="4"/>
        <v>3213654.9299999997</v>
      </c>
      <c r="L13" s="353">
        <f t="shared" si="5"/>
        <v>3213600</v>
      </c>
      <c r="M13" s="264">
        <f t="shared" si="1"/>
        <v>61.742203214285716</v>
      </c>
      <c r="N13" s="264">
        <f t="shared" si="2"/>
        <v>61.74285714285714</v>
      </c>
      <c r="O13" s="467">
        <f t="shared" si="7"/>
        <v>3213600</v>
      </c>
      <c r="P13" s="264">
        <v>0</v>
      </c>
      <c r="Q13" s="359" t="s">
        <v>658</v>
      </c>
      <c r="R13" s="352">
        <f t="shared" si="3"/>
        <v>5186400</v>
      </c>
    </row>
    <row r="14" spans="1:18" s="366" customFormat="1" ht="72.75" customHeight="1" x14ac:dyDescent="0.5">
      <c r="A14" s="468"/>
      <c r="B14" s="469" t="s">
        <v>587</v>
      </c>
      <c r="C14" s="470" t="s">
        <v>341</v>
      </c>
      <c r="D14" s="444" t="s">
        <v>595</v>
      </c>
      <c r="E14" s="358">
        <v>27525700</v>
      </c>
      <c r="F14" s="361">
        <v>7800000</v>
      </c>
      <c r="G14" s="365">
        <v>0</v>
      </c>
      <c r="H14" s="354">
        <f t="shared" si="6"/>
        <v>7800000</v>
      </c>
      <c r="I14" s="354">
        <v>7800000</v>
      </c>
      <c r="J14" s="354">
        <v>0</v>
      </c>
      <c r="K14" s="353">
        <f t="shared" si="4"/>
        <v>27525700</v>
      </c>
      <c r="L14" s="353">
        <f t="shared" si="5"/>
        <v>19725700</v>
      </c>
      <c r="M14" s="264">
        <f t="shared" si="1"/>
        <v>0</v>
      </c>
      <c r="N14" s="264">
        <f t="shared" si="2"/>
        <v>28.337154005166081</v>
      </c>
      <c r="O14" s="467">
        <f t="shared" si="7"/>
        <v>19725700</v>
      </c>
      <c r="P14" s="356" t="s">
        <v>675</v>
      </c>
      <c r="Q14" s="359" t="s">
        <v>659</v>
      </c>
      <c r="R14" s="352">
        <f t="shared" si="3"/>
        <v>7800000</v>
      </c>
    </row>
    <row r="15" spans="1:18" s="366" customFormat="1" ht="72.75" customHeight="1" x14ac:dyDescent="0.5">
      <c r="A15" s="468"/>
      <c r="B15" s="469" t="s">
        <v>588</v>
      </c>
      <c r="C15" s="470" t="s">
        <v>342</v>
      </c>
      <c r="D15" s="444" t="s">
        <v>596</v>
      </c>
      <c r="E15" s="358">
        <v>13195000</v>
      </c>
      <c r="F15" s="361">
        <v>3770000</v>
      </c>
      <c r="G15" s="365">
        <v>0</v>
      </c>
      <c r="H15" s="354">
        <f t="shared" si="6"/>
        <v>3770000</v>
      </c>
      <c r="I15" s="354">
        <v>3770000</v>
      </c>
      <c r="J15" s="354">
        <v>0</v>
      </c>
      <c r="K15" s="353">
        <f t="shared" si="4"/>
        <v>13195000</v>
      </c>
      <c r="L15" s="353">
        <f t="shared" si="5"/>
        <v>9425000</v>
      </c>
      <c r="M15" s="264">
        <f t="shared" si="1"/>
        <v>0</v>
      </c>
      <c r="N15" s="264">
        <f t="shared" si="2"/>
        <v>28.571428571428573</v>
      </c>
      <c r="O15" s="467">
        <f t="shared" si="7"/>
        <v>9425000</v>
      </c>
      <c r="P15" s="264">
        <v>2805000</v>
      </c>
      <c r="Q15" s="359" t="s">
        <v>660</v>
      </c>
      <c r="R15" s="352">
        <f t="shared" si="3"/>
        <v>3770000</v>
      </c>
    </row>
    <row r="16" spans="1:18" s="366" customFormat="1" ht="138" customHeight="1" x14ac:dyDescent="0.5">
      <c r="A16" s="468"/>
      <c r="B16" s="469" t="s">
        <v>589</v>
      </c>
      <c r="C16" s="470" t="s">
        <v>343</v>
      </c>
      <c r="D16" s="444" t="s">
        <v>597</v>
      </c>
      <c r="E16" s="358">
        <v>20000000</v>
      </c>
      <c r="F16" s="362">
        <v>4000000</v>
      </c>
      <c r="G16" s="354">
        <v>0</v>
      </c>
      <c r="H16" s="354">
        <f t="shared" si="6"/>
        <v>4000000</v>
      </c>
      <c r="I16" s="354">
        <v>4000000</v>
      </c>
      <c r="J16" s="354">
        <v>0</v>
      </c>
      <c r="K16" s="353">
        <f t="shared" si="4"/>
        <v>20000000</v>
      </c>
      <c r="L16" s="353">
        <f t="shared" si="5"/>
        <v>16000000</v>
      </c>
      <c r="M16" s="264">
        <f t="shared" si="1"/>
        <v>0</v>
      </c>
      <c r="N16" s="264">
        <f t="shared" si="2"/>
        <v>20</v>
      </c>
      <c r="O16" s="467">
        <f t="shared" si="7"/>
        <v>16000000</v>
      </c>
      <c r="P16" s="264">
        <v>582768</v>
      </c>
      <c r="Q16" s="359" t="s">
        <v>677</v>
      </c>
      <c r="R16" s="352">
        <f t="shared" si="3"/>
        <v>4000000</v>
      </c>
    </row>
    <row r="17" spans="1:18" s="366" customFormat="1" ht="87.75" customHeight="1" x14ac:dyDescent="0.5">
      <c r="A17" s="364"/>
      <c r="B17" s="469" t="s">
        <v>590</v>
      </c>
      <c r="C17" s="470" t="s">
        <v>344</v>
      </c>
      <c r="D17" s="444" t="s">
        <v>598</v>
      </c>
      <c r="E17" s="358">
        <v>37515600</v>
      </c>
      <c r="F17" s="362">
        <v>9378900</v>
      </c>
      <c r="G17" s="354">
        <v>0</v>
      </c>
      <c r="H17" s="354">
        <f t="shared" si="6"/>
        <v>9378900</v>
      </c>
      <c r="I17" s="354">
        <v>9378900</v>
      </c>
      <c r="J17" s="354">
        <v>0</v>
      </c>
      <c r="K17" s="353">
        <f t="shared" si="4"/>
        <v>37515600</v>
      </c>
      <c r="L17" s="353">
        <f t="shared" si="5"/>
        <v>28136700</v>
      </c>
      <c r="M17" s="264">
        <f t="shared" si="1"/>
        <v>0</v>
      </c>
      <c r="N17" s="264">
        <f t="shared" si="2"/>
        <v>25</v>
      </c>
      <c r="O17" s="467">
        <f t="shared" si="7"/>
        <v>28136700</v>
      </c>
      <c r="P17" s="264">
        <v>11135650</v>
      </c>
      <c r="Q17" s="359" t="s">
        <v>661</v>
      </c>
      <c r="R17" s="352">
        <f t="shared" si="3"/>
        <v>9378900</v>
      </c>
    </row>
    <row r="18" spans="1:18" s="360" customFormat="1" ht="32.25" hidden="1" customHeight="1" x14ac:dyDescent="0.5">
      <c r="A18" s="1365" t="s">
        <v>15</v>
      </c>
      <c r="B18" s="1366"/>
      <c r="C18" s="1366"/>
      <c r="D18" s="1367"/>
      <c r="E18" s="367" t="e">
        <f>+#REF!/1000000</f>
        <v>#REF!</v>
      </c>
      <c r="F18" s="367" t="e">
        <f>+#REF!/1000000</f>
        <v>#REF!</v>
      </c>
      <c r="G18" s="367" t="e">
        <f>+#REF!/1000000</f>
        <v>#REF!</v>
      </c>
      <c r="H18" s="367" t="e">
        <f>+#REF!/1000000</f>
        <v>#REF!</v>
      </c>
      <c r="I18" s="367" t="e">
        <f>+#REF!/1000000</f>
        <v>#REF!</v>
      </c>
      <c r="J18" s="367" t="e">
        <f>+#REF!/1000000</f>
        <v>#REF!</v>
      </c>
      <c r="K18" s="368" t="e">
        <f>+#REF!/1000000</f>
        <v>#REF!</v>
      </c>
      <c r="L18" s="368" t="e">
        <f>+#REF!/1000000</f>
        <v>#REF!</v>
      </c>
      <c r="M18" s="363"/>
      <c r="N18" s="349" t="e">
        <f t="shared" si="2"/>
        <v>#REF!</v>
      </c>
      <c r="O18" s="409"/>
      <c r="P18" s="409"/>
      <c r="Q18" s="369"/>
      <c r="R18" s="408" t="e">
        <f t="shared" si="3"/>
        <v>#REF!</v>
      </c>
    </row>
    <row r="19" spans="1:18" s="360" customFormat="1" ht="32.25" hidden="1" customHeight="1" x14ac:dyDescent="0.5">
      <c r="A19" s="1365" t="s">
        <v>11</v>
      </c>
      <c r="B19" s="1366"/>
      <c r="C19" s="1366"/>
      <c r="D19" s="1367"/>
      <c r="E19" s="367" t="e">
        <f>+#REF!/1000000</f>
        <v>#REF!</v>
      </c>
      <c r="F19" s="367" t="e">
        <f>+#REF!/1000000</f>
        <v>#REF!</v>
      </c>
      <c r="G19" s="367" t="e">
        <f>+#REF!/1000000</f>
        <v>#REF!</v>
      </c>
      <c r="H19" s="367" t="e">
        <f>+#REF!/1000000</f>
        <v>#REF!</v>
      </c>
      <c r="I19" s="367" t="e">
        <f>+#REF!/1000000</f>
        <v>#REF!</v>
      </c>
      <c r="J19" s="367" t="e">
        <f>+#REF!/1000000</f>
        <v>#REF!</v>
      </c>
      <c r="K19" s="368" t="e">
        <f>+#REF!/1000000</f>
        <v>#REF!</v>
      </c>
      <c r="L19" s="368" t="e">
        <f>+#REF!/1000000</f>
        <v>#REF!</v>
      </c>
      <c r="M19" s="363"/>
      <c r="N19" s="349" t="e">
        <f t="shared" si="2"/>
        <v>#REF!</v>
      </c>
      <c r="O19" s="409"/>
      <c r="P19" s="409"/>
      <c r="Q19" s="369"/>
      <c r="R19" s="408" t="e">
        <f t="shared" si="3"/>
        <v>#REF!</v>
      </c>
    </row>
    <row r="20" spans="1:18" s="360" customFormat="1" ht="32.25" hidden="1" customHeight="1" x14ac:dyDescent="0.5">
      <c r="A20" s="1365" t="s">
        <v>162</v>
      </c>
      <c r="B20" s="1366"/>
      <c r="C20" s="1366"/>
      <c r="D20" s="1367"/>
      <c r="E20" s="367" t="e">
        <f>+#REF!/1000000</f>
        <v>#REF!</v>
      </c>
      <c r="F20" s="367" t="e">
        <f>+#REF!/1000000</f>
        <v>#REF!</v>
      </c>
      <c r="G20" s="367" t="e">
        <f>+#REF!/1000000</f>
        <v>#REF!</v>
      </c>
      <c r="H20" s="367" t="e">
        <f>+#REF!/1000000</f>
        <v>#REF!</v>
      </c>
      <c r="I20" s="367" t="e">
        <f>+#REF!/1000000</f>
        <v>#REF!</v>
      </c>
      <c r="J20" s="367" t="e">
        <f>+#REF!/1000000</f>
        <v>#REF!</v>
      </c>
      <c r="K20" s="368" t="e">
        <f>+#REF!/1000000</f>
        <v>#REF!</v>
      </c>
      <c r="L20" s="368" t="e">
        <f>+#REF!/1000000</f>
        <v>#REF!</v>
      </c>
      <c r="M20" s="363"/>
      <c r="N20" s="349" t="e">
        <f t="shared" si="2"/>
        <v>#REF!</v>
      </c>
      <c r="O20" s="409"/>
      <c r="P20" s="409"/>
      <c r="Q20" s="369"/>
      <c r="R20" s="408" t="e">
        <f t="shared" si="3"/>
        <v>#REF!</v>
      </c>
    </row>
    <row r="21" spans="1:18" s="360" customFormat="1" ht="42.75" hidden="1" customHeight="1" x14ac:dyDescent="0.5">
      <c r="A21" s="1365" t="s">
        <v>102</v>
      </c>
      <c r="B21" s="1366"/>
      <c r="C21" s="1366"/>
      <c r="D21" s="1367"/>
      <c r="E21" s="363">
        <f t="shared" ref="E21:L21" si="8">+E9</f>
        <v>145666300</v>
      </c>
      <c r="F21" s="363">
        <f t="shared" si="8"/>
        <v>40819000</v>
      </c>
      <c r="G21" s="363">
        <f t="shared" si="8"/>
        <v>0</v>
      </c>
      <c r="H21" s="363">
        <f t="shared" si="8"/>
        <v>40819000</v>
      </c>
      <c r="I21" s="363">
        <f t="shared" si="8"/>
        <v>30192654.93</v>
      </c>
      <c r="J21" s="363">
        <f t="shared" si="8"/>
        <v>10626345.07</v>
      </c>
      <c r="K21" s="363">
        <f t="shared" si="8"/>
        <v>135039954.93000001</v>
      </c>
      <c r="L21" s="363">
        <f t="shared" si="8"/>
        <v>104847300</v>
      </c>
      <c r="M21" s="363">
        <f t="shared" ref="M21:N44" si="9">+J21*100/H21</f>
        <v>26.032840270462284</v>
      </c>
      <c r="N21" s="349">
        <f t="shared" si="2"/>
        <v>28.022267332938366</v>
      </c>
      <c r="O21" s="349"/>
      <c r="P21" s="349"/>
      <c r="Q21" s="359"/>
      <c r="R21" s="408">
        <f t="shared" si="3"/>
        <v>40819000</v>
      </c>
    </row>
    <row r="22" spans="1:18" s="360" customFormat="1" ht="42.75" hidden="1" customHeight="1" x14ac:dyDescent="0.5">
      <c r="A22" s="1365" t="s">
        <v>103</v>
      </c>
      <c r="B22" s="1366"/>
      <c r="C22" s="1366"/>
      <c r="D22" s="1367"/>
      <c r="E22" s="355" t="e">
        <f>+#REF!+#REF!</f>
        <v>#REF!</v>
      </c>
      <c r="F22" s="355" t="e">
        <f>+#REF!+#REF!</f>
        <v>#REF!</v>
      </c>
      <c r="G22" s="355" t="e">
        <f>+#REF!+#REF!</f>
        <v>#REF!</v>
      </c>
      <c r="H22" s="355" t="e">
        <f>+#REF!+#REF!</f>
        <v>#REF!</v>
      </c>
      <c r="I22" s="355" t="e">
        <f>+#REF!+#REF!</f>
        <v>#REF!</v>
      </c>
      <c r="J22" s="355" t="e">
        <f>+#REF!+#REF!</f>
        <v>#REF!</v>
      </c>
      <c r="K22" s="355" t="e">
        <f>+#REF!+#REF!</f>
        <v>#REF!</v>
      </c>
      <c r="L22" s="355" t="e">
        <f>+#REF!+#REF!</f>
        <v>#REF!</v>
      </c>
      <c r="M22" s="363" t="e">
        <f t="shared" si="9"/>
        <v>#REF!</v>
      </c>
      <c r="N22" s="349" t="e">
        <f t="shared" si="2"/>
        <v>#REF!</v>
      </c>
      <c r="O22" s="349"/>
      <c r="P22" s="349"/>
      <c r="Q22" s="359"/>
      <c r="R22" s="408" t="e">
        <f t="shared" si="3"/>
        <v>#REF!</v>
      </c>
    </row>
    <row r="23" spans="1:18" s="360" customFormat="1" ht="88.5" hidden="1" customHeight="1" x14ac:dyDescent="0.5">
      <c r="A23" s="1381" t="s">
        <v>668</v>
      </c>
      <c r="B23" s="1382"/>
      <c r="C23" s="1382"/>
      <c r="D23" s="1382"/>
      <c r="E23" s="1382"/>
      <c r="F23" s="1382"/>
      <c r="G23" s="1382"/>
      <c r="H23" s="1382"/>
      <c r="I23" s="1383"/>
      <c r="J23" s="1371" t="s">
        <v>664</v>
      </c>
      <c r="K23" s="1372"/>
      <c r="L23" s="355">
        <f>27700+22000+7100</f>
        <v>56800</v>
      </c>
      <c r="M23" s="363"/>
      <c r="N23" s="349"/>
      <c r="O23" s="349"/>
      <c r="P23" s="349"/>
      <c r="Q23" s="359"/>
      <c r="R23" s="408"/>
    </row>
    <row r="24" spans="1:18" s="360" customFormat="1" ht="113.25" hidden="1" customHeight="1" x14ac:dyDescent="0.5">
      <c r="A24" s="1368"/>
      <c r="B24" s="1369"/>
      <c r="C24" s="1369"/>
      <c r="D24" s="1369"/>
      <c r="E24" s="1369"/>
      <c r="F24" s="1369"/>
      <c r="G24" s="1369"/>
      <c r="H24" s="1369"/>
      <c r="I24" s="1370"/>
      <c r="J24" s="1371" t="s">
        <v>663</v>
      </c>
      <c r="K24" s="1372"/>
      <c r="L24" s="355">
        <f>370276+495000+497550</f>
        <v>1362826</v>
      </c>
      <c r="M24" s="363"/>
      <c r="N24" s="349"/>
      <c r="O24" s="349"/>
      <c r="P24" s="349"/>
      <c r="Q24" s="359"/>
      <c r="R24" s="408"/>
    </row>
    <row r="25" spans="1:18" s="360" customFormat="1" ht="87" hidden="1" customHeight="1" x14ac:dyDescent="0.5">
      <c r="A25" s="1368"/>
      <c r="B25" s="1369"/>
      <c r="C25" s="1369"/>
      <c r="D25" s="1369"/>
      <c r="E25" s="1369"/>
      <c r="F25" s="1369"/>
      <c r="G25" s="1369"/>
      <c r="H25" s="1369"/>
      <c r="I25" s="1370"/>
      <c r="J25" s="1371" t="s">
        <v>666</v>
      </c>
      <c r="K25" s="1372"/>
      <c r="L25" s="413">
        <f>2814262.07+8000</f>
        <v>2822262.07</v>
      </c>
      <c r="M25" s="363"/>
      <c r="N25" s="349"/>
      <c r="O25" s="349"/>
      <c r="P25" s="349"/>
      <c r="Q25" s="416" t="e">
        <f>+L22-L26-L23</f>
        <v>#REF!</v>
      </c>
      <c r="R25" s="408"/>
    </row>
    <row r="26" spans="1:18" s="360" customFormat="1" ht="116.25" hidden="1" customHeight="1" x14ac:dyDescent="0.5">
      <c r="A26" s="1368"/>
      <c r="B26" s="1369"/>
      <c r="C26" s="1369"/>
      <c r="D26" s="1369"/>
      <c r="E26" s="1369"/>
      <c r="F26" s="1369"/>
      <c r="G26" s="1369"/>
      <c r="H26" s="1369"/>
      <c r="I26" s="1370"/>
      <c r="J26" s="1371" t="s">
        <v>670</v>
      </c>
      <c r="K26" s="1372"/>
      <c r="L26" s="355">
        <v>1700000</v>
      </c>
      <c r="M26" s="363"/>
      <c r="N26" s="349"/>
      <c r="O26" s="349"/>
      <c r="P26" s="349"/>
      <c r="Q26" s="359"/>
      <c r="R26" s="408"/>
    </row>
    <row r="27" spans="1:18" s="360" customFormat="1" ht="147" hidden="1" customHeight="1" x14ac:dyDescent="0.5">
      <c r="A27" s="1368"/>
      <c r="B27" s="1369"/>
      <c r="C27" s="1369"/>
      <c r="D27" s="1369"/>
      <c r="E27" s="1369"/>
      <c r="F27" s="1369"/>
      <c r="G27" s="1369"/>
      <c r="H27" s="1369"/>
      <c r="I27" s="1370"/>
      <c r="J27" s="1371" t="s">
        <v>665</v>
      </c>
      <c r="K27" s="1372"/>
      <c r="L27" s="355" t="e">
        <f>+#REF!+#REF!+#REF!+#REF!+#REF!+#REF!+#REF!+#REF!+#REF!+#REF!+#REF!+#REF!+#REF!+#REF!+#REF!+#REF!</f>
        <v>#REF!</v>
      </c>
      <c r="M27" s="363"/>
      <c r="N27" s="349"/>
      <c r="O27" s="349"/>
      <c r="P27" s="349"/>
      <c r="Q27" s="417" t="e">
        <f>+L22-Q28</f>
        <v>#REF!</v>
      </c>
      <c r="R27" s="408"/>
    </row>
    <row r="28" spans="1:18" s="360" customFormat="1" ht="141" hidden="1" customHeight="1" x14ac:dyDescent="0.5">
      <c r="A28" s="1368"/>
      <c r="B28" s="1369"/>
      <c r="C28" s="1369"/>
      <c r="D28" s="1369"/>
      <c r="E28" s="1369"/>
      <c r="F28" s="1369"/>
      <c r="G28" s="1369"/>
      <c r="H28" s="1369"/>
      <c r="I28" s="1370"/>
      <c r="J28" s="1371" t="s">
        <v>667</v>
      </c>
      <c r="K28" s="1372"/>
      <c r="L28" s="355">
        <v>2044100.02</v>
      </c>
      <c r="M28" s="363"/>
      <c r="N28" s="349"/>
      <c r="O28" s="349"/>
      <c r="P28" s="349"/>
      <c r="Q28" s="417" t="e">
        <f>SUM(L23:L28)</f>
        <v>#REF!</v>
      </c>
      <c r="R28" s="408"/>
    </row>
    <row r="29" spans="1:18" s="360" customFormat="1" ht="110.25" hidden="1" customHeight="1" x14ac:dyDescent="0.5">
      <c r="A29" s="425"/>
      <c r="B29" s="426"/>
      <c r="C29" s="430"/>
      <c r="D29" s="427"/>
      <c r="E29" s="355"/>
      <c r="F29" s="355"/>
      <c r="G29" s="355"/>
      <c r="H29" s="355"/>
      <c r="I29" s="355"/>
      <c r="J29" s="1371"/>
      <c r="K29" s="1372"/>
      <c r="L29" s="355"/>
      <c r="M29" s="414"/>
      <c r="N29" s="415"/>
      <c r="O29" s="409"/>
      <c r="P29" s="409"/>
      <c r="Q29" s="412" t="e">
        <f>+L22-Q28</f>
        <v>#REF!</v>
      </c>
      <c r="R29" s="408"/>
    </row>
    <row r="30" spans="1:18" s="360" customFormat="1" ht="42.75" hidden="1" customHeight="1" x14ac:dyDescent="0.5">
      <c r="A30" s="425"/>
      <c r="B30" s="426"/>
      <c r="C30" s="430"/>
      <c r="D30" s="427"/>
      <c r="E30" s="355"/>
      <c r="F30" s="355"/>
      <c r="G30" s="355"/>
      <c r="H30" s="355"/>
      <c r="I30" s="355"/>
      <c r="J30" s="355"/>
      <c r="K30" s="355"/>
      <c r="L30" s="355"/>
      <c r="M30" s="363"/>
      <c r="N30" s="349"/>
      <c r="O30" s="409"/>
      <c r="P30" s="409"/>
      <c r="Q30" s="369"/>
      <c r="R30" s="408"/>
    </row>
    <row r="31" spans="1:18" s="360" customFormat="1" ht="42.75" hidden="1" customHeight="1" x14ac:dyDescent="0.5">
      <c r="A31" s="425"/>
      <c r="B31" s="426"/>
      <c r="C31" s="430"/>
      <c r="D31" s="427"/>
      <c r="E31" s="355"/>
      <c r="F31" s="355"/>
      <c r="G31" s="355"/>
      <c r="H31" s="355"/>
      <c r="I31" s="355"/>
      <c r="J31" s="355"/>
      <c r="K31" s="355"/>
      <c r="L31" s="355"/>
      <c r="M31" s="363"/>
      <c r="N31" s="349"/>
      <c r="O31" s="409"/>
      <c r="P31" s="409"/>
      <c r="Q31" s="369"/>
      <c r="R31" s="408"/>
    </row>
    <row r="32" spans="1:18" s="360" customFormat="1" ht="42.75" hidden="1" customHeight="1" x14ac:dyDescent="0.5">
      <c r="A32" s="425"/>
      <c r="B32" s="426"/>
      <c r="C32" s="430"/>
      <c r="D32" s="427"/>
      <c r="E32" s="355"/>
      <c r="F32" s="355"/>
      <c r="G32" s="355"/>
      <c r="H32" s="355"/>
      <c r="I32" s="355"/>
      <c r="J32" s="355"/>
      <c r="K32" s="355"/>
      <c r="L32" s="355"/>
      <c r="M32" s="363"/>
      <c r="N32" s="349"/>
      <c r="O32" s="409"/>
      <c r="P32" s="409"/>
      <c r="Q32" s="369"/>
      <c r="R32" s="408"/>
    </row>
    <row r="33" spans="1:18" s="360" customFormat="1" ht="42.75" hidden="1" customHeight="1" x14ac:dyDescent="0.5">
      <c r="A33" s="425"/>
      <c r="B33" s="426"/>
      <c r="C33" s="430"/>
      <c r="D33" s="427"/>
      <c r="E33" s="355"/>
      <c r="F33" s="355"/>
      <c r="G33" s="355"/>
      <c r="H33" s="355"/>
      <c r="I33" s="355"/>
      <c r="J33" s="355"/>
      <c r="K33" s="355"/>
      <c r="L33" s="355"/>
      <c r="M33" s="363"/>
      <c r="N33" s="349"/>
      <c r="O33" s="409"/>
      <c r="P33" s="409"/>
      <c r="Q33" s="369"/>
      <c r="R33" s="408"/>
    </row>
    <row r="34" spans="1:18" s="360" customFormat="1" ht="42.75" hidden="1" customHeight="1" x14ac:dyDescent="0.5">
      <c r="A34" s="425"/>
      <c r="B34" s="426"/>
      <c r="C34" s="430"/>
      <c r="D34" s="427"/>
      <c r="E34" s="355"/>
      <c r="F34" s="355"/>
      <c r="G34" s="355"/>
      <c r="H34" s="355"/>
      <c r="I34" s="355"/>
      <c r="J34" s="355"/>
      <c r="K34" s="355"/>
      <c r="L34" s="355"/>
      <c r="M34" s="363"/>
      <c r="N34" s="349"/>
      <c r="O34" s="409"/>
      <c r="P34" s="409"/>
      <c r="Q34" s="369"/>
      <c r="R34" s="408"/>
    </row>
    <row r="35" spans="1:18" s="360" customFormat="1" ht="42.75" hidden="1" customHeight="1" x14ac:dyDescent="0.5">
      <c r="A35" s="425"/>
      <c r="B35" s="426"/>
      <c r="C35" s="430"/>
      <c r="D35" s="427"/>
      <c r="E35" s="355"/>
      <c r="F35" s="355"/>
      <c r="G35" s="355"/>
      <c r="H35" s="355"/>
      <c r="I35" s="355"/>
      <c r="J35" s="355"/>
      <c r="K35" s="355"/>
      <c r="L35" s="355"/>
      <c r="M35" s="363"/>
      <c r="N35" s="349"/>
      <c r="O35" s="409"/>
      <c r="P35" s="409"/>
      <c r="Q35" s="369"/>
      <c r="R35" s="408"/>
    </row>
    <row r="36" spans="1:18" s="360" customFormat="1" ht="42.75" hidden="1" customHeight="1" x14ac:dyDescent="0.5">
      <c r="A36" s="425"/>
      <c r="B36" s="426"/>
      <c r="C36" s="430"/>
      <c r="D36" s="427"/>
      <c r="E36" s="355"/>
      <c r="F36" s="355"/>
      <c r="G36" s="355"/>
      <c r="H36" s="355"/>
      <c r="I36" s="355"/>
      <c r="J36" s="355"/>
      <c r="K36" s="355"/>
      <c r="L36" s="355"/>
      <c r="M36" s="363"/>
      <c r="N36" s="349"/>
      <c r="O36" s="409"/>
      <c r="P36" s="409"/>
      <c r="Q36" s="369"/>
      <c r="R36" s="408"/>
    </row>
    <row r="37" spans="1:18" s="360" customFormat="1" ht="42.75" hidden="1" customHeight="1" x14ac:dyDescent="0.5">
      <c r="A37" s="425"/>
      <c r="B37" s="426"/>
      <c r="C37" s="430"/>
      <c r="D37" s="427"/>
      <c r="E37" s="355"/>
      <c r="F37" s="355"/>
      <c r="G37" s="355"/>
      <c r="H37" s="355"/>
      <c r="I37" s="355"/>
      <c r="J37" s="355"/>
      <c r="K37" s="355"/>
      <c r="L37" s="355"/>
      <c r="M37" s="363"/>
      <c r="N37" s="349"/>
      <c r="O37" s="409"/>
      <c r="P37" s="409"/>
      <c r="Q37" s="369"/>
      <c r="R37" s="408"/>
    </row>
    <row r="38" spans="1:18" s="360" customFormat="1" hidden="1" x14ac:dyDescent="0.5">
      <c r="A38" s="1365" t="s">
        <v>242</v>
      </c>
      <c r="B38" s="1366"/>
      <c r="C38" s="1366"/>
      <c r="D38" s="1367"/>
      <c r="E38" s="355" t="e">
        <f>+#REF!+#REF!+#REF!+#REF!+#REF!+#REF!+#REF!+#REF!+#REF!+#REF!+#REF!+#REF!+#REF!+#REF!+#REF!+#REF!+#REF!+#REF!+#REF!+#REF!+#REF!+#REF!+#REF!+#REF!+#REF!</f>
        <v>#REF!</v>
      </c>
      <c r="F38" s="355" t="e">
        <f>+#REF!+#REF!+#REF!+#REF!+#REF!+#REF!+#REF!+#REF!+#REF!+#REF!+#REF!+#REF!+#REF!+#REF!+#REF!+#REF!+#REF!+#REF!+#REF!+#REF!+#REF!+#REF!+#REF!+#REF!+#REF!</f>
        <v>#REF!</v>
      </c>
      <c r="G38" s="355" t="e">
        <f>+#REF!+#REF!+#REF!+#REF!+#REF!+#REF!+#REF!+#REF!+#REF!+#REF!+#REF!+#REF!+#REF!+#REF!+#REF!+#REF!+#REF!+#REF!+#REF!+#REF!+#REF!+#REF!+#REF!+#REF!+#REF!</f>
        <v>#REF!</v>
      </c>
      <c r="H38" s="355" t="e">
        <f>+#REF!+#REF!+#REF!+#REF!+#REF!+#REF!+#REF!+#REF!+#REF!+#REF!+#REF!+#REF!+#REF!+#REF!+#REF!+#REF!+#REF!+#REF!+#REF!+#REF!+#REF!+#REF!+#REF!+#REF!+#REF!</f>
        <v>#REF!</v>
      </c>
      <c r="I38" s="355" t="e">
        <f>+#REF!+#REF!+#REF!+#REF!+#REF!+#REF!+#REF!+#REF!+#REF!+#REF!+#REF!+#REF!+#REF!+#REF!+#REF!+#REF!+#REF!+#REF!+#REF!+#REF!+#REF!+#REF!+#REF!+#REF!+#REF!</f>
        <v>#REF!</v>
      </c>
      <c r="J38" s="355" t="e">
        <f>+#REF!+#REF!+#REF!+#REF!+#REF!+#REF!+#REF!+#REF!+#REF!+#REF!+#REF!+#REF!+#REF!+#REF!+#REF!+#REF!+#REF!+#REF!+#REF!+#REF!+#REF!+#REF!+#REF!+#REF!+#REF!</f>
        <v>#REF!</v>
      </c>
      <c r="K38" s="355" t="e">
        <f>+#REF!+#REF!+#REF!+#REF!+#REF!+#REF!+#REF!+#REF!+#REF!+#REF!+#REF!+#REF!+#REF!+#REF!+#REF!+#REF!+#REF!+#REF!+#REF!+#REF!+#REF!+#REF!+#REF!+#REF!+#REF!</f>
        <v>#REF!</v>
      </c>
      <c r="L38" s="355" t="e">
        <f>+#REF!+#REF!+#REF!+#REF!+#REF!+#REF!+#REF!+#REF!+#REF!+#REF!+#REF!+#REF!+#REF!+#REF!+#REF!+#REF!+#REF!+#REF!+#REF!+#REF!+#REF!+#REF!+#REF!+#REF!+#REF!</f>
        <v>#REF!</v>
      </c>
      <c r="M38" s="363" t="e">
        <f t="shared" si="9"/>
        <v>#REF!</v>
      </c>
      <c r="N38" s="363" t="e">
        <f t="shared" ref="N38" si="10">+R38*100/E38</f>
        <v>#REF!</v>
      </c>
      <c r="Q38" s="369"/>
      <c r="R38" s="408" t="e">
        <f t="shared" ref="R38:R51" si="11">+I38+J38</f>
        <v>#REF!</v>
      </c>
    </row>
    <row r="39" spans="1:18" s="360" customFormat="1" hidden="1" x14ac:dyDescent="0.5">
      <c r="A39" s="1365" t="s">
        <v>360</v>
      </c>
      <c r="B39" s="1366"/>
      <c r="C39" s="1366"/>
      <c r="D39" s="1366"/>
      <c r="E39" s="1366"/>
      <c r="F39" s="1366"/>
      <c r="G39" s="426"/>
      <c r="H39" s="427"/>
      <c r="I39" s="429" t="e">
        <f>+I38+J38</f>
        <v>#REF!</v>
      </c>
      <c r="J39" s="431"/>
      <c r="K39" s="367" t="e">
        <f>+I39/1000000</f>
        <v>#REF!</v>
      </c>
      <c r="L39" s="363"/>
      <c r="M39" s="363"/>
      <c r="N39" s="363"/>
      <c r="Q39" s="369"/>
      <c r="R39" s="408" t="e">
        <f t="shared" si="11"/>
        <v>#REF!</v>
      </c>
    </row>
    <row r="40" spans="1:18" s="360" customFormat="1" hidden="1" x14ac:dyDescent="0.5">
      <c r="A40" s="1365" t="s">
        <v>243</v>
      </c>
      <c r="B40" s="1366"/>
      <c r="C40" s="1366"/>
      <c r="D40" s="1367"/>
      <c r="E40" s="355" t="e">
        <f>+#REF!+#REF!+#REF!+#REF!+#REF!+#REF!+#REF!+#REF!+#REF!+#REF!+#REF!+#REF!+E9</f>
        <v>#REF!</v>
      </c>
      <c r="F40" s="355" t="e">
        <f>+#REF!+#REF!+#REF!+#REF!+#REF!+#REF!+#REF!+#REF!+#REF!+#REF!+#REF!+#REF!+F9</f>
        <v>#REF!</v>
      </c>
      <c r="G40" s="355" t="e">
        <f>+#REF!+#REF!+#REF!+#REF!+#REF!+#REF!+#REF!+#REF!+#REF!+#REF!+#REF!+#REF!+G9</f>
        <v>#REF!</v>
      </c>
      <c r="H40" s="355" t="e">
        <f>+#REF!+#REF!+#REF!+#REF!+#REF!+#REF!+#REF!+#REF!+#REF!+#REF!+#REF!+#REF!+H9</f>
        <v>#REF!</v>
      </c>
      <c r="I40" s="355" t="e">
        <f>+#REF!+#REF!+#REF!+#REF!+#REF!+#REF!+#REF!+#REF!+#REF!+#REF!+#REF!+#REF!+I9</f>
        <v>#REF!</v>
      </c>
      <c r="J40" s="355" t="e">
        <f>+#REF!+#REF!+#REF!+#REF!+#REF!+#REF!+#REF!+#REF!+#REF!+#REF!+#REF!+#REF!+J9</f>
        <v>#REF!</v>
      </c>
      <c r="K40" s="355" t="e">
        <f>+#REF!+#REF!+#REF!+#REF!+#REF!+#REF!+#REF!+#REF!+#REF!+#REF!+#REF!+#REF!+K9</f>
        <v>#REF!</v>
      </c>
      <c r="L40" s="355" t="e">
        <f>+#REF!+#REF!+#REF!+#REF!+#REF!+#REF!+#REF!+#REF!+#REF!+#REF!+#REF!+#REF!+L9</f>
        <v>#REF!</v>
      </c>
      <c r="M40" s="363" t="e">
        <f t="shared" si="9"/>
        <v>#REF!</v>
      </c>
      <c r="N40" s="363"/>
      <c r="Q40" s="369"/>
      <c r="R40" s="408" t="e">
        <f t="shared" si="11"/>
        <v>#REF!</v>
      </c>
    </row>
    <row r="41" spans="1:18" s="360" customFormat="1" hidden="1" x14ac:dyDescent="0.5">
      <c r="A41" s="1365" t="s">
        <v>359</v>
      </c>
      <c r="B41" s="1366"/>
      <c r="C41" s="1366"/>
      <c r="D41" s="1366"/>
      <c r="E41" s="1366"/>
      <c r="F41" s="1366"/>
      <c r="G41" s="426"/>
      <c r="H41" s="427"/>
      <c r="I41" s="429" t="e">
        <f>+I40+J40</f>
        <v>#REF!</v>
      </c>
      <c r="J41" s="431"/>
      <c r="K41" s="367" t="e">
        <f>+I41/1000000</f>
        <v>#REF!</v>
      </c>
      <c r="L41" s="363"/>
      <c r="M41" s="363"/>
      <c r="N41" s="363"/>
      <c r="Q41" s="369"/>
      <c r="R41" s="408" t="e">
        <f t="shared" si="11"/>
        <v>#REF!</v>
      </c>
    </row>
    <row r="42" spans="1:18" s="360" customFormat="1" hidden="1" x14ac:dyDescent="0.5">
      <c r="A42" s="1365" t="s">
        <v>357</v>
      </c>
      <c r="B42" s="1366"/>
      <c r="C42" s="1366"/>
      <c r="D42" s="1367"/>
      <c r="E42" s="355" t="e">
        <f>+E38+#REF!+#REF!+#REF!+#REF!+#REF!</f>
        <v>#REF!</v>
      </c>
      <c r="F42" s="355" t="e">
        <f>+F38+#REF!+#REF!+#REF!+#REF!+#REF!</f>
        <v>#REF!</v>
      </c>
      <c r="G42" s="355" t="e">
        <f>+G38+#REF!+#REF!+#REF!+#REF!+#REF!</f>
        <v>#REF!</v>
      </c>
      <c r="H42" s="355" t="e">
        <f>+H38+#REF!+#REF!+#REF!+#REF!+#REF!</f>
        <v>#REF!</v>
      </c>
      <c r="I42" s="355" t="e">
        <f>+I38+#REF!+#REF!+#REF!+#REF!+#REF!</f>
        <v>#REF!</v>
      </c>
      <c r="J42" s="355" t="e">
        <f>+J38+#REF!+#REF!+#REF!+#REF!+#REF!</f>
        <v>#REF!</v>
      </c>
      <c r="K42" s="355" t="e">
        <f>+K38+#REF!+#REF!+#REF!+#REF!+#REF!</f>
        <v>#REF!</v>
      </c>
      <c r="L42" s="355" t="e">
        <f>+L38+#REF!+#REF!+#REF!+#REF!+#REF!</f>
        <v>#REF!</v>
      </c>
      <c r="M42" s="363" t="e">
        <f t="shared" si="9"/>
        <v>#REF!</v>
      </c>
      <c r="N42" s="363" t="e">
        <f t="shared" si="9"/>
        <v>#REF!</v>
      </c>
      <c r="Q42" s="369"/>
      <c r="R42" s="408" t="e">
        <f t="shared" si="11"/>
        <v>#REF!</v>
      </c>
    </row>
    <row r="43" spans="1:18" s="360" customFormat="1" hidden="1" x14ac:dyDescent="0.5">
      <c r="A43" s="1365" t="s">
        <v>361</v>
      </c>
      <c r="B43" s="1366"/>
      <c r="C43" s="1366"/>
      <c r="D43" s="1366"/>
      <c r="E43" s="1366"/>
      <c r="F43" s="1366"/>
      <c r="G43" s="426"/>
      <c r="H43" s="427"/>
      <c r="I43" s="429" t="e">
        <f>+I42+J42</f>
        <v>#REF!</v>
      </c>
      <c r="J43" s="431"/>
      <c r="K43" s="367" t="e">
        <f>+I43/1000000</f>
        <v>#REF!</v>
      </c>
      <c r="L43" s="363"/>
      <c r="M43" s="363"/>
      <c r="N43" s="363"/>
      <c r="Q43" s="369"/>
      <c r="R43" s="408" t="e">
        <f t="shared" si="11"/>
        <v>#REF!</v>
      </c>
    </row>
    <row r="44" spans="1:18" s="360" customFormat="1" hidden="1" x14ac:dyDescent="0.5">
      <c r="A44" s="1365" t="s">
        <v>356</v>
      </c>
      <c r="B44" s="1366"/>
      <c r="C44" s="1366"/>
      <c r="D44" s="1367"/>
      <c r="E44" s="355" t="e">
        <f>+#REF!+#REF!+#REF!+#REF!+#REF!+#REF!+#REF!+E9</f>
        <v>#REF!</v>
      </c>
      <c r="F44" s="355" t="e">
        <f>+#REF!+#REF!+#REF!+#REF!+#REF!+#REF!+#REF!+F9</f>
        <v>#REF!</v>
      </c>
      <c r="G44" s="355" t="e">
        <f>+#REF!+#REF!+#REF!+#REF!+#REF!+#REF!+#REF!+G9</f>
        <v>#REF!</v>
      </c>
      <c r="H44" s="355" t="e">
        <f>+#REF!+#REF!+#REF!+#REF!+#REF!+#REF!+#REF!+H9</f>
        <v>#REF!</v>
      </c>
      <c r="I44" s="355" t="e">
        <f>+#REF!+#REF!+#REF!+#REF!+#REF!+#REF!+#REF!+I9</f>
        <v>#REF!</v>
      </c>
      <c r="J44" s="355" t="e">
        <f>+#REF!+#REF!+#REF!+#REF!+#REF!+#REF!+#REF!+J9</f>
        <v>#REF!</v>
      </c>
      <c r="K44" s="355" t="e">
        <f>+#REF!+#REF!+#REF!+#REF!+#REF!+#REF!+#REF!+K9</f>
        <v>#REF!</v>
      </c>
      <c r="L44" s="355" t="e">
        <f>+#REF!+#REF!+#REF!+#REF!+#REF!+#REF!+#REF!+L9</f>
        <v>#REF!</v>
      </c>
      <c r="M44" s="363" t="e">
        <f t="shared" si="9"/>
        <v>#REF!</v>
      </c>
      <c r="N44" s="363" t="e">
        <f t="shared" si="9"/>
        <v>#REF!</v>
      </c>
      <c r="Q44" s="369"/>
      <c r="R44" s="408" t="e">
        <f t="shared" si="11"/>
        <v>#REF!</v>
      </c>
    </row>
    <row r="45" spans="1:18" s="360" customFormat="1" hidden="1" x14ac:dyDescent="0.5">
      <c r="A45" s="1365" t="s">
        <v>362</v>
      </c>
      <c r="B45" s="1366"/>
      <c r="C45" s="1366"/>
      <c r="D45" s="1366"/>
      <c r="E45" s="1366"/>
      <c r="F45" s="1366"/>
      <c r="G45" s="426"/>
      <c r="H45" s="427"/>
      <c r="I45" s="429" t="e">
        <f>+I44+J44</f>
        <v>#REF!</v>
      </c>
      <c r="J45" s="431"/>
      <c r="K45" s="367" t="e">
        <f>+I45/1000000</f>
        <v>#REF!</v>
      </c>
      <c r="L45" s="363"/>
      <c r="M45" s="363"/>
      <c r="N45" s="363"/>
      <c r="Q45" s="369"/>
      <c r="R45" s="408" t="e">
        <f t="shared" si="11"/>
        <v>#REF!</v>
      </c>
    </row>
    <row r="46" spans="1:18" s="360" customFormat="1" hidden="1" x14ac:dyDescent="0.5">
      <c r="A46" s="1365" t="s">
        <v>363</v>
      </c>
      <c r="B46" s="1366"/>
      <c r="C46" s="1366"/>
      <c r="D46" s="1366"/>
      <c r="E46" s="1366"/>
      <c r="F46" s="1366"/>
      <c r="G46" s="426"/>
      <c r="H46" s="427"/>
      <c r="I46" s="429" t="e">
        <f>+#REF!+#REF!</f>
        <v>#REF!</v>
      </c>
      <c r="J46" s="431"/>
      <c r="K46" s="367" t="e">
        <f>+I46/1000000</f>
        <v>#REF!</v>
      </c>
      <c r="L46" s="363"/>
      <c r="M46" s="363"/>
      <c r="N46" s="363"/>
      <c r="Q46" s="369"/>
      <c r="R46" s="408" t="e">
        <f t="shared" si="11"/>
        <v>#REF!</v>
      </c>
    </row>
    <row r="47" spans="1:18" s="360" customFormat="1" hidden="1" x14ac:dyDescent="0.5">
      <c r="A47" s="1365" t="s">
        <v>364</v>
      </c>
      <c r="B47" s="1366"/>
      <c r="C47" s="1366"/>
      <c r="D47" s="1366"/>
      <c r="E47" s="1366"/>
      <c r="F47" s="1366"/>
      <c r="G47" s="426"/>
      <c r="H47" s="427"/>
      <c r="I47" s="429" t="e">
        <f>+#REF!</f>
        <v>#REF!</v>
      </c>
      <c r="J47" s="431"/>
      <c r="K47" s="367" t="e">
        <f>+I47/1000000</f>
        <v>#REF!</v>
      </c>
      <c r="L47" s="363"/>
      <c r="M47" s="363"/>
      <c r="N47" s="363"/>
      <c r="Q47" s="369"/>
      <c r="R47" s="408" t="e">
        <f t="shared" si="11"/>
        <v>#REF!</v>
      </c>
    </row>
    <row r="48" spans="1:18" s="360" customFormat="1" hidden="1" x14ac:dyDescent="0.5">
      <c r="A48" s="1365" t="s">
        <v>369</v>
      </c>
      <c r="B48" s="1366"/>
      <c r="C48" s="1366"/>
      <c r="D48" s="1367"/>
      <c r="E48" s="355" t="e">
        <f>+#REF!+E11+E13</f>
        <v>#REF!</v>
      </c>
      <c r="F48" s="355" t="e">
        <f>+#REF!+F11+F13</f>
        <v>#REF!</v>
      </c>
      <c r="G48" s="355" t="e">
        <f>+#REF!+G11+G13</f>
        <v>#REF!</v>
      </c>
      <c r="H48" s="355" t="e">
        <f>+#REF!+H11+H13</f>
        <v>#REF!</v>
      </c>
      <c r="I48" s="355" t="e">
        <f>+#REF!+I11+I13</f>
        <v>#REF!</v>
      </c>
      <c r="J48" s="355" t="e">
        <f>+#REF!+J11+J13</f>
        <v>#REF!</v>
      </c>
      <c r="K48" s="355" t="e">
        <f>+#REF!+K11+K13</f>
        <v>#REF!</v>
      </c>
      <c r="L48" s="365" t="e">
        <f>+#REF!+L11+L13</f>
        <v>#REF!</v>
      </c>
      <c r="M48" s="363" t="e">
        <f>+J48*100/H48</f>
        <v>#REF!</v>
      </c>
      <c r="N48" s="363" t="e">
        <f>+K48*100/I48</f>
        <v>#REF!</v>
      </c>
      <c r="Q48" s="369"/>
      <c r="R48" s="408" t="e">
        <f t="shared" si="11"/>
        <v>#REF!</v>
      </c>
    </row>
    <row r="49" spans="1:18" s="360" customFormat="1" hidden="1" x14ac:dyDescent="0.5">
      <c r="A49" s="1365" t="s">
        <v>368</v>
      </c>
      <c r="B49" s="1366"/>
      <c r="C49" s="1366"/>
      <c r="D49" s="1366"/>
      <c r="E49" s="1366"/>
      <c r="F49" s="1366"/>
      <c r="G49" s="426"/>
      <c r="H49" s="427"/>
      <c r="I49" s="429" t="e">
        <f>+I48+J48</f>
        <v>#REF!</v>
      </c>
      <c r="J49" s="431"/>
      <c r="K49" s="367" t="e">
        <f>+I49/1000000</f>
        <v>#REF!</v>
      </c>
      <c r="L49" s="363"/>
      <c r="M49" s="363"/>
      <c r="N49" s="363"/>
      <c r="Q49" s="369"/>
      <c r="R49" s="408" t="e">
        <f t="shared" si="11"/>
        <v>#REF!</v>
      </c>
    </row>
    <row r="50" spans="1:18" s="360" customFormat="1" hidden="1" x14ac:dyDescent="0.5">
      <c r="A50" s="1365" t="s">
        <v>370</v>
      </c>
      <c r="B50" s="1366"/>
      <c r="C50" s="1366"/>
      <c r="D50" s="1367"/>
      <c r="E50" s="355">
        <f>+E10+E12+E14+E15+E16+E17</f>
        <v>131634300</v>
      </c>
      <c r="F50" s="355">
        <f t="shared" ref="F50:L50" si="12">+F10+F12+F14+F15+F16+F17</f>
        <v>32806900</v>
      </c>
      <c r="G50" s="355">
        <f t="shared" si="12"/>
        <v>0</v>
      </c>
      <c r="H50" s="355">
        <f t="shared" si="12"/>
        <v>32806900</v>
      </c>
      <c r="I50" s="355">
        <f t="shared" si="12"/>
        <v>27366900</v>
      </c>
      <c r="J50" s="355">
        <f t="shared" si="12"/>
        <v>5440000</v>
      </c>
      <c r="K50" s="355">
        <f t="shared" si="12"/>
        <v>126194300</v>
      </c>
      <c r="L50" s="365">
        <f t="shared" si="12"/>
        <v>98827400</v>
      </c>
      <c r="M50" s="363">
        <f>+J50*100/H50</f>
        <v>16.58187759282346</v>
      </c>
      <c r="N50" s="363">
        <f>+K50*100/I50</f>
        <v>461.12018533337721</v>
      </c>
      <c r="Q50" s="369"/>
      <c r="R50" s="408">
        <f t="shared" si="11"/>
        <v>32806900</v>
      </c>
    </row>
    <row r="51" spans="1:18" s="360" customFormat="1" hidden="1" x14ac:dyDescent="0.5">
      <c r="A51" s="1365" t="s">
        <v>368</v>
      </c>
      <c r="B51" s="1366"/>
      <c r="C51" s="1366"/>
      <c r="D51" s="1366"/>
      <c r="E51" s="1366"/>
      <c r="F51" s="1366"/>
      <c r="G51" s="426"/>
      <c r="H51" s="427"/>
      <c r="I51" s="429">
        <f>+I50+J50</f>
        <v>32806900</v>
      </c>
      <c r="J51" s="431"/>
      <c r="K51" s="367">
        <f>+I51/1000000</f>
        <v>32.806899999999999</v>
      </c>
      <c r="L51" s="363"/>
      <c r="M51" s="363"/>
      <c r="N51" s="363"/>
      <c r="Q51" s="369"/>
      <c r="R51" s="408">
        <f t="shared" si="11"/>
        <v>32806900</v>
      </c>
    </row>
    <row r="52" spans="1:18" s="370" customFormat="1" ht="32.25" hidden="1" customHeight="1" x14ac:dyDescent="0.5">
      <c r="A52" s="1374" t="s">
        <v>669</v>
      </c>
      <c r="B52" s="1374"/>
      <c r="C52" s="1374"/>
      <c r="D52" s="1374"/>
      <c r="E52" s="1374"/>
      <c r="F52" s="1374"/>
      <c r="G52" s="1374"/>
      <c r="H52" s="1374"/>
      <c r="I52" s="1374"/>
      <c r="J52" s="1374"/>
      <c r="K52" s="1374"/>
      <c r="L52" s="1374"/>
      <c r="M52" s="1374"/>
      <c r="N52" s="1374"/>
      <c r="O52" s="1374"/>
      <c r="P52" s="1374"/>
      <c r="Q52" s="1374"/>
    </row>
    <row r="53" spans="1:18" s="370" customFormat="1" ht="32.25" hidden="1" customHeight="1" x14ac:dyDescent="0.5">
      <c r="A53" s="418"/>
      <c r="B53" s="418"/>
      <c r="C53" s="432"/>
      <c r="D53" s="1364" t="s">
        <v>646</v>
      </c>
      <c r="E53" s="1364"/>
      <c r="F53" s="1364"/>
      <c r="G53" s="1364"/>
      <c r="H53" s="1364"/>
      <c r="I53" s="1364"/>
      <c r="J53" s="1364"/>
      <c r="K53" s="1364"/>
      <c r="L53" s="1364"/>
      <c r="M53" s="1364"/>
      <c r="N53" s="418"/>
      <c r="O53" s="418"/>
      <c r="P53" s="418"/>
      <c r="Q53" s="419"/>
    </row>
    <row r="54" spans="1:18" ht="32.25" hidden="1" customHeight="1" x14ac:dyDescent="0.5">
      <c r="A54" s="420"/>
      <c r="B54" s="421"/>
      <c r="C54" s="433"/>
      <c r="D54" s="1364" t="s">
        <v>650</v>
      </c>
      <c r="E54" s="1364"/>
      <c r="F54" s="1364"/>
      <c r="G54" s="1364"/>
      <c r="H54" s="1364"/>
      <c r="I54" s="1364"/>
      <c r="J54" s="1364"/>
      <c r="K54" s="1364"/>
      <c r="L54" s="1364"/>
      <c r="M54" s="1364"/>
      <c r="N54" s="422"/>
      <c r="O54" s="422"/>
      <c r="P54" s="422"/>
      <c r="Q54" s="423"/>
    </row>
    <row r="55" spans="1:18" ht="32.25" hidden="1" customHeight="1" x14ac:dyDescent="0.5">
      <c r="A55" s="420"/>
      <c r="B55" s="421"/>
      <c r="C55" s="433"/>
      <c r="D55" s="1364" t="s">
        <v>671</v>
      </c>
      <c r="E55" s="1364"/>
      <c r="F55" s="1364"/>
      <c r="G55" s="1364"/>
      <c r="H55" s="1364"/>
      <c r="I55" s="1364"/>
      <c r="J55" s="1364"/>
      <c r="K55" s="1364"/>
      <c r="L55" s="1364"/>
      <c r="M55" s="1364"/>
      <c r="N55" s="422"/>
      <c r="O55" s="422"/>
      <c r="P55" s="422"/>
      <c r="Q55" s="423"/>
    </row>
    <row r="56" spans="1:18" ht="32.25" hidden="1" customHeight="1" x14ac:dyDescent="0.5">
      <c r="A56" s="420"/>
      <c r="B56" s="421"/>
      <c r="C56" s="433"/>
      <c r="D56" s="1364" t="s">
        <v>651</v>
      </c>
      <c r="E56" s="1364"/>
      <c r="F56" s="1364"/>
      <c r="G56" s="1364"/>
      <c r="H56" s="1364"/>
      <c r="I56" s="1364"/>
      <c r="J56" s="1364"/>
      <c r="K56" s="1364"/>
      <c r="L56" s="1364"/>
      <c r="M56" s="1364"/>
      <c r="N56" s="422"/>
      <c r="O56" s="422"/>
      <c r="P56" s="422"/>
      <c r="Q56" s="423"/>
    </row>
    <row r="57" spans="1:18" hidden="1" x14ac:dyDescent="0.5">
      <c r="D57" s="1373"/>
      <c r="E57" s="1373"/>
      <c r="F57" s="1373"/>
      <c r="G57" s="1373"/>
      <c r="H57" s="1373"/>
      <c r="I57" s="1373"/>
      <c r="J57" s="1373"/>
      <c r="K57" s="1373"/>
      <c r="L57" s="1373"/>
      <c r="M57" s="1373"/>
    </row>
    <row r="58" spans="1:18" hidden="1" x14ac:dyDescent="0.5"/>
    <row r="59" spans="1:18" hidden="1" x14ac:dyDescent="0.5"/>
    <row r="60" spans="1:18" hidden="1" x14ac:dyDescent="0.5"/>
    <row r="61" spans="1:18" hidden="1" x14ac:dyDescent="0.5"/>
    <row r="62" spans="1:18" hidden="1" x14ac:dyDescent="0.5"/>
    <row r="63" spans="1:18" hidden="1" x14ac:dyDescent="0.5"/>
    <row r="64" spans="1:18" hidden="1" x14ac:dyDescent="0.5"/>
    <row r="65" hidden="1" x14ac:dyDescent="0.5"/>
    <row r="66" hidden="1" x14ac:dyDescent="0.5"/>
  </sheetData>
  <mergeCells count="46">
    <mergeCell ref="A24:I24"/>
    <mergeCell ref="J24:K24"/>
    <mergeCell ref="A18:D18"/>
    <mergeCell ref="A19:D19"/>
    <mergeCell ref="A1:Q1"/>
    <mergeCell ref="A2:Q2"/>
    <mergeCell ref="A3:Q3"/>
    <mergeCell ref="A4:Q4"/>
    <mergeCell ref="A5:A6"/>
    <mergeCell ref="C5:D8"/>
    <mergeCell ref="Q5:Q8"/>
    <mergeCell ref="A20:D20"/>
    <mergeCell ref="A21:D21"/>
    <mergeCell ref="A22:D22"/>
    <mergeCell ref="A23:I23"/>
    <mergeCell ref="J23:K23"/>
    <mergeCell ref="A40:D40"/>
    <mergeCell ref="A25:I25"/>
    <mergeCell ref="J25:K25"/>
    <mergeCell ref="A26:I26"/>
    <mergeCell ref="J26:K26"/>
    <mergeCell ref="A27:I27"/>
    <mergeCell ref="J27:K27"/>
    <mergeCell ref="D57:M57"/>
    <mergeCell ref="A47:F47"/>
    <mergeCell ref="A48:D48"/>
    <mergeCell ref="A49:F49"/>
    <mergeCell ref="A50:D50"/>
    <mergeCell ref="A51:F51"/>
    <mergeCell ref="A52:Q52"/>
    <mergeCell ref="E5:O5"/>
    <mergeCell ref="D53:M53"/>
    <mergeCell ref="D54:M54"/>
    <mergeCell ref="D55:M55"/>
    <mergeCell ref="D56:M56"/>
    <mergeCell ref="A41:F41"/>
    <mergeCell ref="A42:D42"/>
    <mergeCell ref="A43:F43"/>
    <mergeCell ref="A44:D44"/>
    <mergeCell ref="A45:F45"/>
    <mergeCell ref="A46:F46"/>
    <mergeCell ref="A28:I28"/>
    <mergeCell ref="J28:K28"/>
    <mergeCell ref="J29:K29"/>
    <mergeCell ref="A38:D38"/>
    <mergeCell ref="A39:F39"/>
  </mergeCells>
  <pageMargins left="0.23622047244094491" right="0" top="0.6692913385826772" bottom="0.43307086614173229" header="0.23622047244094491" footer="0.19685039370078741"/>
  <pageSetup paperSize="9" scale="55" orientation="landscape" r:id="rId1"/>
  <headerFooter alignWithMargins="0">
    <oddHeader>&amp;R&amp;"+,ตัวหนา"&amp;25งบลงทุน</oddHeader>
    <oddFooter>&amp;Lกลุ่มบริหารงานบัญชีและงบประมาณ&amp;Rหน้าที่ &amp;P จาก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</sheetPr>
  <dimension ref="A1:P47"/>
  <sheetViews>
    <sheetView topLeftCell="A22" zoomScale="80" zoomScaleNormal="80" workbookViewId="0">
      <selection activeCell="F52" sqref="F52"/>
    </sheetView>
  </sheetViews>
  <sheetFormatPr defaultRowHeight="26.25" x14ac:dyDescent="0.55000000000000004"/>
  <cols>
    <col min="1" max="1" width="8" style="400" bestFit="1" customWidth="1"/>
    <col min="2" max="2" width="27.28515625" style="374" bestFit="1" customWidth="1"/>
    <col min="3" max="3" width="13.42578125" style="400" bestFit="1" customWidth="1"/>
    <col min="4" max="4" width="14.42578125" style="400" customWidth="1"/>
    <col min="5" max="5" width="19.5703125" style="401" bestFit="1" customWidth="1"/>
    <col min="6" max="6" width="12.42578125" style="400" bestFit="1" customWidth="1"/>
    <col min="7" max="7" width="33.42578125" style="402" customWidth="1"/>
    <col min="8" max="9" width="17.5703125" style="374" bestFit="1" customWidth="1"/>
    <col min="10" max="10" width="17.7109375" style="404" bestFit="1" customWidth="1"/>
    <col min="11" max="11" width="8.7109375" style="399" bestFit="1" customWidth="1"/>
    <col min="12" max="12" width="30.28515625" style="407" customWidth="1"/>
    <col min="13" max="13" width="25" style="374" hidden="1" customWidth="1"/>
    <col min="14" max="15" width="12.28515625" style="374" hidden="1" customWidth="1"/>
    <col min="16" max="16" width="24.7109375" style="374" hidden="1" customWidth="1"/>
    <col min="17" max="261" width="9.140625" style="374"/>
    <col min="262" max="262" width="6.42578125" style="374" bestFit="1" customWidth="1"/>
    <col min="263" max="263" width="32" style="374" bestFit="1" customWidth="1"/>
    <col min="264" max="264" width="14.5703125" style="374" bestFit="1" customWidth="1"/>
    <col min="265" max="265" width="12.42578125" style="374" bestFit="1" customWidth="1"/>
    <col min="266" max="266" width="51.28515625" style="374" bestFit="1" customWidth="1"/>
    <col min="267" max="267" width="14.85546875" style="374" bestFit="1" customWidth="1"/>
    <col min="268" max="268" width="25" style="374" bestFit="1" customWidth="1"/>
    <col min="269" max="270" width="12.28515625" style="374" bestFit="1" customWidth="1"/>
    <col min="271" max="271" width="24.7109375" style="374" bestFit="1" customWidth="1"/>
    <col min="272" max="272" width="15" style="374" bestFit="1" customWidth="1"/>
    <col min="273" max="517" width="9.140625" style="374"/>
    <col min="518" max="518" width="6.42578125" style="374" bestFit="1" customWidth="1"/>
    <col min="519" max="519" width="32" style="374" bestFit="1" customWidth="1"/>
    <col min="520" max="520" width="14.5703125" style="374" bestFit="1" customWidth="1"/>
    <col min="521" max="521" width="12.42578125" style="374" bestFit="1" customWidth="1"/>
    <col min="522" max="522" width="51.28515625" style="374" bestFit="1" customWidth="1"/>
    <col min="523" max="523" width="14.85546875" style="374" bestFit="1" customWidth="1"/>
    <col min="524" max="524" width="25" style="374" bestFit="1" customWidth="1"/>
    <col min="525" max="526" width="12.28515625" style="374" bestFit="1" customWidth="1"/>
    <col min="527" max="527" width="24.7109375" style="374" bestFit="1" customWidth="1"/>
    <col min="528" max="528" width="15" style="374" bestFit="1" customWidth="1"/>
    <col min="529" max="773" width="9.140625" style="374"/>
    <col min="774" max="774" width="6.42578125" style="374" bestFit="1" customWidth="1"/>
    <col min="775" max="775" width="32" style="374" bestFit="1" customWidth="1"/>
    <col min="776" max="776" width="14.5703125" style="374" bestFit="1" customWidth="1"/>
    <col min="777" max="777" width="12.42578125" style="374" bestFit="1" customWidth="1"/>
    <col min="778" max="778" width="51.28515625" style="374" bestFit="1" customWidth="1"/>
    <col min="779" max="779" width="14.85546875" style="374" bestFit="1" customWidth="1"/>
    <col min="780" max="780" width="25" style="374" bestFit="1" customWidth="1"/>
    <col min="781" max="782" width="12.28515625" style="374" bestFit="1" customWidth="1"/>
    <col min="783" max="783" width="24.7109375" style="374" bestFit="1" customWidth="1"/>
    <col min="784" max="784" width="15" style="374" bestFit="1" customWidth="1"/>
    <col min="785" max="1029" width="9.140625" style="374"/>
    <col min="1030" max="1030" width="6.42578125" style="374" bestFit="1" customWidth="1"/>
    <col min="1031" max="1031" width="32" style="374" bestFit="1" customWidth="1"/>
    <col min="1032" max="1032" width="14.5703125" style="374" bestFit="1" customWidth="1"/>
    <col min="1033" max="1033" width="12.42578125" style="374" bestFit="1" customWidth="1"/>
    <col min="1034" max="1034" width="51.28515625" style="374" bestFit="1" customWidth="1"/>
    <col min="1035" max="1035" width="14.85546875" style="374" bestFit="1" customWidth="1"/>
    <col min="1036" max="1036" width="25" style="374" bestFit="1" customWidth="1"/>
    <col min="1037" max="1038" width="12.28515625" style="374" bestFit="1" customWidth="1"/>
    <col min="1039" max="1039" width="24.7109375" style="374" bestFit="1" customWidth="1"/>
    <col min="1040" max="1040" width="15" style="374" bestFit="1" customWidth="1"/>
    <col min="1041" max="1285" width="9.140625" style="374"/>
    <col min="1286" max="1286" width="6.42578125" style="374" bestFit="1" customWidth="1"/>
    <col min="1287" max="1287" width="32" style="374" bestFit="1" customWidth="1"/>
    <col min="1288" max="1288" width="14.5703125" style="374" bestFit="1" customWidth="1"/>
    <col min="1289" max="1289" width="12.42578125" style="374" bestFit="1" customWidth="1"/>
    <col min="1290" max="1290" width="51.28515625" style="374" bestFit="1" customWidth="1"/>
    <col min="1291" max="1291" width="14.85546875" style="374" bestFit="1" customWidth="1"/>
    <col min="1292" max="1292" width="25" style="374" bestFit="1" customWidth="1"/>
    <col min="1293" max="1294" width="12.28515625" style="374" bestFit="1" customWidth="1"/>
    <col min="1295" max="1295" width="24.7109375" style="374" bestFit="1" customWidth="1"/>
    <col min="1296" max="1296" width="15" style="374" bestFit="1" customWidth="1"/>
    <col min="1297" max="1541" width="9.140625" style="374"/>
    <col min="1542" max="1542" width="6.42578125" style="374" bestFit="1" customWidth="1"/>
    <col min="1543" max="1543" width="32" style="374" bestFit="1" customWidth="1"/>
    <col min="1544" max="1544" width="14.5703125" style="374" bestFit="1" customWidth="1"/>
    <col min="1545" max="1545" width="12.42578125" style="374" bestFit="1" customWidth="1"/>
    <col min="1546" max="1546" width="51.28515625" style="374" bestFit="1" customWidth="1"/>
    <col min="1547" max="1547" width="14.85546875" style="374" bestFit="1" customWidth="1"/>
    <col min="1548" max="1548" width="25" style="374" bestFit="1" customWidth="1"/>
    <col min="1549" max="1550" width="12.28515625" style="374" bestFit="1" customWidth="1"/>
    <col min="1551" max="1551" width="24.7109375" style="374" bestFit="1" customWidth="1"/>
    <col min="1552" max="1552" width="15" style="374" bestFit="1" customWidth="1"/>
    <col min="1553" max="1797" width="9.140625" style="374"/>
    <col min="1798" max="1798" width="6.42578125" style="374" bestFit="1" customWidth="1"/>
    <col min="1799" max="1799" width="32" style="374" bestFit="1" customWidth="1"/>
    <col min="1800" max="1800" width="14.5703125" style="374" bestFit="1" customWidth="1"/>
    <col min="1801" max="1801" width="12.42578125" style="374" bestFit="1" customWidth="1"/>
    <col min="1802" max="1802" width="51.28515625" style="374" bestFit="1" customWidth="1"/>
    <col min="1803" max="1803" width="14.85546875" style="374" bestFit="1" customWidth="1"/>
    <col min="1804" max="1804" width="25" style="374" bestFit="1" customWidth="1"/>
    <col min="1805" max="1806" width="12.28515625" style="374" bestFit="1" customWidth="1"/>
    <col min="1807" max="1807" width="24.7109375" style="374" bestFit="1" customWidth="1"/>
    <col min="1808" max="1808" width="15" style="374" bestFit="1" customWidth="1"/>
    <col min="1809" max="2053" width="9.140625" style="374"/>
    <col min="2054" max="2054" width="6.42578125" style="374" bestFit="1" customWidth="1"/>
    <col min="2055" max="2055" width="32" style="374" bestFit="1" customWidth="1"/>
    <col min="2056" max="2056" width="14.5703125" style="374" bestFit="1" customWidth="1"/>
    <col min="2057" max="2057" width="12.42578125" style="374" bestFit="1" customWidth="1"/>
    <col min="2058" max="2058" width="51.28515625" style="374" bestFit="1" customWidth="1"/>
    <col min="2059" max="2059" width="14.85546875" style="374" bestFit="1" customWidth="1"/>
    <col min="2060" max="2060" width="25" style="374" bestFit="1" customWidth="1"/>
    <col min="2061" max="2062" width="12.28515625" style="374" bestFit="1" customWidth="1"/>
    <col min="2063" max="2063" width="24.7109375" style="374" bestFit="1" customWidth="1"/>
    <col min="2064" max="2064" width="15" style="374" bestFit="1" customWidth="1"/>
    <col min="2065" max="2309" width="9.140625" style="374"/>
    <col min="2310" max="2310" width="6.42578125" style="374" bestFit="1" customWidth="1"/>
    <col min="2311" max="2311" width="32" style="374" bestFit="1" customWidth="1"/>
    <col min="2312" max="2312" width="14.5703125" style="374" bestFit="1" customWidth="1"/>
    <col min="2313" max="2313" width="12.42578125" style="374" bestFit="1" customWidth="1"/>
    <col min="2314" max="2314" width="51.28515625" style="374" bestFit="1" customWidth="1"/>
    <col min="2315" max="2315" width="14.85546875" style="374" bestFit="1" customWidth="1"/>
    <col min="2316" max="2316" width="25" style="374" bestFit="1" customWidth="1"/>
    <col min="2317" max="2318" width="12.28515625" style="374" bestFit="1" customWidth="1"/>
    <col min="2319" max="2319" width="24.7109375" style="374" bestFit="1" customWidth="1"/>
    <col min="2320" max="2320" width="15" style="374" bestFit="1" customWidth="1"/>
    <col min="2321" max="2565" width="9.140625" style="374"/>
    <col min="2566" max="2566" width="6.42578125" style="374" bestFit="1" customWidth="1"/>
    <col min="2567" max="2567" width="32" style="374" bestFit="1" customWidth="1"/>
    <col min="2568" max="2568" width="14.5703125" style="374" bestFit="1" customWidth="1"/>
    <col min="2569" max="2569" width="12.42578125" style="374" bestFit="1" customWidth="1"/>
    <col min="2570" max="2570" width="51.28515625" style="374" bestFit="1" customWidth="1"/>
    <col min="2571" max="2571" width="14.85546875" style="374" bestFit="1" customWidth="1"/>
    <col min="2572" max="2572" width="25" style="374" bestFit="1" customWidth="1"/>
    <col min="2573" max="2574" width="12.28515625" style="374" bestFit="1" customWidth="1"/>
    <col min="2575" max="2575" width="24.7109375" style="374" bestFit="1" customWidth="1"/>
    <col min="2576" max="2576" width="15" style="374" bestFit="1" customWidth="1"/>
    <col min="2577" max="2821" width="9.140625" style="374"/>
    <col min="2822" max="2822" width="6.42578125" style="374" bestFit="1" customWidth="1"/>
    <col min="2823" max="2823" width="32" style="374" bestFit="1" customWidth="1"/>
    <col min="2824" max="2824" width="14.5703125" style="374" bestFit="1" customWidth="1"/>
    <col min="2825" max="2825" width="12.42578125" style="374" bestFit="1" customWidth="1"/>
    <col min="2826" max="2826" width="51.28515625" style="374" bestFit="1" customWidth="1"/>
    <col min="2827" max="2827" width="14.85546875" style="374" bestFit="1" customWidth="1"/>
    <col min="2828" max="2828" width="25" style="374" bestFit="1" customWidth="1"/>
    <col min="2829" max="2830" width="12.28515625" style="374" bestFit="1" customWidth="1"/>
    <col min="2831" max="2831" width="24.7109375" style="374" bestFit="1" customWidth="1"/>
    <col min="2832" max="2832" width="15" style="374" bestFit="1" customWidth="1"/>
    <col min="2833" max="3077" width="9.140625" style="374"/>
    <col min="3078" max="3078" width="6.42578125" style="374" bestFit="1" customWidth="1"/>
    <col min="3079" max="3079" width="32" style="374" bestFit="1" customWidth="1"/>
    <col min="3080" max="3080" width="14.5703125" style="374" bestFit="1" customWidth="1"/>
    <col min="3081" max="3081" width="12.42578125" style="374" bestFit="1" customWidth="1"/>
    <col min="3082" max="3082" width="51.28515625" style="374" bestFit="1" customWidth="1"/>
    <col min="3083" max="3083" width="14.85546875" style="374" bestFit="1" customWidth="1"/>
    <col min="3084" max="3084" width="25" style="374" bestFit="1" customWidth="1"/>
    <col min="3085" max="3086" width="12.28515625" style="374" bestFit="1" customWidth="1"/>
    <col min="3087" max="3087" width="24.7109375" style="374" bestFit="1" customWidth="1"/>
    <col min="3088" max="3088" width="15" style="374" bestFit="1" customWidth="1"/>
    <col min="3089" max="3333" width="9.140625" style="374"/>
    <col min="3334" max="3334" width="6.42578125" style="374" bestFit="1" customWidth="1"/>
    <col min="3335" max="3335" width="32" style="374" bestFit="1" customWidth="1"/>
    <col min="3336" max="3336" width="14.5703125" style="374" bestFit="1" customWidth="1"/>
    <col min="3337" max="3337" width="12.42578125" style="374" bestFit="1" customWidth="1"/>
    <col min="3338" max="3338" width="51.28515625" style="374" bestFit="1" customWidth="1"/>
    <col min="3339" max="3339" width="14.85546875" style="374" bestFit="1" customWidth="1"/>
    <col min="3340" max="3340" width="25" style="374" bestFit="1" customWidth="1"/>
    <col min="3341" max="3342" width="12.28515625" style="374" bestFit="1" customWidth="1"/>
    <col min="3343" max="3343" width="24.7109375" style="374" bestFit="1" customWidth="1"/>
    <col min="3344" max="3344" width="15" style="374" bestFit="1" customWidth="1"/>
    <col min="3345" max="3589" width="9.140625" style="374"/>
    <col min="3590" max="3590" width="6.42578125" style="374" bestFit="1" customWidth="1"/>
    <col min="3591" max="3591" width="32" style="374" bestFit="1" customWidth="1"/>
    <col min="3592" max="3592" width="14.5703125" style="374" bestFit="1" customWidth="1"/>
    <col min="3593" max="3593" width="12.42578125" style="374" bestFit="1" customWidth="1"/>
    <col min="3594" max="3594" width="51.28515625" style="374" bestFit="1" customWidth="1"/>
    <col min="3595" max="3595" width="14.85546875" style="374" bestFit="1" customWidth="1"/>
    <col min="3596" max="3596" width="25" style="374" bestFit="1" customWidth="1"/>
    <col min="3597" max="3598" width="12.28515625" style="374" bestFit="1" customWidth="1"/>
    <col min="3599" max="3599" width="24.7109375" style="374" bestFit="1" customWidth="1"/>
    <col min="3600" max="3600" width="15" style="374" bestFit="1" customWidth="1"/>
    <col min="3601" max="3845" width="9.140625" style="374"/>
    <col min="3846" max="3846" width="6.42578125" style="374" bestFit="1" customWidth="1"/>
    <col min="3847" max="3847" width="32" style="374" bestFit="1" customWidth="1"/>
    <col min="3848" max="3848" width="14.5703125" style="374" bestFit="1" customWidth="1"/>
    <col min="3849" max="3849" width="12.42578125" style="374" bestFit="1" customWidth="1"/>
    <col min="3850" max="3850" width="51.28515625" style="374" bestFit="1" customWidth="1"/>
    <col min="3851" max="3851" width="14.85546875" style="374" bestFit="1" customWidth="1"/>
    <col min="3852" max="3852" width="25" style="374" bestFit="1" customWidth="1"/>
    <col min="3853" max="3854" width="12.28515625" style="374" bestFit="1" customWidth="1"/>
    <col min="3855" max="3855" width="24.7109375" style="374" bestFit="1" customWidth="1"/>
    <col min="3856" max="3856" width="15" style="374" bestFit="1" customWidth="1"/>
    <col min="3857" max="4101" width="9.140625" style="374"/>
    <col min="4102" max="4102" width="6.42578125" style="374" bestFit="1" customWidth="1"/>
    <col min="4103" max="4103" width="32" style="374" bestFit="1" customWidth="1"/>
    <col min="4104" max="4104" width="14.5703125" style="374" bestFit="1" customWidth="1"/>
    <col min="4105" max="4105" width="12.42578125" style="374" bestFit="1" customWidth="1"/>
    <col min="4106" max="4106" width="51.28515625" style="374" bestFit="1" customWidth="1"/>
    <col min="4107" max="4107" width="14.85546875" style="374" bestFit="1" customWidth="1"/>
    <col min="4108" max="4108" width="25" style="374" bestFit="1" customWidth="1"/>
    <col min="4109" max="4110" width="12.28515625" style="374" bestFit="1" customWidth="1"/>
    <col min="4111" max="4111" width="24.7109375" style="374" bestFit="1" customWidth="1"/>
    <col min="4112" max="4112" width="15" style="374" bestFit="1" customWidth="1"/>
    <col min="4113" max="4357" width="9.140625" style="374"/>
    <col min="4358" max="4358" width="6.42578125" style="374" bestFit="1" customWidth="1"/>
    <col min="4359" max="4359" width="32" style="374" bestFit="1" customWidth="1"/>
    <col min="4360" max="4360" width="14.5703125" style="374" bestFit="1" customWidth="1"/>
    <col min="4361" max="4361" width="12.42578125" style="374" bestFit="1" customWidth="1"/>
    <col min="4362" max="4362" width="51.28515625" style="374" bestFit="1" customWidth="1"/>
    <col min="4363" max="4363" width="14.85546875" style="374" bestFit="1" customWidth="1"/>
    <col min="4364" max="4364" width="25" style="374" bestFit="1" customWidth="1"/>
    <col min="4365" max="4366" width="12.28515625" style="374" bestFit="1" customWidth="1"/>
    <col min="4367" max="4367" width="24.7109375" style="374" bestFit="1" customWidth="1"/>
    <col min="4368" max="4368" width="15" style="374" bestFit="1" customWidth="1"/>
    <col min="4369" max="4613" width="9.140625" style="374"/>
    <col min="4614" max="4614" width="6.42578125" style="374" bestFit="1" customWidth="1"/>
    <col min="4615" max="4615" width="32" style="374" bestFit="1" customWidth="1"/>
    <col min="4616" max="4616" width="14.5703125" style="374" bestFit="1" customWidth="1"/>
    <col min="4617" max="4617" width="12.42578125" style="374" bestFit="1" customWidth="1"/>
    <col min="4618" max="4618" width="51.28515625" style="374" bestFit="1" customWidth="1"/>
    <col min="4619" max="4619" width="14.85546875" style="374" bestFit="1" customWidth="1"/>
    <col min="4620" max="4620" width="25" style="374" bestFit="1" customWidth="1"/>
    <col min="4621" max="4622" width="12.28515625" style="374" bestFit="1" customWidth="1"/>
    <col min="4623" max="4623" width="24.7109375" style="374" bestFit="1" customWidth="1"/>
    <col min="4624" max="4624" width="15" style="374" bestFit="1" customWidth="1"/>
    <col min="4625" max="4869" width="9.140625" style="374"/>
    <col min="4870" max="4870" width="6.42578125" style="374" bestFit="1" customWidth="1"/>
    <col min="4871" max="4871" width="32" style="374" bestFit="1" customWidth="1"/>
    <col min="4872" max="4872" width="14.5703125" style="374" bestFit="1" customWidth="1"/>
    <col min="4873" max="4873" width="12.42578125" style="374" bestFit="1" customWidth="1"/>
    <col min="4874" max="4874" width="51.28515625" style="374" bestFit="1" customWidth="1"/>
    <col min="4875" max="4875" width="14.85546875" style="374" bestFit="1" customWidth="1"/>
    <col min="4876" max="4876" width="25" style="374" bestFit="1" customWidth="1"/>
    <col min="4877" max="4878" width="12.28515625" style="374" bestFit="1" customWidth="1"/>
    <col min="4879" max="4879" width="24.7109375" style="374" bestFit="1" customWidth="1"/>
    <col min="4880" max="4880" width="15" style="374" bestFit="1" customWidth="1"/>
    <col min="4881" max="5125" width="9.140625" style="374"/>
    <col min="5126" max="5126" width="6.42578125" style="374" bestFit="1" customWidth="1"/>
    <col min="5127" max="5127" width="32" style="374" bestFit="1" customWidth="1"/>
    <col min="5128" max="5128" width="14.5703125" style="374" bestFit="1" customWidth="1"/>
    <col min="5129" max="5129" width="12.42578125" style="374" bestFit="1" customWidth="1"/>
    <col min="5130" max="5130" width="51.28515625" style="374" bestFit="1" customWidth="1"/>
    <col min="5131" max="5131" width="14.85546875" style="374" bestFit="1" customWidth="1"/>
    <col min="5132" max="5132" width="25" style="374" bestFit="1" customWidth="1"/>
    <col min="5133" max="5134" width="12.28515625" style="374" bestFit="1" customWidth="1"/>
    <col min="5135" max="5135" width="24.7109375" style="374" bestFit="1" customWidth="1"/>
    <col min="5136" max="5136" width="15" style="374" bestFit="1" customWidth="1"/>
    <col min="5137" max="5381" width="9.140625" style="374"/>
    <col min="5382" max="5382" width="6.42578125" style="374" bestFit="1" customWidth="1"/>
    <col min="5383" max="5383" width="32" style="374" bestFit="1" customWidth="1"/>
    <col min="5384" max="5384" width="14.5703125" style="374" bestFit="1" customWidth="1"/>
    <col min="5385" max="5385" width="12.42578125" style="374" bestFit="1" customWidth="1"/>
    <col min="5386" max="5386" width="51.28515625" style="374" bestFit="1" customWidth="1"/>
    <col min="5387" max="5387" width="14.85546875" style="374" bestFit="1" customWidth="1"/>
    <col min="5388" max="5388" width="25" style="374" bestFit="1" customWidth="1"/>
    <col min="5389" max="5390" width="12.28515625" style="374" bestFit="1" customWidth="1"/>
    <col min="5391" max="5391" width="24.7109375" style="374" bestFit="1" customWidth="1"/>
    <col min="5392" max="5392" width="15" style="374" bestFit="1" customWidth="1"/>
    <col min="5393" max="5637" width="9.140625" style="374"/>
    <col min="5638" max="5638" width="6.42578125" style="374" bestFit="1" customWidth="1"/>
    <col min="5639" max="5639" width="32" style="374" bestFit="1" customWidth="1"/>
    <col min="5640" max="5640" width="14.5703125" style="374" bestFit="1" customWidth="1"/>
    <col min="5641" max="5641" width="12.42578125" style="374" bestFit="1" customWidth="1"/>
    <col min="5642" max="5642" width="51.28515625" style="374" bestFit="1" customWidth="1"/>
    <col min="5643" max="5643" width="14.85546875" style="374" bestFit="1" customWidth="1"/>
    <col min="5644" max="5644" width="25" style="374" bestFit="1" customWidth="1"/>
    <col min="5645" max="5646" width="12.28515625" style="374" bestFit="1" customWidth="1"/>
    <col min="5647" max="5647" width="24.7109375" style="374" bestFit="1" customWidth="1"/>
    <col min="5648" max="5648" width="15" style="374" bestFit="1" customWidth="1"/>
    <col min="5649" max="5893" width="9.140625" style="374"/>
    <col min="5894" max="5894" width="6.42578125" style="374" bestFit="1" customWidth="1"/>
    <col min="5895" max="5895" width="32" style="374" bestFit="1" customWidth="1"/>
    <col min="5896" max="5896" width="14.5703125" style="374" bestFit="1" customWidth="1"/>
    <col min="5897" max="5897" width="12.42578125" style="374" bestFit="1" customWidth="1"/>
    <col min="5898" max="5898" width="51.28515625" style="374" bestFit="1" customWidth="1"/>
    <col min="5899" max="5899" width="14.85546875" style="374" bestFit="1" customWidth="1"/>
    <col min="5900" max="5900" width="25" style="374" bestFit="1" customWidth="1"/>
    <col min="5901" max="5902" width="12.28515625" style="374" bestFit="1" customWidth="1"/>
    <col min="5903" max="5903" width="24.7109375" style="374" bestFit="1" customWidth="1"/>
    <col min="5904" max="5904" width="15" style="374" bestFit="1" customWidth="1"/>
    <col min="5905" max="6149" width="9.140625" style="374"/>
    <col min="6150" max="6150" width="6.42578125" style="374" bestFit="1" customWidth="1"/>
    <col min="6151" max="6151" width="32" style="374" bestFit="1" customWidth="1"/>
    <col min="6152" max="6152" width="14.5703125" style="374" bestFit="1" customWidth="1"/>
    <col min="6153" max="6153" width="12.42578125" style="374" bestFit="1" customWidth="1"/>
    <col min="6154" max="6154" width="51.28515625" style="374" bestFit="1" customWidth="1"/>
    <col min="6155" max="6155" width="14.85546875" style="374" bestFit="1" customWidth="1"/>
    <col min="6156" max="6156" width="25" style="374" bestFit="1" customWidth="1"/>
    <col min="6157" max="6158" width="12.28515625" style="374" bestFit="1" customWidth="1"/>
    <col min="6159" max="6159" width="24.7109375" style="374" bestFit="1" customWidth="1"/>
    <col min="6160" max="6160" width="15" style="374" bestFit="1" customWidth="1"/>
    <col min="6161" max="6405" width="9.140625" style="374"/>
    <col min="6406" max="6406" width="6.42578125" style="374" bestFit="1" customWidth="1"/>
    <col min="6407" max="6407" width="32" style="374" bestFit="1" customWidth="1"/>
    <col min="6408" max="6408" width="14.5703125" style="374" bestFit="1" customWidth="1"/>
    <col min="6409" max="6409" width="12.42578125" style="374" bestFit="1" customWidth="1"/>
    <col min="6410" max="6410" width="51.28515625" style="374" bestFit="1" customWidth="1"/>
    <col min="6411" max="6411" width="14.85546875" style="374" bestFit="1" customWidth="1"/>
    <col min="6412" max="6412" width="25" style="374" bestFit="1" customWidth="1"/>
    <col min="6413" max="6414" width="12.28515625" style="374" bestFit="1" customWidth="1"/>
    <col min="6415" max="6415" width="24.7109375" style="374" bestFit="1" customWidth="1"/>
    <col min="6416" max="6416" width="15" style="374" bestFit="1" customWidth="1"/>
    <col min="6417" max="6661" width="9.140625" style="374"/>
    <col min="6662" max="6662" width="6.42578125" style="374" bestFit="1" customWidth="1"/>
    <col min="6663" max="6663" width="32" style="374" bestFit="1" customWidth="1"/>
    <col min="6664" max="6664" width="14.5703125" style="374" bestFit="1" customWidth="1"/>
    <col min="6665" max="6665" width="12.42578125" style="374" bestFit="1" customWidth="1"/>
    <col min="6666" max="6666" width="51.28515625" style="374" bestFit="1" customWidth="1"/>
    <col min="6667" max="6667" width="14.85546875" style="374" bestFit="1" customWidth="1"/>
    <col min="6668" max="6668" width="25" style="374" bestFit="1" customWidth="1"/>
    <col min="6669" max="6670" width="12.28515625" style="374" bestFit="1" customWidth="1"/>
    <col min="6671" max="6671" width="24.7109375" style="374" bestFit="1" customWidth="1"/>
    <col min="6672" max="6672" width="15" style="374" bestFit="1" customWidth="1"/>
    <col min="6673" max="6917" width="9.140625" style="374"/>
    <col min="6918" max="6918" width="6.42578125" style="374" bestFit="1" customWidth="1"/>
    <col min="6919" max="6919" width="32" style="374" bestFit="1" customWidth="1"/>
    <col min="6920" max="6920" width="14.5703125" style="374" bestFit="1" customWidth="1"/>
    <col min="6921" max="6921" width="12.42578125" style="374" bestFit="1" customWidth="1"/>
    <col min="6922" max="6922" width="51.28515625" style="374" bestFit="1" customWidth="1"/>
    <col min="6923" max="6923" width="14.85546875" style="374" bestFit="1" customWidth="1"/>
    <col min="6924" max="6924" width="25" style="374" bestFit="1" customWidth="1"/>
    <col min="6925" max="6926" width="12.28515625" style="374" bestFit="1" customWidth="1"/>
    <col min="6927" max="6927" width="24.7109375" style="374" bestFit="1" customWidth="1"/>
    <col min="6928" max="6928" width="15" style="374" bestFit="1" customWidth="1"/>
    <col min="6929" max="7173" width="9.140625" style="374"/>
    <col min="7174" max="7174" width="6.42578125" style="374" bestFit="1" customWidth="1"/>
    <col min="7175" max="7175" width="32" style="374" bestFit="1" customWidth="1"/>
    <col min="7176" max="7176" width="14.5703125" style="374" bestFit="1" customWidth="1"/>
    <col min="7177" max="7177" width="12.42578125" style="374" bestFit="1" customWidth="1"/>
    <col min="7178" max="7178" width="51.28515625" style="374" bestFit="1" customWidth="1"/>
    <col min="7179" max="7179" width="14.85546875" style="374" bestFit="1" customWidth="1"/>
    <col min="7180" max="7180" width="25" style="374" bestFit="1" customWidth="1"/>
    <col min="7181" max="7182" width="12.28515625" style="374" bestFit="1" customWidth="1"/>
    <col min="7183" max="7183" width="24.7109375" style="374" bestFit="1" customWidth="1"/>
    <col min="7184" max="7184" width="15" style="374" bestFit="1" customWidth="1"/>
    <col min="7185" max="7429" width="9.140625" style="374"/>
    <col min="7430" max="7430" width="6.42578125" style="374" bestFit="1" customWidth="1"/>
    <col min="7431" max="7431" width="32" style="374" bestFit="1" customWidth="1"/>
    <col min="7432" max="7432" width="14.5703125" style="374" bestFit="1" customWidth="1"/>
    <col min="7433" max="7433" width="12.42578125" style="374" bestFit="1" customWidth="1"/>
    <col min="7434" max="7434" width="51.28515625" style="374" bestFit="1" customWidth="1"/>
    <col min="7435" max="7435" width="14.85546875" style="374" bestFit="1" customWidth="1"/>
    <col min="7436" max="7436" width="25" style="374" bestFit="1" customWidth="1"/>
    <col min="7437" max="7438" width="12.28515625" style="374" bestFit="1" customWidth="1"/>
    <col min="7439" max="7439" width="24.7109375" style="374" bestFit="1" customWidth="1"/>
    <col min="7440" max="7440" width="15" style="374" bestFit="1" customWidth="1"/>
    <col min="7441" max="7685" width="9.140625" style="374"/>
    <col min="7686" max="7686" width="6.42578125" style="374" bestFit="1" customWidth="1"/>
    <col min="7687" max="7687" width="32" style="374" bestFit="1" customWidth="1"/>
    <col min="7688" max="7688" width="14.5703125" style="374" bestFit="1" customWidth="1"/>
    <col min="7689" max="7689" width="12.42578125" style="374" bestFit="1" customWidth="1"/>
    <col min="7690" max="7690" width="51.28515625" style="374" bestFit="1" customWidth="1"/>
    <col min="7691" max="7691" width="14.85546875" style="374" bestFit="1" customWidth="1"/>
    <col min="7692" max="7692" width="25" style="374" bestFit="1" customWidth="1"/>
    <col min="7693" max="7694" width="12.28515625" style="374" bestFit="1" customWidth="1"/>
    <col min="7695" max="7695" width="24.7109375" style="374" bestFit="1" customWidth="1"/>
    <col min="7696" max="7696" width="15" style="374" bestFit="1" customWidth="1"/>
    <col min="7697" max="7941" width="9.140625" style="374"/>
    <col min="7942" max="7942" width="6.42578125" style="374" bestFit="1" customWidth="1"/>
    <col min="7943" max="7943" width="32" style="374" bestFit="1" customWidth="1"/>
    <col min="7944" max="7944" width="14.5703125" style="374" bestFit="1" customWidth="1"/>
    <col min="7945" max="7945" width="12.42578125" style="374" bestFit="1" customWidth="1"/>
    <col min="7946" max="7946" width="51.28515625" style="374" bestFit="1" customWidth="1"/>
    <col min="7947" max="7947" width="14.85546875" style="374" bestFit="1" customWidth="1"/>
    <col min="7948" max="7948" width="25" style="374" bestFit="1" customWidth="1"/>
    <col min="7949" max="7950" width="12.28515625" style="374" bestFit="1" customWidth="1"/>
    <col min="7951" max="7951" width="24.7109375" style="374" bestFit="1" customWidth="1"/>
    <col min="7952" max="7952" width="15" style="374" bestFit="1" customWidth="1"/>
    <col min="7953" max="8197" width="9.140625" style="374"/>
    <col min="8198" max="8198" width="6.42578125" style="374" bestFit="1" customWidth="1"/>
    <col min="8199" max="8199" width="32" style="374" bestFit="1" customWidth="1"/>
    <col min="8200" max="8200" width="14.5703125" style="374" bestFit="1" customWidth="1"/>
    <col min="8201" max="8201" width="12.42578125" style="374" bestFit="1" customWidth="1"/>
    <col min="8202" max="8202" width="51.28515625" style="374" bestFit="1" customWidth="1"/>
    <col min="8203" max="8203" width="14.85546875" style="374" bestFit="1" customWidth="1"/>
    <col min="8204" max="8204" width="25" style="374" bestFit="1" customWidth="1"/>
    <col min="8205" max="8206" width="12.28515625" style="374" bestFit="1" customWidth="1"/>
    <col min="8207" max="8207" width="24.7109375" style="374" bestFit="1" customWidth="1"/>
    <col min="8208" max="8208" width="15" style="374" bestFit="1" customWidth="1"/>
    <col min="8209" max="8453" width="9.140625" style="374"/>
    <col min="8454" max="8454" width="6.42578125" style="374" bestFit="1" customWidth="1"/>
    <col min="8455" max="8455" width="32" style="374" bestFit="1" customWidth="1"/>
    <col min="8456" max="8456" width="14.5703125" style="374" bestFit="1" customWidth="1"/>
    <col min="8457" max="8457" width="12.42578125" style="374" bestFit="1" customWidth="1"/>
    <col min="8458" max="8458" width="51.28515625" style="374" bestFit="1" customWidth="1"/>
    <col min="8459" max="8459" width="14.85546875" style="374" bestFit="1" customWidth="1"/>
    <col min="8460" max="8460" width="25" style="374" bestFit="1" customWidth="1"/>
    <col min="8461" max="8462" width="12.28515625" style="374" bestFit="1" customWidth="1"/>
    <col min="8463" max="8463" width="24.7109375" style="374" bestFit="1" customWidth="1"/>
    <col min="8464" max="8464" width="15" style="374" bestFit="1" customWidth="1"/>
    <col min="8465" max="8709" width="9.140625" style="374"/>
    <col min="8710" max="8710" width="6.42578125" style="374" bestFit="1" customWidth="1"/>
    <col min="8711" max="8711" width="32" style="374" bestFit="1" customWidth="1"/>
    <col min="8712" max="8712" width="14.5703125" style="374" bestFit="1" customWidth="1"/>
    <col min="8713" max="8713" width="12.42578125" style="374" bestFit="1" customWidth="1"/>
    <col min="8714" max="8714" width="51.28515625" style="374" bestFit="1" customWidth="1"/>
    <col min="8715" max="8715" width="14.85546875" style="374" bestFit="1" customWidth="1"/>
    <col min="8716" max="8716" width="25" style="374" bestFit="1" customWidth="1"/>
    <col min="8717" max="8718" width="12.28515625" style="374" bestFit="1" customWidth="1"/>
    <col min="8719" max="8719" width="24.7109375" style="374" bestFit="1" customWidth="1"/>
    <col min="8720" max="8720" width="15" style="374" bestFit="1" customWidth="1"/>
    <col min="8721" max="8965" width="9.140625" style="374"/>
    <col min="8966" max="8966" width="6.42578125" style="374" bestFit="1" customWidth="1"/>
    <col min="8967" max="8967" width="32" style="374" bestFit="1" customWidth="1"/>
    <col min="8968" max="8968" width="14.5703125" style="374" bestFit="1" customWidth="1"/>
    <col min="8969" max="8969" width="12.42578125" style="374" bestFit="1" customWidth="1"/>
    <col min="8970" max="8970" width="51.28515625" style="374" bestFit="1" customWidth="1"/>
    <col min="8971" max="8971" width="14.85546875" style="374" bestFit="1" customWidth="1"/>
    <col min="8972" max="8972" width="25" style="374" bestFit="1" customWidth="1"/>
    <col min="8973" max="8974" width="12.28515625" style="374" bestFit="1" customWidth="1"/>
    <col min="8975" max="8975" width="24.7109375" style="374" bestFit="1" customWidth="1"/>
    <col min="8976" max="8976" width="15" style="374" bestFit="1" customWidth="1"/>
    <col min="8977" max="9221" width="9.140625" style="374"/>
    <col min="9222" max="9222" width="6.42578125" style="374" bestFit="1" customWidth="1"/>
    <col min="9223" max="9223" width="32" style="374" bestFit="1" customWidth="1"/>
    <col min="9224" max="9224" width="14.5703125" style="374" bestFit="1" customWidth="1"/>
    <col min="9225" max="9225" width="12.42578125" style="374" bestFit="1" customWidth="1"/>
    <col min="9226" max="9226" width="51.28515625" style="374" bestFit="1" customWidth="1"/>
    <col min="9227" max="9227" width="14.85546875" style="374" bestFit="1" customWidth="1"/>
    <col min="9228" max="9228" width="25" style="374" bestFit="1" customWidth="1"/>
    <col min="9229" max="9230" width="12.28515625" style="374" bestFit="1" customWidth="1"/>
    <col min="9231" max="9231" width="24.7109375" style="374" bestFit="1" customWidth="1"/>
    <col min="9232" max="9232" width="15" style="374" bestFit="1" customWidth="1"/>
    <col min="9233" max="9477" width="9.140625" style="374"/>
    <col min="9478" max="9478" width="6.42578125" style="374" bestFit="1" customWidth="1"/>
    <col min="9479" max="9479" width="32" style="374" bestFit="1" customWidth="1"/>
    <col min="9480" max="9480" width="14.5703125" style="374" bestFit="1" customWidth="1"/>
    <col min="9481" max="9481" width="12.42578125" style="374" bestFit="1" customWidth="1"/>
    <col min="9482" max="9482" width="51.28515625" style="374" bestFit="1" customWidth="1"/>
    <col min="9483" max="9483" width="14.85546875" style="374" bestFit="1" customWidth="1"/>
    <col min="9484" max="9484" width="25" style="374" bestFit="1" customWidth="1"/>
    <col min="9485" max="9486" width="12.28515625" style="374" bestFit="1" customWidth="1"/>
    <col min="9487" max="9487" width="24.7109375" style="374" bestFit="1" customWidth="1"/>
    <col min="9488" max="9488" width="15" style="374" bestFit="1" customWidth="1"/>
    <col min="9489" max="9733" width="9.140625" style="374"/>
    <col min="9734" max="9734" width="6.42578125" style="374" bestFit="1" customWidth="1"/>
    <col min="9735" max="9735" width="32" style="374" bestFit="1" customWidth="1"/>
    <col min="9736" max="9736" width="14.5703125" style="374" bestFit="1" customWidth="1"/>
    <col min="9737" max="9737" width="12.42578125" style="374" bestFit="1" customWidth="1"/>
    <col min="9738" max="9738" width="51.28515625" style="374" bestFit="1" customWidth="1"/>
    <col min="9739" max="9739" width="14.85546875" style="374" bestFit="1" customWidth="1"/>
    <col min="9740" max="9740" width="25" style="374" bestFit="1" customWidth="1"/>
    <col min="9741" max="9742" width="12.28515625" style="374" bestFit="1" customWidth="1"/>
    <col min="9743" max="9743" width="24.7109375" style="374" bestFit="1" customWidth="1"/>
    <col min="9744" max="9744" width="15" style="374" bestFit="1" customWidth="1"/>
    <col min="9745" max="9989" width="9.140625" style="374"/>
    <col min="9990" max="9990" width="6.42578125" style="374" bestFit="1" customWidth="1"/>
    <col min="9991" max="9991" width="32" style="374" bestFit="1" customWidth="1"/>
    <col min="9992" max="9992" width="14.5703125" style="374" bestFit="1" customWidth="1"/>
    <col min="9993" max="9993" width="12.42578125" style="374" bestFit="1" customWidth="1"/>
    <col min="9994" max="9994" width="51.28515625" style="374" bestFit="1" customWidth="1"/>
    <col min="9995" max="9995" width="14.85546875" style="374" bestFit="1" customWidth="1"/>
    <col min="9996" max="9996" width="25" style="374" bestFit="1" customWidth="1"/>
    <col min="9997" max="9998" width="12.28515625" style="374" bestFit="1" customWidth="1"/>
    <col min="9999" max="9999" width="24.7109375" style="374" bestFit="1" customWidth="1"/>
    <col min="10000" max="10000" width="15" style="374" bestFit="1" customWidth="1"/>
    <col min="10001" max="10245" width="9.140625" style="374"/>
    <col min="10246" max="10246" width="6.42578125" style="374" bestFit="1" customWidth="1"/>
    <col min="10247" max="10247" width="32" style="374" bestFit="1" customWidth="1"/>
    <col min="10248" max="10248" width="14.5703125" style="374" bestFit="1" customWidth="1"/>
    <col min="10249" max="10249" width="12.42578125" style="374" bestFit="1" customWidth="1"/>
    <col min="10250" max="10250" width="51.28515625" style="374" bestFit="1" customWidth="1"/>
    <col min="10251" max="10251" width="14.85546875" style="374" bestFit="1" customWidth="1"/>
    <col min="10252" max="10252" width="25" style="374" bestFit="1" customWidth="1"/>
    <col min="10253" max="10254" width="12.28515625" style="374" bestFit="1" customWidth="1"/>
    <col min="10255" max="10255" width="24.7109375" style="374" bestFit="1" customWidth="1"/>
    <col min="10256" max="10256" width="15" style="374" bestFit="1" customWidth="1"/>
    <col min="10257" max="10501" width="9.140625" style="374"/>
    <col min="10502" max="10502" width="6.42578125" style="374" bestFit="1" customWidth="1"/>
    <col min="10503" max="10503" width="32" style="374" bestFit="1" customWidth="1"/>
    <col min="10504" max="10504" width="14.5703125" style="374" bestFit="1" customWidth="1"/>
    <col min="10505" max="10505" width="12.42578125" style="374" bestFit="1" customWidth="1"/>
    <col min="10506" max="10506" width="51.28515625" style="374" bestFit="1" customWidth="1"/>
    <col min="10507" max="10507" width="14.85546875" style="374" bestFit="1" customWidth="1"/>
    <col min="10508" max="10508" width="25" style="374" bestFit="1" customWidth="1"/>
    <col min="10509" max="10510" width="12.28515625" style="374" bestFit="1" customWidth="1"/>
    <col min="10511" max="10511" width="24.7109375" style="374" bestFit="1" customWidth="1"/>
    <col min="10512" max="10512" width="15" style="374" bestFit="1" customWidth="1"/>
    <col min="10513" max="10757" width="9.140625" style="374"/>
    <col min="10758" max="10758" width="6.42578125" style="374" bestFit="1" customWidth="1"/>
    <col min="10759" max="10759" width="32" style="374" bestFit="1" customWidth="1"/>
    <col min="10760" max="10760" width="14.5703125" style="374" bestFit="1" customWidth="1"/>
    <col min="10761" max="10761" width="12.42578125" style="374" bestFit="1" customWidth="1"/>
    <col min="10762" max="10762" width="51.28515625" style="374" bestFit="1" customWidth="1"/>
    <col min="10763" max="10763" width="14.85546875" style="374" bestFit="1" customWidth="1"/>
    <col min="10764" max="10764" width="25" style="374" bestFit="1" customWidth="1"/>
    <col min="10765" max="10766" width="12.28515625" style="374" bestFit="1" customWidth="1"/>
    <col min="10767" max="10767" width="24.7109375" style="374" bestFit="1" customWidth="1"/>
    <col min="10768" max="10768" width="15" style="374" bestFit="1" customWidth="1"/>
    <col min="10769" max="11013" width="9.140625" style="374"/>
    <col min="11014" max="11014" width="6.42578125" style="374" bestFit="1" customWidth="1"/>
    <col min="11015" max="11015" width="32" style="374" bestFit="1" customWidth="1"/>
    <col min="11016" max="11016" width="14.5703125" style="374" bestFit="1" customWidth="1"/>
    <col min="11017" max="11017" width="12.42578125" style="374" bestFit="1" customWidth="1"/>
    <col min="11018" max="11018" width="51.28515625" style="374" bestFit="1" customWidth="1"/>
    <col min="11019" max="11019" width="14.85546875" style="374" bestFit="1" customWidth="1"/>
    <col min="11020" max="11020" width="25" style="374" bestFit="1" customWidth="1"/>
    <col min="11021" max="11022" width="12.28515625" style="374" bestFit="1" customWidth="1"/>
    <col min="11023" max="11023" width="24.7109375" style="374" bestFit="1" customWidth="1"/>
    <col min="11024" max="11024" width="15" style="374" bestFit="1" customWidth="1"/>
    <col min="11025" max="11269" width="9.140625" style="374"/>
    <col min="11270" max="11270" width="6.42578125" style="374" bestFit="1" customWidth="1"/>
    <col min="11271" max="11271" width="32" style="374" bestFit="1" customWidth="1"/>
    <col min="11272" max="11272" width="14.5703125" style="374" bestFit="1" customWidth="1"/>
    <col min="11273" max="11273" width="12.42578125" style="374" bestFit="1" customWidth="1"/>
    <col min="11274" max="11274" width="51.28515625" style="374" bestFit="1" customWidth="1"/>
    <col min="11275" max="11275" width="14.85546875" style="374" bestFit="1" customWidth="1"/>
    <col min="11276" max="11276" width="25" style="374" bestFit="1" customWidth="1"/>
    <col min="11277" max="11278" width="12.28515625" style="374" bestFit="1" customWidth="1"/>
    <col min="11279" max="11279" width="24.7109375" style="374" bestFit="1" customWidth="1"/>
    <col min="11280" max="11280" width="15" style="374" bestFit="1" customWidth="1"/>
    <col min="11281" max="11525" width="9.140625" style="374"/>
    <col min="11526" max="11526" width="6.42578125" style="374" bestFit="1" customWidth="1"/>
    <col min="11527" max="11527" width="32" style="374" bestFit="1" customWidth="1"/>
    <col min="11528" max="11528" width="14.5703125" style="374" bestFit="1" customWidth="1"/>
    <col min="11529" max="11529" width="12.42578125" style="374" bestFit="1" customWidth="1"/>
    <col min="11530" max="11530" width="51.28515625" style="374" bestFit="1" customWidth="1"/>
    <col min="11531" max="11531" width="14.85546875" style="374" bestFit="1" customWidth="1"/>
    <col min="11532" max="11532" width="25" style="374" bestFit="1" customWidth="1"/>
    <col min="11533" max="11534" width="12.28515625" style="374" bestFit="1" customWidth="1"/>
    <col min="11535" max="11535" width="24.7109375" style="374" bestFit="1" customWidth="1"/>
    <col min="11536" max="11536" width="15" style="374" bestFit="1" customWidth="1"/>
    <col min="11537" max="11781" width="9.140625" style="374"/>
    <col min="11782" max="11782" width="6.42578125" style="374" bestFit="1" customWidth="1"/>
    <col min="11783" max="11783" width="32" style="374" bestFit="1" customWidth="1"/>
    <col min="11784" max="11784" width="14.5703125" style="374" bestFit="1" customWidth="1"/>
    <col min="11785" max="11785" width="12.42578125" style="374" bestFit="1" customWidth="1"/>
    <col min="11786" max="11786" width="51.28515625" style="374" bestFit="1" customWidth="1"/>
    <col min="11787" max="11787" width="14.85546875" style="374" bestFit="1" customWidth="1"/>
    <col min="11788" max="11788" width="25" style="374" bestFit="1" customWidth="1"/>
    <col min="11789" max="11790" width="12.28515625" style="374" bestFit="1" customWidth="1"/>
    <col min="11791" max="11791" width="24.7109375" style="374" bestFit="1" customWidth="1"/>
    <col min="11792" max="11792" width="15" style="374" bestFit="1" customWidth="1"/>
    <col min="11793" max="12037" width="9.140625" style="374"/>
    <col min="12038" max="12038" width="6.42578125" style="374" bestFit="1" customWidth="1"/>
    <col min="12039" max="12039" width="32" style="374" bestFit="1" customWidth="1"/>
    <col min="12040" max="12040" width="14.5703125" style="374" bestFit="1" customWidth="1"/>
    <col min="12041" max="12041" width="12.42578125" style="374" bestFit="1" customWidth="1"/>
    <col min="12042" max="12042" width="51.28515625" style="374" bestFit="1" customWidth="1"/>
    <col min="12043" max="12043" width="14.85546875" style="374" bestFit="1" customWidth="1"/>
    <col min="12044" max="12044" width="25" style="374" bestFit="1" customWidth="1"/>
    <col min="12045" max="12046" width="12.28515625" style="374" bestFit="1" customWidth="1"/>
    <col min="12047" max="12047" width="24.7109375" style="374" bestFit="1" customWidth="1"/>
    <col min="12048" max="12048" width="15" style="374" bestFit="1" customWidth="1"/>
    <col min="12049" max="12293" width="9.140625" style="374"/>
    <col min="12294" max="12294" width="6.42578125" style="374" bestFit="1" customWidth="1"/>
    <col min="12295" max="12295" width="32" style="374" bestFit="1" customWidth="1"/>
    <col min="12296" max="12296" width="14.5703125" style="374" bestFit="1" customWidth="1"/>
    <col min="12297" max="12297" width="12.42578125" style="374" bestFit="1" customWidth="1"/>
    <col min="12298" max="12298" width="51.28515625" style="374" bestFit="1" customWidth="1"/>
    <col min="12299" max="12299" width="14.85546875" style="374" bestFit="1" customWidth="1"/>
    <col min="12300" max="12300" width="25" style="374" bestFit="1" customWidth="1"/>
    <col min="12301" max="12302" width="12.28515625" style="374" bestFit="1" customWidth="1"/>
    <col min="12303" max="12303" width="24.7109375" style="374" bestFit="1" customWidth="1"/>
    <col min="12304" max="12304" width="15" style="374" bestFit="1" customWidth="1"/>
    <col min="12305" max="12549" width="9.140625" style="374"/>
    <col min="12550" max="12550" width="6.42578125" style="374" bestFit="1" customWidth="1"/>
    <col min="12551" max="12551" width="32" style="374" bestFit="1" customWidth="1"/>
    <col min="12552" max="12552" width="14.5703125" style="374" bestFit="1" customWidth="1"/>
    <col min="12553" max="12553" width="12.42578125" style="374" bestFit="1" customWidth="1"/>
    <col min="12554" max="12554" width="51.28515625" style="374" bestFit="1" customWidth="1"/>
    <col min="12555" max="12555" width="14.85546875" style="374" bestFit="1" customWidth="1"/>
    <col min="12556" max="12556" width="25" style="374" bestFit="1" customWidth="1"/>
    <col min="12557" max="12558" width="12.28515625" style="374" bestFit="1" customWidth="1"/>
    <col min="12559" max="12559" width="24.7109375" style="374" bestFit="1" customWidth="1"/>
    <col min="12560" max="12560" width="15" style="374" bestFit="1" customWidth="1"/>
    <col min="12561" max="12805" width="9.140625" style="374"/>
    <col min="12806" max="12806" width="6.42578125" style="374" bestFit="1" customWidth="1"/>
    <col min="12807" max="12807" width="32" style="374" bestFit="1" customWidth="1"/>
    <col min="12808" max="12808" width="14.5703125" style="374" bestFit="1" customWidth="1"/>
    <col min="12809" max="12809" width="12.42578125" style="374" bestFit="1" customWidth="1"/>
    <col min="12810" max="12810" width="51.28515625" style="374" bestFit="1" customWidth="1"/>
    <col min="12811" max="12811" width="14.85546875" style="374" bestFit="1" customWidth="1"/>
    <col min="12812" max="12812" width="25" style="374" bestFit="1" customWidth="1"/>
    <col min="12813" max="12814" width="12.28515625" style="374" bestFit="1" customWidth="1"/>
    <col min="12815" max="12815" width="24.7109375" style="374" bestFit="1" customWidth="1"/>
    <col min="12816" max="12816" width="15" style="374" bestFit="1" customWidth="1"/>
    <col min="12817" max="13061" width="9.140625" style="374"/>
    <col min="13062" max="13062" width="6.42578125" style="374" bestFit="1" customWidth="1"/>
    <col min="13063" max="13063" width="32" style="374" bestFit="1" customWidth="1"/>
    <col min="13064" max="13064" width="14.5703125" style="374" bestFit="1" customWidth="1"/>
    <col min="13065" max="13065" width="12.42578125" style="374" bestFit="1" customWidth="1"/>
    <col min="13066" max="13066" width="51.28515625" style="374" bestFit="1" customWidth="1"/>
    <col min="13067" max="13067" width="14.85546875" style="374" bestFit="1" customWidth="1"/>
    <col min="13068" max="13068" width="25" style="374" bestFit="1" customWidth="1"/>
    <col min="13069" max="13070" width="12.28515625" style="374" bestFit="1" customWidth="1"/>
    <col min="13071" max="13071" width="24.7109375" style="374" bestFit="1" customWidth="1"/>
    <col min="13072" max="13072" width="15" style="374" bestFit="1" customWidth="1"/>
    <col min="13073" max="13317" width="9.140625" style="374"/>
    <col min="13318" max="13318" width="6.42578125" style="374" bestFit="1" customWidth="1"/>
    <col min="13319" max="13319" width="32" style="374" bestFit="1" customWidth="1"/>
    <col min="13320" max="13320" width="14.5703125" style="374" bestFit="1" customWidth="1"/>
    <col min="13321" max="13321" width="12.42578125" style="374" bestFit="1" customWidth="1"/>
    <col min="13322" max="13322" width="51.28515625" style="374" bestFit="1" customWidth="1"/>
    <col min="13323" max="13323" width="14.85546875" style="374" bestFit="1" customWidth="1"/>
    <col min="13324" max="13324" width="25" style="374" bestFit="1" customWidth="1"/>
    <col min="13325" max="13326" width="12.28515625" style="374" bestFit="1" customWidth="1"/>
    <col min="13327" max="13327" width="24.7109375" style="374" bestFit="1" customWidth="1"/>
    <col min="13328" max="13328" width="15" style="374" bestFit="1" customWidth="1"/>
    <col min="13329" max="13573" width="9.140625" style="374"/>
    <col min="13574" max="13574" width="6.42578125" style="374" bestFit="1" customWidth="1"/>
    <col min="13575" max="13575" width="32" style="374" bestFit="1" customWidth="1"/>
    <col min="13576" max="13576" width="14.5703125" style="374" bestFit="1" customWidth="1"/>
    <col min="13577" max="13577" width="12.42578125" style="374" bestFit="1" customWidth="1"/>
    <col min="13578" max="13578" width="51.28515625" style="374" bestFit="1" customWidth="1"/>
    <col min="13579" max="13579" width="14.85546875" style="374" bestFit="1" customWidth="1"/>
    <col min="13580" max="13580" width="25" style="374" bestFit="1" customWidth="1"/>
    <col min="13581" max="13582" width="12.28515625" style="374" bestFit="1" customWidth="1"/>
    <col min="13583" max="13583" width="24.7109375" style="374" bestFit="1" customWidth="1"/>
    <col min="13584" max="13584" width="15" style="374" bestFit="1" customWidth="1"/>
    <col min="13585" max="13829" width="9.140625" style="374"/>
    <col min="13830" max="13830" width="6.42578125" style="374" bestFit="1" customWidth="1"/>
    <col min="13831" max="13831" width="32" style="374" bestFit="1" customWidth="1"/>
    <col min="13832" max="13832" width="14.5703125" style="374" bestFit="1" customWidth="1"/>
    <col min="13833" max="13833" width="12.42578125" style="374" bestFit="1" customWidth="1"/>
    <col min="13834" max="13834" width="51.28515625" style="374" bestFit="1" customWidth="1"/>
    <col min="13835" max="13835" width="14.85546875" style="374" bestFit="1" customWidth="1"/>
    <col min="13836" max="13836" width="25" style="374" bestFit="1" customWidth="1"/>
    <col min="13837" max="13838" width="12.28515625" style="374" bestFit="1" customWidth="1"/>
    <col min="13839" max="13839" width="24.7109375" style="374" bestFit="1" customWidth="1"/>
    <col min="13840" max="13840" width="15" style="374" bestFit="1" customWidth="1"/>
    <col min="13841" max="14085" width="9.140625" style="374"/>
    <col min="14086" max="14086" width="6.42578125" style="374" bestFit="1" customWidth="1"/>
    <col min="14087" max="14087" width="32" style="374" bestFit="1" customWidth="1"/>
    <col min="14088" max="14088" width="14.5703125" style="374" bestFit="1" customWidth="1"/>
    <col min="14089" max="14089" width="12.42578125" style="374" bestFit="1" customWidth="1"/>
    <col min="14090" max="14090" width="51.28515625" style="374" bestFit="1" customWidth="1"/>
    <col min="14091" max="14091" width="14.85546875" style="374" bestFit="1" customWidth="1"/>
    <col min="14092" max="14092" width="25" style="374" bestFit="1" customWidth="1"/>
    <col min="14093" max="14094" width="12.28515625" style="374" bestFit="1" customWidth="1"/>
    <col min="14095" max="14095" width="24.7109375" style="374" bestFit="1" customWidth="1"/>
    <col min="14096" max="14096" width="15" style="374" bestFit="1" customWidth="1"/>
    <col min="14097" max="14341" width="9.140625" style="374"/>
    <col min="14342" max="14342" width="6.42578125" style="374" bestFit="1" customWidth="1"/>
    <col min="14343" max="14343" width="32" style="374" bestFit="1" customWidth="1"/>
    <col min="14344" max="14344" width="14.5703125" style="374" bestFit="1" customWidth="1"/>
    <col min="14345" max="14345" width="12.42578125" style="374" bestFit="1" customWidth="1"/>
    <col min="14346" max="14346" width="51.28515625" style="374" bestFit="1" customWidth="1"/>
    <col min="14347" max="14347" width="14.85546875" style="374" bestFit="1" customWidth="1"/>
    <col min="14348" max="14348" width="25" style="374" bestFit="1" customWidth="1"/>
    <col min="14349" max="14350" width="12.28515625" style="374" bestFit="1" customWidth="1"/>
    <col min="14351" max="14351" width="24.7109375" style="374" bestFit="1" customWidth="1"/>
    <col min="14352" max="14352" width="15" style="374" bestFit="1" customWidth="1"/>
    <col min="14353" max="14597" width="9.140625" style="374"/>
    <col min="14598" max="14598" width="6.42578125" style="374" bestFit="1" customWidth="1"/>
    <col min="14599" max="14599" width="32" style="374" bestFit="1" customWidth="1"/>
    <col min="14600" max="14600" width="14.5703125" style="374" bestFit="1" customWidth="1"/>
    <col min="14601" max="14601" width="12.42578125" style="374" bestFit="1" customWidth="1"/>
    <col min="14602" max="14602" width="51.28515625" style="374" bestFit="1" customWidth="1"/>
    <col min="14603" max="14603" width="14.85546875" style="374" bestFit="1" customWidth="1"/>
    <col min="14604" max="14604" width="25" style="374" bestFit="1" customWidth="1"/>
    <col min="14605" max="14606" width="12.28515625" style="374" bestFit="1" customWidth="1"/>
    <col min="14607" max="14607" width="24.7109375" style="374" bestFit="1" customWidth="1"/>
    <col min="14608" max="14608" width="15" style="374" bestFit="1" customWidth="1"/>
    <col min="14609" max="14853" width="9.140625" style="374"/>
    <col min="14854" max="14854" width="6.42578125" style="374" bestFit="1" customWidth="1"/>
    <col min="14855" max="14855" width="32" style="374" bestFit="1" customWidth="1"/>
    <col min="14856" max="14856" width="14.5703125" style="374" bestFit="1" customWidth="1"/>
    <col min="14857" max="14857" width="12.42578125" style="374" bestFit="1" customWidth="1"/>
    <col min="14858" max="14858" width="51.28515625" style="374" bestFit="1" customWidth="1"/>
    <col min="14859" max="14859" width="14.85546875" style="374" bestFit="1" customWidth="1"/>
    <col min="14860" max="14860" width="25" style="374" bestFit="1" customWidth="1"/>
    <col min="14861" max="14862" width="12.28515625" style="374" bestFit="1" customWidth="1"/>
    <col min="14863" max="14863" width="24.7109375" style="374" bestFit="1" customWidth="1"/>
    <col min="14864" max="14864" width="15" style="374" bestFit="1" customWidth="1"/>
    <col min="14865" max="15109" width="9.140625" style="374"/>
    <col min="15110" max="15110" width="6.42578125" style="374" bestFit="1" customWidth="1"/>
    <col min="15111" max="15111" width="32" style="374" bestFit="1" customWidth="1"/>
    <col min="15112" max="15112" width="14.5703125" style="374" bestFit="1" customWidth="1"/>
    <col min="15113" max="15113" width="12.42578125" style="374" bestFit="1" customWidth="1"/>
    <col min="15114" max="15114" width="51.28515625" style="374" bestFit="1" customWidth="1"/>
    <col min="15115" max="15115" width="14.85546875" style="374" bestFit="1" customWidth="1"/>
    <col min="15116" max="15116" width="25" style="374" bestFit="1" customWidth="1"/>
    <col min="15117" max="15118" width="12.28515625" style="374" bestFit="1" customWidth="1"/>
    <col min="15119" max="15119" width="24.7109375" style="374" bestFit="1" customWidth="1"/>
    <col min="15120" max="15120" width="15" style="374" bestFit="1" customWidth="1"/>
    <col min="15121" max="15365" width="9.140625" style="374"/>
    <col min="15366" max="15366" width="6.42578125" style="374" bestFit="1" customWidth="1"/>
    <col min="15367" max="15367" width="32" style="374" bestFit="1" customWidth="1"/>
    <col min="15368" max="15368" width="14.5703125" style="374" bestFit="1" customWidth="1"/>
    <col min="15369" max="15369" width="12.42578125" style="374" bestFit="1" customWidth="1"/>
    <col min="15370" max="15370" width="51.28515625" style="374" bestFit="1" customWidth="1"/>
    <col min="15371" max="15371" width="14.85546875" style="374" bestFit="1" customWidth="1"/>
    <col min="15372" max="15372" width="25" style="374" bestFit="1" customWidth="1"/>
    <col min="15373" max="15374" width="12.28515625" style="374" bestFit="1" customWidth="1"/>
    <col min="15375" max="15375" width="24.7109375" style="374" bestFit="1" customWidth="1"/>
    <col min="15376" max="15376" width="15" style="374" bestFit="1" customWidth="1"/>
    <col min="15377" max="15621" width="9.140625" style="374"/>
    <col min="15622" max="15622" width="6.42578125" style="374" bestFit="1" customWidth="1"/>
    <col min="15623" max="15623" width="32" style="374" bestFit="1" customWidth="1"/>
    <col min="15624" max="15624" width="14.5703125" style="374" bestFit="1" customWidth="1"/>
    <col min="15625" max="15625" width="12.42578125" style="374" bestFit="1" customWidth="1"/>
    <col min="15626" max="15626" width="51.28515625" style="374" bestFit="1" customWidth="1"/>
    <col min="15627" max="15627" width="14.85546875" style="374" bestFit="1" customWidth="1"/>
    <col min="15628" max="15628" width="25" style="374" bestFit="1" customWidth="1"/>
    <col min="15629" max="15630" width="12.28515625" style="374" bestFit="1" customWidth="1"/>
    <col min="15631" max="15631" width="24.7109375" style="374" bestFit="1" customWidth="1"/>
    <col min="15632" max="15632" width="15" style="374" bestFit="1" customWidth="1"/>
    <col min="15633" max="15877" width="9.140625" style="374"/>
    <col min="15878" max="15878" width="6.42578125" style="374" bestFit="1" customWidth="1"/>
    <col min="15879" max="15879" width="32" style="374" bestFit="1" customWidth="1"/>
    <col min="15880" max="15880" width="14.5703125" style="374" bestFit="1" customWidth="1"/>
    <col min="15881" max="15881" width="12.42578125" style="374" bestFit="1" customWidth="1"/>
    <col min="15882" max="15882" width="51.28515625" style="374" bestFit="1" customWidth="1"/>
    <col min="15883" max="15883" width="14.85546875" style="374" bestFit="1" customWidth="1"/>
    <col min="15884" max="15884" width="25" style="374" bestFit="1" customWidth="1"/>
    <col min="15885" max="15886" width="12.28515625" style="374" bestFit="1" customWidth="1"/>
    <col min="15887" max="15887" width="24.7109375" style="374" bestFit="1" customWidth="1"/>
    <col min="15888" max="15888" width="15" style="374" bestFit="1" customWidth="1"/>
    <col min="15889" max="16133" width="9.140625" style="374"/>
    <col min="16134" max="16134" width="6.42578125" style="374" bestFit="1" customWidth="1"/>
    <col min="16135" max="16135" width="32" style="374" bestFit="1" customWidth="1"/>
    <col min="16136" max="16136" width="14.5703125" style="374" bestFit="1" customWidth="1"/>
    <col min="16137" max="16137" width="12.42578125" style="374" bestFit="1" customWidth="1"/>
    <col min="16138" max="16138" width="51.28515625" style="374" bestFit="1" customWidth="1"/>
    <col min="16139" max="16139" width="14.85546875" style="374" bestFit="1" customWidth="1"/>
    <col min="16140" max="16140" width="25" style="374" bestFit="1" customWidth="1"/>
    <col min="16141" max="16142" width="12.28515625" style="374" bestFit="1" customWidth="1"/>
    <col min="16143" max="16143" width="24.7109375" style="374" bestFit="1" customWidth="1"/>
    <col min="16144" max="16144" width="15" style="374" bestFit="1" customWidth="1"/>
    <col min="16145" max="16384" width="9.140625" style="374"/>
  </cols>
  <sheetData>
    <row r="1" spans="1:16" x14ac:dyDescent="0.55000000000000004">
      <c r="A1" s="1389" t="s">
        <v>80</v>
      </c>
      <c r="B1" s="1389"/>
      <c r="C1" s="1389"/>
      <c r="D1" s="1389"/>
      <c r="E1" s="1389"/>
      <c r="F1" s="1389"/>
      <c r="G1" s="1389"/>
      <c r="H1" s="1389"/>
      <c r="I1" s="1389"/>
      <c r="J1" s="1389"/>
      <c r="K1" s="1389"/>
      <c r="L1" s="1389"/>
    </row>
    <row r="2" spans="1:16" x14ac:dyDescent="0.55000000000000004">
      <c r="A2" s="1389" t="s">
        <v>539</v>
      </c>
      <c r="B2" s="1389"/>
      <c r="C2" s="1389"/>
      <c r="D2" s="1389"/>
      <c r="E2" s="1389"/>
      <c r="F2" s="1389"/>
      <c r="G2" s="1389"/>
      <c r="H2" s="1389"/>
      <c r="I2" s="1389"/>
      <c r="J2" s="1389"/>
      <c r="K2" s="1389"/>
      <c r="L2" s="1389"/>
    </row>
    <row r="3" spans="1:16" x14ac:dyDescent="0.55000000000000004">
      <c r="A3" s="1390" t="str">
        <f>+รายจ่ายจริง!A3:P3</f>
        <v>ตั้งแต่วันที่ 1  ตุลาคม 2564 ถึงวันที่ 31 มกราคม 2565</v>
      </c>
      <c r="B3" s="1390"/>
      <c r="C3" s="1390"/>
      <c r="D3" s="1390"/>
      <c r="E3" s="1390"/>
      <c r="F3" s="1390"/>
      <c r="G3" s="1390"/>
      <c r="H3" s="1390"/>
      <c r="I3" s="1390"/>
      <c r="J3" s="1390"/>
      <c r="K3" s="1390"/>
      <c r="L3" s="1390"/>
    </row>
    <row r="4" spans="1:16" s="376" customFormat="1" ht="23.25" x14ac:dyDescent="0.5">
      <c r="A4" s="472" t="s">
        <v>0</v>
      </c>
      <c r="B4" s="1391" t="s">
        <v>374</v>
      </c>
      <c r="C4" s="1391" t="s">
        <v>375</v>
      </c>
      <c r="D4" s="1391" t="s">
        <v>525</v>
      </c>
      <c r="E4" s="1392" t="s">
        <v>172</v>
      </c>
      <c r="F4" s="1391" t="s">
        <v>376</v>
      </c>
      <c r="G4" s="1393" t="s">
        <v>320</v>
      </c>
      <c r="H4" s="1394" t="s">
        <v>377</v>
      </c>
      <c r="I4" s="472" t="s">
        <v>17</v>
      </c>
      <c r="J4" s="1399" t="s">
        <v>535</v>
      </c>
      <c r="K4" s="472" t="s">
        <v>536</v>
      </c>
      <c r="L4" s="375" t="s">
        <v>618</v>
      </c>
      <c r="M4" s="1384" t="s">
        <v>526</v>
      </c>
      <c r="N4" s="1384" t="s">
        <v>527</v>
      </c>
      <c r="O4" s="1384" t="s">
        <v>528</v>
      </c>
      <c r="P4" s="376" t="s">
        <v>378</v>
      </c>
    </row>
    <row r="5" spans="1:16" s="376" customFormat="1" ht="23.25" x14ac:dyDescent="0.5">
      <c r="A5" s="473" t="s">
        <v>58</v>
      </c>
      <c r="B5" s="1391"/>
      <c r="C5" s="1391"/>
      <c r="D5" s="1391"/>
      <c r="E5" s="1392"/>
      <c r="F5" s="1391"/>
      <c r="G5" s="1393"/>
      <c r="H5" s="1395"/>
      <c r="I5" s="473" t="s">
        <v>534</v>
      </c>
      <c r="J5" s="1400"/>
      <c r="K5" s="473" t="s">
        <v>81</v>
      </c>
      <c r="L5" s="377" t="s">
        <v>606</v>
      </c>
      <c r="M5" s="1385"/>
      <c r="N5" s="1385"/>
      <c r="O5" s="1385"/>
    </row>
    <row r="6" spans="1:16" s="387" customFormat="1" ht="38.25" customHeight="1" x14ac:dyDescent="0.5">
      <c r="A6" s="378">
        <v>1</v>
      </c>
      <c r="B6" s="379" t="s">
        <v>107</v>
      </c>
      <c r="C6" s="378">
        <v>1600699998</v>
      </c>
      <c r="D6" s="378" t="s">
        <v>14</v>
      </c>
      <c r="E6" s="350" t="s">
        <v>514</v>
      </c>
      <c r="F6" s="378">
        <v>7014096956</v>
      </c>
      <c r="G6" s="380" t="s">
        <v>283</v>
      </c>
      <c r="H6" s="381">
        <v>43000</v>
      </c>
      <c r="I6" s="382">
        <v>43000</v>
      </c>
      <c r="J6" s="382">
        <f t="shared" ref="J6:J20" si="0">+H6-I6</f>
        <v>0</v>
      </c>
      <c r="K6" s="383">
        <f t="shared" ref="K6:K40" si="1">+I6*100/H6</f>
        <v>100</v>
      </c>
      <c r="L6" s="384" t="s">
        <v>285</v>
      </c>
      <c r="M6" s="385" t="s">
        <v>452</v>
      </c>
      <c r="N6" s="386" t="s">
        <v>453</v>
      </c>
      <c r="O6" s="386" t="s">
        <v>401</v>
      </c>
      <c r="P6" s="386" t="s">
        <v>454</v>
      </c>
    </row>
    <row r="7" spans="1:16" s="387" customFormat="1" ht="38.25" customHeight="1" x14ac:dyDescent="0.5">
      <c r="A7" s="378">
        <v>2</v>
      </c>
      <c r="B7" s="379" t="s">
        <v>107</v>
      </c>
      <c r="C7" s="378">
        <v>1600699998</v>
      </c>
      <c r="D7" s="378" t="s">
        <v>14</v>
      </c>
      <c r="E7" s="350" t="s">
        <v>512</v>
      </c>
      <c r="F7" s="378">
        <v>7014150012</v>
      </c>
      <c r="G7" s="380" t="s">
        <v>523</v>
      </c>
      <c r="H7" s="381">
        <f>123750*3</f>
        <v>371250</v>
      </c>
      <c r="I7" s="382">
        <v>371250</v>
      </c>
      <c r="J7" s="382">
        <f t="shared" si="0"/>
        <v>0</v>
      </c>
      <c r="K7" s="383">
        <f t="shared" si="1"/>
        <v>100</v>
      </c>
      <c r="L7" s="384" t="s">
        <v>285</v>
      </c>
      <c r="M7" s="385" t="s">
        <v>456</v>
      </c>
      <c r="N7" s="386" t="s">
        <v>457</v>
      </c>
      <c r="O7" s="386" t="s">
        <v>401</v>
      </c>
      <c r="P7" s="386" t="s">
        <v>458</v>
      </c>
    </row>
    <row r="8" spans="1:16" s="387" customFormat="1" ht="38.25" customHeight="1" x14ac:dyDescent="0.5">
      <c r="A8" s="378">
        <v>3</v>
      </c>
      <c r="B8" s="379" t="s">
        <v>107</v>
      </c>
      <c r="C8" s="378">
        <v>1600699998</v>
      </c>
      <c r="D8" s="378" t="s">
        <v>14</v>
      </c>
      <c r="E8" s="350" t="s">
        <v>514</v>
      </c>
      <c r="F8" s="378">
        <v>7014665430</v>
      </c>
      <c r="G8" s="380" t="s">
        <v>283</v>
      </c>
      <c r="H8" s="381">
        <v>41810</v>
      </c>
      <c r="I8" s="382">
        <v>41810</v>
      </c>
      <c r="J8" s="382">
        <f t="shared" si="0"/>
        <v>0</v>
      </c>
      <c r="K8" s="383">
        <f t="shared" si="1"/>
        <v>100</v>
      </c>
      <c r="L8" s="384" t="s">
        <v>285</v>
      </c>
      <c r="M8" s="385" t="s">
        <v>452</v>
      </c>
      <c r="N8" s="386" t="s">
        <v>463</v>
      </c>
      <c r="O8" s="386" t="s">
        <v>401</v>
      </c>
      <c r="P8" s="386" t="s">
        <v>454</v>
      </c>
    </row>
    <row r="9" spans="1:16" s="387" customFormat="1" ht="38.25" customHeight="1" x14ac:dyDescent="0.5">
      <c r="A9" s="378">
        <v>4</v>
      </c>
      <c r="B9" s="379" t="s">
        <v>107</v>
      </c>
      <c r="C9" s="378">
        <v>1600600004</v>
      </c>
      <c r="D9" s="378" t="s">
        <v>14</v>
      </c>
      <c r="E9" s="350" t="s">
        <v>514</v>
      </c>
      <c r="F9" s="378">
        <v>7014789388</v>
      </c>
      <c r="G9" s="380" t="s">
        <v>521</v>
      </c>
      <c r="H9" s="381">
        <v>280730</v>
      </c>
      <c r="I9" s="382">
        <v>280730</v>
      </c>
      <c r="J9" s="382">
        <f t="shared" si="0"/>
        <v>0</v>
      </c>
      <c r="K9" s="383">
        <f t="shared" si="1"/>
        <v>100</v>
      </c>
      <c r="L9" s="384" t="s">
        <v>285</v>
      </c>
      <c r="M9" s="385" t="s">
        <v>474</v>
      </c>
      <c r="N9" s="386" t="s">
        <v>387</v>
      </c>
      <c r="O9" s="386" t="s">
        <v>475</v>
      </c>
      <c r="P9" s="386" t="s">
        <v>476</v>
      </c>
    </row>
    <row r="10" spans="1:16" s="387" customFormat="1" ht="38.25" customHeight="1" x14ac:dyDescent="0.5">
      <c r="A10" s="378">
        <v>5</v>
      </c>
      <c r="B10" s="379" t="s">
        <v>107</v>
      </c>
      <c r="C10" s="378">
        <v>1600600005</v>
      </c>
      <c r="D10" s="378" t="s">
        <v>14</v>
      </c>
      <c r="E10" s="350" t="s">
        <v>514</v>
      </c>
      <c r="F10" s="378">
        <v>7014934640</v>
      </c>
      <c r="G10" s="380" t="s">
        <v>479</v>
      </c>
      <c r="H10" s="381">
        <v>7500</v>
      </c>
      <c r="I10" s="382">
        <v>7500</v>
      </c>
      <c r="J10" s="382">
        <f t="shared" si="0"/>
        <v>0</v>
      </c>
      <c r="K10" s="383">
        <f t="shared" si="1"/>
        <v>100</v>
      </c>
      <c r="L10" s="384" t="s">
        <v>285</v>
      </c>
      <c r="M10" s="385" t="s">
        <v>480</v>
      </c>
      <c r="N10" s="386" t="s">
        <v>422</v>
      </c>
      <c r="O10" s="386" t="s">
        <v>397</v>
      </c>
      <c r="P10" s="386" t="s">
        <v>455</v>
      </c>
    </row>
    <row r="11" spans="1:16" s="387" customFormat="1" ht="58.5" customHeight="1" x14ac:dyDescent="0.5">
      <c r="A11" s="378">
        <v>6</v>
      </c>
      <c r="B11" s="379" t="s">
        <v>107</v>
      </c>
      <c r="C11" s="378">
        <v>1600600006</v>
      </c>
      <c r="D11" s="378" t="s">
        <v>14</v>
      </c>
      <c r="E11" s="350" t="s">
        <v>514</v>
      </c>
      <c r="F11" s="378">
        <v>7015013787</v>
      </c>
      <c r="G11" s="388" t="s">
        <v>538</v>
      </c>
      <c r="H11" s="381">
        <v>799000</v>
      </c>
      <c r="I11" s="382">
        <f>+H11-719100</f>
        <v>79900</v>
      </c>
      <c r="J11" s="474">
        <f t="shared" si="0"/>
        <v>719100</v>
      </c>
      <c r="K11" s="383">
        <f t="shared" si="1"/>
        <v>10</v>
      </c>
      <c r="L11" s="384" t="s">
        <v>614</v>
      </c>
      <c r="M11" s="385" t="s">
        <v>477</v>
      </c>
      <c r="N11" s="386" t="s">
        <v>481</v>
      </c>
      <c r="O11" s="386" t="s">
        <v>482</v>
      </c>
      <c r="P11" s="386" t="s">
        <v>478</v>
      </c>
    </row>
    <row r="12" spans="1:16" s="387" customFormat="1" ht="249.75" customHeight="1" x14ac:dyDescent="0.5">
      <c r="A12" s="378">
        <v>7</v>
      </c>
      <c r="B12" s="379" t="s">
        <v>107</v>
      </c>
      <c r="C12" s="378">
        <v>1600699998</v>
      </c>
      <c r="D12" s="378" t="s">
        <v>14</v>
      </c>
      <c r="E12" s="350" t="s">
        <v>512</v>
      </c>
      <c r="F12" s="378">
        <v>7015636946</v>
      </c>
      <c r="G12" s="380" t="s">
        <v>498</v>
      </c>
      <c r="H12" s="381">
        <v>5505412.6500000004</v>
      </c>
      <c r="I12" s="382">
        <v>3341712.15</v>
      </c>
      <c r="J12" s="474">
        <f t="shared" si="0"/>
        <v>2163700.5000000005</v>
      </c>
      <c r="K12" s="383">
        <f t="shared" si="1"/>
        <v>60.698668064418385</v>
      </c>
      <c r="L12" s="389" t="s">
        <v>688</v>
      </c>
      <c r="M12" s="385" t="s">
        <v>499</v>
      </c>
      <c r="N12" s="386" t="s">
        <v>400</v>
      </c>
      <c r="O12" s="386" t="s">
        <v>484</v>
      </c>
      <c r="P12" s="386" t="s">
        <v>500</v>
      </c>
    </row>
    <row r="13" spans="1:16" s="387" customFormat="1" ht="26.25" customHeight="1" x14ac:dyDescent="0.5">
      <c r="A13" s="378">
        <v>8</v>
      </c>
      <c r="B13" s="379" t="s">
        <v>417</v>
      </c>
      <c r="C13" s="378">
        <v>1600600453</v>
      </c>
      <c r="D13" s="378" t="s">
        <v>14</v>
      </c>
      <c r="E13" s="350" t="s">
        <v>512</v>
      </c>
      <c r="F13" s="378">
        <v>7015155496</v>
      </c>
      <c r="G13" s="380" t="s">
        <v>524</v>
      </c>
      <c r="H13" s="381">
        <v>17983</v>
      </c>
      <c r="I13" s="382">
        <v>17983</v>
      </c>
      <c r="J13" s="382">
        <f t="shared" si="0"/>
        <v>0</v>
      </c>
      <c r="K13" s="383">
        <f t="shared" si="1"/>
        <v>100</v>
      </c>
      <c r="L13" s="384" t="s">
        <v>285</v>
      </c>
      <c r="M13" s="385" t="s">
        <v>418</v>
      </c>
      <c r="N13" s="386" t="s">
        <v>419</v>
      </c>
      <c r="O13" s="386" t="s">
        <v>420</v>
      </c>
      <c r="P13" s="386" t="s">
        <v>421</v>
      </c>
    </row>
    <row r="14" spans="1:16" s="387" customFormat="1" ht="26.25" customHeight="1" x14ac:dyDescent="0.5">
      <c r="A14" s="378">
        <v>9</v>
      </c>
      <c r="B14" s="379" t="s">
        <v>406</v>
      </c>
      <c r="C14" s="378">
        <v>1600600711</v>
      </c>
      <c r="D14" s="378" t="s">
        <v>14</v>
      </c>
      <c r="E14" s="350" t="s">
        <v>512</v>
      </c>
      <c r="F14" s="378">
        <v>7015264822</v>
      </c>
      <c r="G14" s="390" t="s">
        <v>529</v>
      </c>
      <c r="H14" s="381">
        <v>204000</v>
      </c>
      <c r="I14" s="382">
        <v>204000</v>
      </c>
      <c r="J14" s="382">
        <f t="shared" si="0"/>
        <v>0</v>
      </c>
      <c r="K14" s="383">
        <f t="shared" si="1"/>
        <v>100</v>
      </c>
      <c r="L14" s="384" t="s">
        <v>285</v>
      </c>
      <c r="M14" s="385" t="s">
        <v>407</v>
      </c>
      <c r="N14" s="386" t="s">
        <v>408</v>
      </c>
      <c r="O14" s="386" t="s">
        <v>401</v>
      </c>
      <c r="P14" s="386" t="s">
        <v>409</v>
      </c>
    </row>
    <row r="15" spans="1:16" s="387" customFormat="1" ht="26.25" customHeight="1" x14ac:dyDescent="0.5">
      <c r="A15" s="378">
        <v>10</v>
      </c>
      <c r="B15" s="379" t="s">
        <v>406</v>
      </c>
      <c r="C15" s="378">
        <v>1600600711</v>
      </c>
      <c r="D15" s="378" t="s">
        <v>14</v>
      </c>
      <c r="E15" s="350" t="s">
        <v>512</v>
      </c>
      <c r="F15" s="378">
        <v>7015272951</v>
      </c>
      <c r="G15" s="390" t="s">
        <v>530</v>
      </c>
      <c r="H15" s="381">
        <v>154404.6</v>
      </c>
      <c r="I15" s="382">
        <v>154404.6</v>
      </c>
      <c r="J15" s="382">
        <f t="shared" si="0"/>
        <v>0</v>
      </c>
      <c r="K15" s="383">
        <f t="shared" si="1"/>
        <v>100</v>
      </c>
      <c r="L15" s="384" t="s">
        <v>285</v>
      </c>
      <c r="M15" s="385" t="s">
        <v>410</v>
      </c>
      <c r="N15" s="386" t="s">
        <v>400</v>
      </c>
      <c r="O15" s="386" t="s">
        <v>401</v>
      </c>
      <c r="P15" s="386" t="s">
        <v>411</v>
      </c>
    </row>
    <row r="16" spans="1:16" s="387" customFormat="1" ht="26.25" customHeight="1" x14ac:dyDescent="0.5">
      <c r="A16" s="378">
        <v>11</v>
      </c>
      <c r="B16" s="379" t="s">
        <v>107</v>
      </c>
      <c r="C16" s="378">
        <v>1600600011</v>
      </c>
      <c r="D16" s="378" t="s">
        <v>14</v>
      </c>
      <c r="E16" s="350" t="s">
        <v>514</v>
      </c>
      <c r="F16" s="378">
        <v>7014733954</v>
      </c>
      <c r="G16" s="380" t="s">
        <v>469</v>
      </c>
      <c r="H16" s="381">
        <v>147660</v>
      </c>
      <c r="I16" s="382">
        <v>147660</v>
      </c>
      <c r="J16" s="382">
        <f t="shared" si="0"/>
        <v>0</v>
      </c>
      <c r="K16" s="383">
        <f>+I16*100/H16</f>
        <v>100</v>
      </c>
      <c r="L16" s="384" t="s">
        <v>285</v>
      </c>
      <c r="M16" s="385" t="s">
        <v>470</v>
      </c>
      <c r="N16" s="386" t="s">
        <v>471</v>
      </c>
      <c r="O16" s="386" t="s">
        <v>472</v>
      </c>
      <c r="P16" s="386" t="s">
        <v>473</v>
      </c>
    </row>
    <row r="17" spans="1:16" s="387" customFormat="1" ht="26.25" customHeight="1" x14ac:dyDescent="0.5">
      <c r="A17" s="378">
        <v>12</v>
      </c>
      <c r="B17" s="379" t="s">
        <v>107</v>
      </c>
      <c r="C17" s="378">
        <v>1600699998</v>
      </c>
      <c r="D17" s="378" t="s">
        <v>14</v>
      </c>
      <c r="E17" s="350" t="s">
        <v>514</v>
      </c>
      <c r="F17" s="378">
        <v>7015254174</v>
      </c>
      <c r="G17" s="380" t="s">
        <v>493</v>
      </c>
      <c r="H17" s="381">
        <v>5700000</v>
      </c>
      <c r="I17" s="382">
        <v>5700000</v>
      </c>
      <c r="J17" s="382">
        <f t="shared" si="0"/>
        <v>0</v>
      </c>
      <c r="K17" s="383">
        <f>+I17*100/H17</f>
        <v>100</v>
      </c>
      <c r="L17" s="384" t="s">
        <v>615</v>
      </c>
      <c r="M17" s="385" t="s">
        <v>452</v>
      </c>
      <c r="N17" s="386" t="s">
        <v>490</v>
      </c>
      <c r="O17" s="386" t="s">
        <v>494</v>
      </c>
      <c r="P17" s="386" t="s">
        <v>495</v>
      </c>
    </row>
    <row r="18" spans="1:16" s="387" customFormat="1" ht="78.75" x14ac:dyDescent="0.5">
      <c r="A18" s="378">
        <v>13</v>
      </c>
      <c r="B18" s="379" t="s">
        <v>433</v>
      </c>
      <c r="C18" s="378">
        <v>1600600220</v>
      </c>
      <c r="D18" s="378" t="s">
        <v>14</v>
      </c>
      <c r="E18" s="350" t="s">
        <v>512</v>
      </c>
      <c r="F18" s="378">
        <v>2000459990</v>
      </c>
      <c r="G18" s="380" t="s">
        <v>282</v>
      </c>
      <c r="H18" s="381">
        <v>55800</v>
      </c>
      <c r="I18" s="382">
        <v>0</v>
      </c>
      <c r="J18" s="474">
        <f t="shared" si="0"/>
        <v>55800</v>
      </c>
      <c r="K18" s="383">
        <f>+I18*100/H18</f>
        <v>0</v>
      </c>
      <c r="L18" s="391" t="s">
        <v>631</v>
      </c>
      <c r="M18" s="385" t="s">
        <v>434</v>
      </c>
      <c r="N18" s="386" t="s">
        <v>435</v>
      </c>
      <c r="O18" s="386" t="s">
        <v>401</v>
      </c>
      <c r="P18" s="386" t="s">
        <v>436</v>
      </c>
    </row>
    <row r="19" spans="1:16" s="387" customFormat="1" ht="23.25" x14ac:dyDescent="0.5">
      <c r="A19" s="378">
        <v>14</v>
      </c>
      <c r="B19" s="379" t="s">
        <v>107</v>
      </c>
      <c r="C19" s="378">
        <v>1600699998</v>
      </c>
      <c r="D19" s="378" t="s">
        <v>14</v>
      </c>
      <c r="E19" s="350" t="s">
        <v>512</v>
      </c>
      <c r="F19" s="378">
        <v>7014299345</v>
      </c>
      <c r="G19" s="380" t="s">
        <v>522</v>
      </c>
      <c r="H19" s="381">
        <v>141240</v>
      </c>
      <c r="I19" s="382">
        <v>141240</v>
      </c>
      <c r="J19" s="382">
        <f t="shared" si="0"/>
        <v>0</v>
      </c>
      <c r="K19" s="383">
        <f>+I19*100/H19</f>
        <v>100</v>
      </c>
      <c r="L19" s="384" t="s">
        <v>285</v>
      </c>
      <c r="M19" s="385" t="s">
        <v>459</v>
      </c>
      <c r="N19" s="386" t="s">
        <v>460</v>
      </c>
      <c r="O19" s="386" t="s">
        <v>461</v>
      </c>
      <c r="P19" s="386" t="s">
        <v>462</v>
      </c>
    </row>
    <row r="20" spans="1:16" s="387" customFormat="1" ht="23.25" x14ac:dyDescent="0.5">
      <c r="A20" s="378">
        <v>15</v>
      </c>
      <c r="B20" s="379" t="s">
        <v>412</v>
      </c>
      <c r="C20" s="378">
        <v>1600600013</v>
      </c>
      <c r="D20" s="378" t="s">
        <v>14</v>
      </c>
      <c r="E20" s="350" t="s">
        <v>512</v>
      </c>
      <c r="F20" s="378">
        <v>7014896495</v>
      </c>
      <c r="G20" s="380" t="s">
        <v>413</v>
      </c>
      <c r="H20" s="381">
        <v>2782</v>
      </c>
      <c r="I20" s="382">
        <v>2782</v>
      </c>
      <c r="J20" s="382">
        <f t="shared" si="0"/>
        <v>0</v>
      </c>
      <c r="K20" s="383">
        <f t="shared" si="1"/>
        <v>100</v>
      </c>
      <c r="L20" s="384" t="s">
        <v>285</v>
      </c>
      <c r="M20" s="385" t="s">
        <v>414</v>
      </c>
      <c r="N20" s="386" t="s">
        <v>415</v>
      </c>
      <c r="O20" s="386" t="s">
        <v>399</v>
      </c>
      <c r="P20" s="386" t="s">
        <v>416</v>
      </c>
    </row>
    <row r="21" spans="1:16" s="376" customFormat="1" ht="30" customHeight="1" x14ac:dyDescent="0.5">
      <c r="A21" s="1386" t="s">
        <v>532</v>
      </c>
      <c r="B21" s="1387"/>
      <c r="C21" s="1387"/>
      <c r="D21" s="1387"/>
      <c r="E21" s="1387"/>
      <c r="F21" s="1387"/>
      <c r="G21" s="1388"/>
      <c r="H21" s="392">
        <f>SUM(H6:H20)</f>
        <v>13472572.25</v>
      </c>
      <c r="I21" s="392">
        <f>SUM(I6:I20)</f>
        <v>10533971.75</v>
      </c>
      <c r="J21" s="392">
        <f>SUM(J6:J20)</f>
        <v>2938600.5000000005</v>
      </c>
      <c r="K21" s="383">
        <f t="shared" si="1"/>
        <v>78.188274328979759</v>
      </c>
      <c r="L21" s="384"/>
      <c r="M21" s="393"/>
      <c r="N21" s="394"/>
      <c r="O21" s="394"/>
      <c r="P21" s="394"/>
    </row>
    <row r="22" spans="1:16" s="387" customFormat="1" ht="27.75" customHeight="1" x14ac:dyDescent="0.5">
      <c r="A22" s="378">
        <v>16</v>
      </c>
      <c r="B22" s="379" t="s">
        <v>107</v>
      </c>
      <c r="C22" s="378">
        <v>1600699998</v>
      </c>
      <c r="D22" s="378" t="s">
        <v>15</v>
      </c>
      <c r="E22" s="350" t="s">
        <v>513</v>
      </c>
      <c r="F22" s="378">
        <v>7014716158</v>
      </c>
      <c r="G22" s="380" t="s">
        <v>464</v>
      </c>
      <c r="H22" s="381">
        <v>2274000</v>
      </c>
      <c r="I22" s="382">
        <v>2274000</v>
      </c>
      <c r="J22" s="382">
        <f t="shared" ref="J22:J39" si="2">+H22-I22</f>
        <v>0</v>
      </c>
      <c r="K22" s="383">
        <f t="shared" si="1"/>
        <v>100</v>
      </c>
      <c r="L22" s="384" t="s">
        <v>285</v>
      </c>
      <c r="M22" s="385" t="s">
        <v>465</v>
      </c>
      <c r="N22" s="386" t="s">
        <v>466</v>
      </c>
      <c r="O22" s="386" t="s">
        <v>467</v>
      </c>
      <c r="P22" s="386" t="s">
        <v>468</v>
      </c>
    </row>
    <row r="23" spans="1:16" s="387" customFormat="1" ht="27.75" customHeight="1" x14ac:dyDescent="0.5">
      <c r="A23" s="378">
        <v>17</v>
      </c>
      <c r="B23" s="379" t="s">
        <v>107</v>
      </c>
      <c r="C23" s="378">
        <v>1600600011</v>
      </c>
      <c r="D23" s="378" t="s">
        <v>15</v>
      </c>
      <c r="E23" s="350" t="s">
        <v>517</v>
      </c>
      <c r="F23" s="378">
        <v>7015248976</v>
      </c>
      <c r="G23" s="380" t="s">
        <v>518</v>
      </c>
      <c r="H23" s="381">
        <v>500000</v>
      </c>
      <c r="I23" s="382">
        <v>500000</v>
      </c>
      <c r="J23" s="382">
        <f t="shared" si="2"/>
        <v>0</v>
      </c>
      <c r="K23" s="383">
        <f t="shared" si="1"/>
        <v>100</v>
      </c>
      <c r="L23" s="384" t="s">
        <v>285</v>
      </c>
      <c r="M23" s="385" t="s">
        <v>489</v>
      </c>
      <c r="N23" s="386" t="s">
        <v>490</v>
      </c>
      <c r="O23" s="386" t="s">
        <v>491</v>
      </c>
      <c r="P23" s="386" t="s">
        <v>492</v>
      </c>
    </row>
    <row r="24" spans="1:16" s="387" customFormat="1" ht="23.25" x14ac:dyDescent="0.5">
      <c r="A24" s="378">
        <v>18</v>
      </c>
      <c r="B24" s="379" t="s">
        <v>107</v>
      </c>
      <c r="C24" s="378">
        <v>1600600006</v>
      </c>
      <c r="D24" s="378" t="s">
        <v>15</v>
      </c>
      <c r="E24" s="350" t="s">
        <v>515</v>
      </c>
      <c r="F24" s="378">
        <v>7015254679</v>
      </c>
      <c r="G24" s="380" t="s">
        <v>516</v>
      </c>
      <c r="H24" s="381">
        <v>497015</v>
      </c>
      <c r="I24" s="382">
        <f>497015-49701.5</f>
        <v>447313.5</v>
      </c>
      <c r="J24" s="474">
        <f t="shared" si="2"/>
        <v>49701.5</v>
      </c>
      <c r="K24" s="383">
        <f t="shared" si="1"/>
        <v>90</v>
      </c>
      <c r="L24" s="384" t="s">
        <v>616</v>
      </c>
      <c r="M24" s="385" t="s">
        <v>496</v>
      </c>
      <c r="N24" s="386" t="s">
        <v>400</v>
      </c>
      <c r="O24" s="386" t="s">
        <v>484</v>
      </c>
      <c r="P24" s="386" t="s">
        <v>497</v>
      </c>
    </row>
    <row r="25" spans="1:16" s="387" customFormat="1" ht="30" customHeight="1" x14ac:dyDescent="0.5">
      <c r="A25" s="378">
        <v>19</v>
      </c>
      <c r="B25" s="379" t="s">
        <v>107</v>
      </c>
      <c r="C25" s="378">
        <v>1600600001</v>
      </c>
      <c r="D25" s="378" t="s">
        <v>15</v>
      </c>
      <c r="E25" s="350" t="s">
        <v>333</v>
      </c>
      <c r="F25" s="378">
        <v>2000397264</v>
      </c>
      <c r="G25" s="380" t="s">
        <v>509</v>
      </c>
      <c r="H25" s="381">
        <v>11135650</v>
      </c>
      <c r="I25" s="382">
        <v>0</v>
      </c>
      <c r="J25" s="474">
        <f t="shared" si="2"/>
        <v>11135650</v>
      </c>
      <c r="K25" s="383">
        <f t="shared" si="1"/>
        <v>0</v>
      </c>
      <c r="L25" s="384" t="s">
        <v>613</v>
      </c>
      <c r="M25" s="385" t="s">
        <v>510</v>
      </c>
      <c r="N25" s="386" t="s">
        <v>400</v>
      </c>
      <c r="O25" s="386" t="s">
        <v>511</v>
      </c>
      <c r="P25" s="386"/>
    </row>
    <row r="26" spans="1:16" s="387" customFormat="1" ht="30" customHeight="1" x14ac:dyDescent="0.5">
      <c r="A26" s="378">
        <v>20</v>
      </c>
      <c r="B26" s="379" t="s">
        <v>107</v>
      </c>
      <c r="C26" s="378">
        <v>1600600001</v>
      </c>
      <c r="D26" s="378" t="s">
        <v>15</v>
      </c>
      <c r="E26" s="350" t="s">
        <v>331</v>
      </c>
      <c r="F26" s="378">
        <v>2000420428</v>
      </c>
      <c r="G26" s="380" t="s">
        <v>501</v>
      </c>
      <c r="H26" s="381">
        <v>13054741.23</v>
      </c>
      <c r="I26" s="382">
        <v>13054741.23</v>
      </c>
      <c r="J26" s="382">
        <f t="shared" si="2"/>
        <v>0</v>
      </c>
      <c r="K26" s="383">
        <f t="shared" si="1"/>
        <v>100</v>
      </c>
      <c r="L26" s="395" t="s">
        <v>612</v>
      </c>
      <c r="M26" s="385" t="s">
        <v>502</v>
      </c>
      <c r="N26" s="386" t="s">
        <v>503</v>
      </c>
      <c r="O26" s="386" t="s">
        <v>504</v>
      </c>
      <c r="P26" s="386"/>
    </row>
    <row r="27" spans="1:16" s="387" customFormat="1" ht="30" customHeight="1" x14ac:dyDescent="0.5">
      <c r="A27" s="378">
        <v>21</v>
      </c>
      <c r="B27" s="379" t="s">
        <v>107</v>
      </c>
      <c r="C27" s="378">
        <v>1600600001</v>
      </c>
      <c r="D27" s="378" t="s">
        <v>15</v>
      </c>
      <c r="E27" s="350" t="s">
        <v>328</v>
      </c>
      <c r="F27" s="378">
        <v>2000420910</v>
      </c>
      <c r="G27" s="380" t="s">
        <v>505</v>
      </c>
      <c r="H27" s="381">
        <v>5129331</v>
      </c>
      <c r="I27" s="382">
        <v>5129331</v>
      </c>
      <c r="J27" s="382">
        <f t="shared" si="2"/>
        <v>0</v>
      </c>
      <c r="K27" s="383">
        <f t="shared" si="1"/>
        <v>100</v>
      </c>
      <c r="L27" s="384" t="s">
        <v>285</v>
      </c>
      <c r="M27" s="385" t="s">
        <v>506</v>
      </c>
      <c r="N27" s="386" t="s">
        <v>507</v>
      </c>
      <c r="O27" s="386" t="s">
        <v>508</v>
      </c>
      <c r="P27" s="386"/>
    </row>
    <row r="28" spans="1:16" s="387" customFormat="1" ht="30" customHeight="1" x14ac:dyDescent="0.5">
      <c r="A28" s="378">
        <v>22</v>
      </c>
      <c r="B28" s="379" t="s">
        <v>107</v>
      </c>
      <c r="C28" s="378">
        <v>1600600001</v>
      </c>
      <c r="D28" s="378" t="s">
        <v>15</v>
      </c>
      <c r="E28" s="350" t="s">
        <v>332</v>
      </c>
      <c r="F28" s="378">
        <v>2000434631</v>
      </c>
      <c r="G28" s="380" t="s">
        <v>437</v>
      </c>
      <c r="H28" s="381">
        <v>5002622</v>
      </c>
      <c r="I28" s="382">
        <v>5002622</v>
      </c>
      <c r="J28" s="382">
        <f t="shared" si="2"/>
        <v>0</v>
      </c>
      <c r="K28" s="383">
        <f t="shared" si="1"/>
        <v>100</v>
      </c>
      <c r="L28" s="384" t="s">
        <v>611</v>
      </c>
      <c r="M28" s="385" t="s">
        <v>438</v>
      </c>
      <c r="N28" s="386" t="s">
        <v>439</v>
      </c>
      <c r="O28" s="386" t="s">
        <v>440</v>
      </c>
      <c r="P28" s="386" t="s">
        <v>441</v>
      </c>
    </row>
    <row r="29" spans="1:16" s="387" customFormat="1" ht="30" customHeight="1" x14ac:dyDescent="0.5">
      <c r="A29" s="378">
        <v>23</v>
      </c>
      <c r="B29" s="379" t="s">
        <v>107</v>
      </c>
      <c r="C29" s="378">
        <v>1600600001</v>
      </c>
      <c r="D29" s="378" t="s">
        <v>15</v>
      </c>
      <c r="E29" s="350" t="s">
        <v>329</v>
      </c>
      <c r="F29" s="378">
        <v>2000435147</v>
      </c>
      <c r="G29" s="380" t="s">
        <v>442</v>
      </c>
      <c r="H29" s="381">
        <v>4668200</v>
      </c>
      <c r="I29" s="382">
        <v>0</v>
      </c>
      <c r="J29" s="474">
        <f t="shared" si="2"/>
        <v>4668200</v>
      </c>
      <c r="K29" s="383">
        <f t="shared" si="1"/>
        <v>0</v>
      </c>
      <c r="L29" s="384" t="s">
        <v>610</v>
      </c>
      <c r="M29" s="385" t="s">
        <v>443</v>
      </c>
      <c r="N29" s="386" t="s">
        <v>440</v>
      </c>
      <c r="O29" s="386" t="s">
        <v>444</v>
      </c>
      <c r="P29" s="386" t="s">
        <v>389</v>
      </c>
    </row>
    <row r="30" spans="1:16" s="387" customFormat="1" ht="46.5" x14ac:dyDescent="0.5">
      <c r="A30" s="378">
        <v>24</v>
      </c>
      <c r="B30" s="379" t="s">
        <v>107</v>
      </c>
      <c r="C30" s="378">
        <v>1600600001</v>
      </c>
      <c r="D30" s="378" t="s">
        <v>15</v>
      </c>
      <c r="E30" s="350" t="s">
        <v>334</v>
      </c>
      <c r="F30" s="378">
        <v>2000461421</v>
      </c>
      <c r="G30" s="396" t="s">
        <v>686</v>
      </c>
      <c r="H30" s="381">
        <v>2805000</v>
      </c>
      <c r="I30" s="382">
        <v>0</v>
      </c>
      <c r="J30" s="474">
        <f t="shared" si="2"/>
        <v>2805000</v>
      </c>
      <c r="K30" s="383">
        <f t="shared" si="1"/>
        <v>0</v>
      </c>
      <c r="L30" s="384" t="s">
        <v>609</v>
      </c>
      <c r="M30" s="385" t="s">
        <v>446</v>
      </c>
      <c r="N30" s="386" t="s">
        <v>447</v>
      </c>
      <c r="O30" s="386" t="s">
        <v>448</v>
      </c>
      <c r="P30" s="386" t="s">
        <v>389</v>
      </c>
    </row>
    <row r="31" spans="1:16" s="387" customFormat="1" ht="69.75" x14ac:dyDescent="0.5">
      <c r="A31" s="378">
        <v>25</v>
      </c>
      <c r="B31" s="379" t="s">
        <v>107</v>
      </c>
      <c r="C31" s="378">
        <v>1600600001</v>
      </c>
      <c r="D31" s="378" t="s">
        <v>15</v>
      </c>
      <c r="E31" s="350" t="s">
        <v>330</v>
      </c>
      <c r="F31" s="378">
        <v>2000475789</v>
      </c>
      <c r="G31" s="396" t="s">
        <v>687</v>
      </c>
      <c r="H31" s="381">
        <v>9368000</v>
      </c>
      <c r="I31" s="382">
        <f>+H31-7191566.75</f>
        <v>2176433.25</v>
      </c>
      <c r="J31" s="474">
        <f t="shared" si="2"/>
        <v>7191566.75</v>
      </c>
      <c r="K31" s="383">
        <f t="shared" si="1"/>
        <v>23.232635034158839</v>
      </c>
      <c r="L31" s="384" t="s">
        <v>608</v>
      </c>
      <c r="M31" s="385" t="s">
        <v>450</v>
      </c>
      <c r="N31" s="386" t="s">
        <v>401</v>
      </c>
      <c r="O31" s="386" t="s">
        <v>451</v>
      </c>
      <c r="P31" s="386" t="s">
        <v>389</v>
      </c>
    </row>
    <row r="32" spans="1:16" s="387" customFormat="1" ht="23.25" x14ac:dyDescent="0.5">
      <c r="A32" s="378">
        <v>26</v>
      </c>
      <c r="B32" s="379" t="s">
        <v>379</v>
      </c>
      <c r="C32" s="378">
        <v>1600600046</v>
      </c>
      <c r="D32" s="378" t="s">
        <v>15</v>
      </c>
      <c r="E32" s="350" t="s">
        <v>324</v>
      </c>
      <c r="F32" s="378">
        <v>7014618240</v>
      </c>
      <c r="G32" s="380" t="s">
        <v>380</v>
      </c>
      <c r="H32" s="381">
        <v>2527500</v>
      </c>
      <c r="I32" s="382">
        <v>2527500</v>
      </c>
      <c r="J32" s="382">
        <f t="shared" si="2"/>
        <v>0</v>
      </c>
      <c r="K32" s="383">
        <f t="shared" si="1"/>
        <v>100</v>
      </c>
      <c r="L32" s="384" t="s">
        <v>285</v>
      </c>
      <c r="M32" s="385" t="s">
        <v>381</v>
      </c>
      <c r="N32" s="386" t="s">
        <v>382</v>
      </c>
      <c r="O32" s="386" t="s">
        <v>383</v>
      </c>
      <c r="P32" s="386" t="s">
        <v>384</v>
      </c>
    </row>
    <row r="33" spans="1:16" s="387" customFormat="1" ht="52.5" customHeight="1" x14ac:dyDescent="0.5">
      <c r="A33" s="378">
        <v>27</v>
      </c>
      <c r="B33" s="379" t="s">
        <v>385</v>
      </c>
      <c r="C33" s="378">
        <v>1600600052</v>
      </c>
      <c r="D33" s="378" t="s">
        <v>15</v>
      </c>
      <c r="E33" s="350" t="s">
        <v>325</v>
      </c>
      <c r="F33" s="378">
        <v>7014573620</v>
      </c>
      <c r="G33" s="380" t="s">
        <v>380</v>
      </c>
      <c r="H33" s="381">
        <v>3234000</v>
      </c>
      <c r="I33" s="382">
        <f>+H33-2490180</f>
        <v>743820</v>
      </c>
      <c r="J33" s="474">
        <f t="shared" si="2"/>
        <v>2490180</v>
      </c>
      <c r="K33" s="383">
        <f t="shared" si="1"/>
        <v>23</v>
      </c>
      <c r="L33" s="384" t="s">
        <v>653</v>
      </c>
      <c r="M33" s="385" t="s">
        <v>386</v>
      </c>
      <c r="N33" s="386" t="s">
        <v>387</v>
      </c>
      <c r="O33" s="386" t="s">
        <v>388</v>
      </c>
      <c r="P33" s="386" t="s">
        <v>389</v>
      </c>
    </row>
    <row r="34" spans="1:16" s="387" customFormat="1" ht="30" customHeight="1" x14ac:dyDescent="0.5">
      <c r="A34" s="378">
        <v>28</v>
      </c>
      <c r="B34" s="379" t="s">
        <v>390</v>
      </c>
      <c r="C34" s="378">
        <v>1600600058</v>
      </c>
      <c r="D34" s="378" t="s">
        <v>15</v>
      </c>
      <c r="E34" s="350" t="s">
        <v>326</v>
      </c>
      <c r="F34" s="378">
        <v>7014587703</v>
      </c>
      <c r="G34" s="380" t="s">
        <v>380</v>
      </c>
      <c r="H34" s="381">
        <v>2700000</v>
      </c>
      <c r="I34" s="382">
        <v>2700000</v>
      </c>
      <c r="J34" s="382">
        <f t="shared" si="2"/>
        <v>0</v>
      </c>
      <c r="K34" s="383">
        <f t="shared" si="1"/>
        <v>100</v>
      </c>
      <c r="L34" s="384" t="s">
        <v>285</v>
      </c>
      <c r="M34" s="385" t="s">
        <v>391</v>
      </c>
      <c r="N34" s="386" t="s">
        <v>392</v>
      </c>
      <c r="O34" s="386" t="s">
        <v>393</v>
      </c>
      <c r="P34" s="386" t="s">
        <v>394</v>
      </c>
    </row>
    <row r="35" spans="1:16" s="387" customFormat="1" ht="53.25" customHeight="1" x14ac:dyDescent="0.5">
      <c r="A35" s="378">
        <v>29</v>
      </c>
      <c r="B35" s="379" t="s">
        <v>395</v>
      </c>
      <c r="C35" s="378">
        <v>1600600064</v>
      </c>
      <c r="D35" s="378" t="s">
        <v>15</v>
      </c>
      <c r="E35" s="350" t="s">
        <v>327</v>
      </c>
      <c r="F35" s="378">
        <v>7014633408</v>
      </c>
      <c r="G35" s="380" t="s">
        <v>380</v>
      </c>
      <c r="H35" s="381">
        <v>3155139</v>
      </c>
      <c r="I35" s="382">
        <v>0</v>
      </c>
      <c r="J35" s="474">
        <f t="shared" si="2"/>
        <v>3155139</v>
      </c>
      <c r="K35" s="383">
        <f t="shared" si="1"/>
        <v>0</v>
      </c>
      <c r="L35" s="384" t="s">
        <v>654</v>
      </c>
      <c r="M35" s="385" t="s">
        <v>396</v>
      </c>
      <c r="N35" s="386" t="s">
        <v>382</v>
      </c>
      <c r="O35" s="386" t="s">
        <v>397</v>
      </c>
      <c r="P35" s="386" t="s">
        <v>398</v>
      </c>
    </row>
    <row r="36" spans="1:16" s="387" customFormat="1" ht="56.25" customHeight="1" x14ac:dyDescent="0.5">
      <c r="A36" s="378">
        <v>30</v>
      </c>
      <c r="B36" s="379" t="s">
        <v>366</v>
      </c>
      <c r="C36" s="378">
        <v>1600600094</v>
      </c>
      <c r="D36" s="378" t="s">
        <v>15</v>
      </c>
      <c r="E36" s="350" t="s">
        <v>354</v>
      </c>
      <c r="F36" s="378">
        <v>2000449395</v>
      </c>
      <c r="G36" s="388" t="s">
        <v>648</v>
      </c>
      <c r="H36" s="381">
        <v>3920000</v>
      </c>
      <c r="I36" s="382">
        <v>3920000</v>
      </c>
      <c r="J36" s="382">
        <f t="shared" si="2"/>
        <v>0</v>
      </c>
      <c r="K36" s="383">
        <f t="shared" si="1"/>
        <v>100</v>
      </c>
      <c r="L36" s="384" t="s">
        <v>285</v>
      </c>
      <c r="M36" s="385" t="s">
        <v>402</v>
      </c>
      <c r="N36" s="386" t="s">
        <v>403</v>
      </c>
      <c r="O36" s="386" t="s">
        <v>404</v>
      </c>
      <c r="P36" s="386"/>
    </row>
    <row r="37" spans="1:16" s="387" customFormat="1" ht="56.25" customHeight="1" x14ac:dyDescent="0.5">
      <c r="A37" s="378">
        <v>31</v>
      </c>
      <c r="B37" s="379" t="s">
        <v>366</v>
      </c>
      <c r="C37" s="378">
        <v>1600600094</v>
      </c>
      <c r="D37" s="378" t="s">
        <v>15</v>
      </c>
      <c r="E37" s="350" t="s">
        <v>335</v>
      </c>
      <c r="F37" s="378">
        <v>2000469732</v>
      </c>
      <c r="G37" s="388" t="s">
        <v>405</v>
      </c>
      <c r="H37" s="381">
        <v>2559120</v>
      </c>
      <c r="I37" s="382">
        <v>2559120</v>
      </c>
      <c r="J37" s="382">
        <f t="shared" si="2"/>
        <v>0</v>
      </c>
      <c r="K37" s="383">
        <f t="shared" si="1"/>
        <v>100</v>
      </c>
      <c r="L37" s="384" t="s">
        <v>607</v>
      </c>
      <c r="M37" s="385" t="s">
        <v>402</v>
      </c>
      <c r="N37" s="386" t="s">
        <v>403</v>
      </c>
      <c r="O37" s="386" t="s">
        <v>404</v>
      </c>
      <c r="P37" s="386"/>
    </row>
    <row r="38" spans="1:16" s="387" customFormat="1" ht="30" customHeight="1" x14ac:dyDescent="0.5">
      <c r="A38" s="378">
        <v>32</v>
      </c>
      <c r="B38" s="379" t="s">
        <v>365</v>
      </c>
      <c r="C38" s="378">
        <v>1600600420</v>
      </c>
      <c r="D38" s="378" t="s">
        <v>15</v>
      </c>
      <c r="E38" s="350" t="s">
        <v>358</v>
      </c>
      <c r="F38" s="378">
        <v>7014653159</v>
      </c>
      <c r="G38" s="380" t="s">
        <v>537</v>
      </c>
      <c r="H38" s="381">
        <v>3869000</v>
      </c>
      <c r="I38" s="382">
        <v>2050570</v>
      </c>
      <c r="J38" s="474">
        <f t="shared" si="2"/>
        <v>1818430</v>
      </c>
      <c r="K38" s="383">
        <f t="shared" si="1"/>
        <v>53</v>
      </c>
      <c r="L38" s="395" t="s">
        <v>643</v>
      </c>
      <c r="M38" s="385" t="s">
        <v>423</v>
      </c>
      <c r="N38" s="386" t="s">
        <v>424</v>
      </c>
      <c r="O38" s="386" t="s">
        <v>425</v>
      </c>
      <c r="P38" s="386" t="s">
        <v>426</v>
      </c>
    </row>
    <row r="39" spans="1:16" s="387" customFormat="1" ht="23.25" x14ac:dyDescent="0.5">
      <c r="A39" s="378">
        <v>33</v>
      </c>
      <c r="B39" s="379" t="s">
        <v>427</v>
      </c>
      <c r="C39" s="378">
        <v>1600600456</v>
      </c>
      <c r="D39" s="378" t="s">
        <v>15</v>
      </c>
      <c r="E39" s="350" t="s">
        <v>323</v>
      </c>
      <c r="F39" s="378">
        <v>7014571829</v>
      </c>
      <c r="G39" s="380" t="s">
        <v>428</v>
      </c>
      <c r="H39" s="381">
        <v>2642900</v>
      </c>
      <c r="I39" s="382">
        <v>2642900</v>
      </c>
      <c r="J39" s="382">
        <f t="shared" si="2"/>
        <v>0</v>
      </c>
      <c r="K39" s="383">
        <f t="shared" si="1"/>
        <v>100</v>
      </c>
      <c r="L39" s="384" t="s">
        <v>285</v>
      </c>
      <c r="M39" s="385" t="s">
        <v>429</v>
      </c>
      <c r="N39" s="386" t="s">
        <v>430</v>
      </c>
      <c r="O39" s="386" t="s">
        <v>431</v>
      </c>
      <c r="P39" s="386" t="s">
        <v>432</v>
      </c>
    </row>
    <row r="40" spans="1:16" s="376" customFormat="1" ht="27" customHeight="1" x14ac:dyDescent="0.5">
      <c r="A40" s="1386" t="s">
        <v>533</v>
      </c>
      <c r="B40" s="1387"/>
      <c r="C40" s="1387"/>
      <c r="D40" s="1387"/>
      <c r="E40" s="1387"/>
      <c r="F40" s="1387"/>
      <c r="G40" s="1388"/>
      <c r="H40" s="392">
        <f>SUM(H22:H39)</f>
        <v>79042218.230000004</v>
      </c>
      <c r="I40" s="392">
        <f>SUM(I22:I39)</f>
        <v>45728350.980000004</v>
      </c>
      <c r="J40" s="392">
        <f>SUM(J22:J39)</f>
        <v>33313867.25</v>
      </c>
      <c r="K40" s="383">
        <f t="shared" si="1"/>
        <v>57.853071439541253</v>
      </c>
      <c r="L40" s="384"/>
      <c r="M40" s="393"/>
      <c r="N40" s="394"/>
      <c r="O40" s="394"/>
      <c r="P40" s="394"/>
    </row>
    <row r="41" spans="1:16" s="387" customFormat="1" ht="78" customHeight="1" x14ac:dyDescent="0.5">
      <c r="A41" s="378">
        <v>34</v>
      </c>
      <c r="B41" s="379" t="s">
        <v>107</v>
      </c>
      <c r="C41" s="378">
        <v>1600600011</v>
      </c>
      <c r="D41" s="378" t="s">
        <v>16</v>
      </c>
      <c r="E41" s="350" t="s">
        <v>314</v>
      </c>
      <c r="F41" s="378">
        <v>7015076230</v>
      </c>
      <c r="G41" s="396" t="s">
        <v>520</v>
      </c>
      <c r="H41" s="381">
        <v>1620000</v>
      </c>
      <c r="I41" s="382">
        <v>1440000</v>
      </c>
      <c r="J41" s="474">
        <f>+H41-I41</f>
        <v>180000</v>
      </c>
      <c r="K41" s="383">
        <f>+I41*100/H41</f>
        <v>88.888888888888886</v>
      </c>
      <c r="L41" s="384" t="s">
        <v>617</v>
      </c>
      <c r="M41" s="385" t="s">
        <v>483</v>
      </c>
      <c r="N41" s="386" t="s">
        <v>481</v>
      </c>
      <c r="O41" s="386" t="s">
        <v>484</v>
      </c>
      <c r="P41" s="386" t="s">
        <v>478</v>
      </c>
    </row>
    <row r="42" spans="1:16" s="387" customFormat="1" ht="23.25" x14ac:dyDescent="0.5">
      <c r="A42" s="378">
        <v>35</v>
      </c>
      <c r="B42" s="379" t="s">
        <v>107</v>
      </c>
      <c r="C42" s="378">
        <v>1600600011</v>
      </c>
      <c r="D42" s="378" t="s">
        <v>16</v>
      </c>
      <c r="E42" s="350" t="s">
        <v>318</v>
      </c>
      <c r="F42" s="378">
        <v>7015167313</v>
      </c>
      <c r="G42" s="380" t="s">
        <v>519</v>
      </c>
      <c r="H42" s="381">
        <v>56300</v>
      </c>
      <c r="I42" s="382">
        <v>56300</v>
      </c>
      <c r="J42" s="382">
        <f>+H42-I42</f>
        <v>0</v>
      </c>
      <c r="K42" s="383">
        <f>+I42*100/H42</f>
        <v>100</v>
      </c>
      <c r="L42" s="384" t="s">
        <v>285</v>
      </c>
      <c r="M42" s="385" t="s">
        <v>485</v>
      </c>
      <c r="N42" s="386" t="s">
        <v>486</v>
      </c>
      <c r="O42" s="386" t="s">
        <v>487</v>
      </c>
      <c r="P42" s="386" t="s">
        <v>488</v>
      </c>
    </row>
    <row r="43" spans="1:16" s="376" customFormat="1" ht="28.5" customHeight="1" x14ac:dyDescent="0.5">
      <c r="A43" s="1386" t="s">
        <v>284</v>
      </c>
      <c r="B43" s="1387"/>
      <c r="C43" s="1387"/>
      <c r="D43" s="1387"/>
      <c r="E43" s="1387"/>
      <c r="F43" s="1387"/>
      <c r="G43" s="1388"/>
      <c r="H43" s="392">
        <f>SUM(H41:H42)</f>
        <v>1676300</v>
      </c>
      <c r="I43" s="397">
        <f>SUM(I41:I42)</f>
        <v>1496300</v>
      </c>
      <c r="J43" s="392">
        <f>SUM(J41:J42)</f>
        <v>180000</v>
      </c>
      <c r="K43" s="383">
        <f>+I43*100/H43</f>
        <v>89.262065262781121</v>
      </c>
      <c r="L43" s="384"/>
    </row>
    <row r="44" spans="1:16" s="399" customFormat="1" ht="28.5" customHeight="1" x14ac:dyDescent="0.55000000000000004">
      <c r="A44" s="1396" t="s">
        <v>367</v>
      </c>
      <c r="B44" s="1397"/>
      <c r="C44" s="1397"/>
      <c r="D44" s="1397"/>
      <c r="E44" s="1397"/>
      <c r="F44" s="1397"/>
      <c r="G44" s="1398"/>
      <c r="H44" s="363">
        <f>+H21+H40+H43</f>
        <v>94191090.480000004</v>
      </c>
      <c r="I44" s="363">
        <f>+I21+I40+I43</f>
        <v>57758622.730000004</v>
      </c>
      <c r="J44" s="475">
        <f>+J21+J40+J43</f>
        <v>36432467.75</v>
      </c>
      <c r="K44" s="398">
        <f>+I44*100/H44</f>
        <v>61.320685890417771</v>
      </c>
      <c r="L44" s="359"/>
    </row>
    <row r="47" spans="1:16" x14ac:dyDescent="0.55000000000000004">
      <c r="H47" s="403"/>
      <c r="I47" s="403"/>
      <c r="K47" s="405"/>
      <c r="L47" s="406"/>
    </row>
  </sheetData>
  <mergeCells count="18">
    <mergeCell ref="A43:G43"/>
    <mergeCell ref="A44:G44"/>
    <mergeCell ref="J4:J5"/>
    <mergeCell ref="M4:M5"/>
    <mergeCell ref="N4:N5"/>
    <mergeCell ref="O4:O5"/>
    <mergeCell ref="A21:G21"/>
    <mergeCell ref="A40:G40"/>
    <mergeCell ref="A1:L1"/>
    <mergeCell ref="A2:L2"/>
    <mergeCell ref="A3:L3"/>
    <mergeCell ref="B4:B5"/>
    <mergeCell ref="C4:C5"/>
    <mergeCell ref="D4:D5"/>
    <mergeCell ref="E4:E5"/>
    <mergeCell ref="F4:F5"/>
    <mergeCell ref="G4:G5"/>
    <mergeCell ref="H4:H5"/>
  </mergeCells>
  <pageMargins left="0.25" right="0" top="0.75" bottom="0.75" header="0.3" footer="0.3"/>
  <pageSetup paperSize="9" scale="70" orientation="landscape" r:id="rId1"/>
  <headerFooter>
    <oddFooter>หน้าที่ &amp;P จาก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A1:R193"/>
  <sheetViews>
    <sheetView zoomScale="80" zoomScaleNormal="80" workbookViewId="0">
      <selection activeCell="F12" sqref="F12"/>
    </sheetView>
  </sheetViews>
  <sheetFormatPr defaultRowHeight="27.75" x14ac:dyDescent="0.65"/>
  <cols>
    <col min="1" max="1" width="8" style="581" bestFit="1" customWidth="1"/>
    <col min="2" max="2" width="27.28515625" style="553" bestFit="1" customWidth="1"/>
    <col min="3" max="3" width="13.42578125" style="581" bestFit="1" customWidth="1"/>
    <col min="4" max="4" width="14.42578125" style="581" customWidth="1"/>
    <col min="5" max="5" width="19.5703125" style="582" bestFit="1" customWidth="1"/>
    <col min="6" max="6" width="12.42578125" style="581" bestFit="1" customWidth="1"/>
    <col min="7" max="7" width="33.42578125" style="583" customWidth="1"/>
    <col min="8" max="8" width="18.85546875" style="553" customWidth="1"/>
    <col min="9" max="9" width="17.85546875" style="553" bestFit="1" customWidth="1"/>
    <col min="10" max="10" width="17.7109375" style="585" bestFit="1" customWidth="1"/>
    <col min="11" max="11" width="8.7109375" style="580" bestFit="1" customWidth="1"/>
    <col min="12" max="12" width="30.28515625" style="588" customWidth="1"/>
    <col min="13" max="13" width="25" style="553" hidden="1" customWidth="1"/>
    <col min="14" max="15" width="12.28515625" style="553" hidden="1" customWidth="1"/>
    <col min="16" max="16" width="24.7109375" style="553" hidden="1" customWidth="1"/>
    <col min="17" max="17" width="14.140625" style="553" hidden="1" customWidth="1"/>
    <col min="18" max="64" width="0" style="553" hidden="1" customWidth="1"/>
    <col min="65" max="261" width="9.140625" style="553"/>
    <col min="262" max="262" width="6.42578125" style="553" bestFit="1" customWidth="1"/>
    <col min="263" max="263" width="32" style="553" bestFit="1" customWidth="1"/>
    <col min="264" max="264" width="14.5703125" style="553" bestFit="1" customWidth="1"/>
    <col min="265" max="265" width="12.42578125" style="553" bestFit="1" customWidth="1"/>
    <col min="266" max="266" width="51.28515625" style="553" bestFit="1" customWidth="1"/>
    <col min="267" max="267" width="14.85546875" style="553" bestFit="1" customWidth="1"/>
    <col min="268" max="268" width="25" style="553" bestFit="1" customWidth="1"/>
    <col min="269" max="270" width="12.28515625" style="553" bestFit="1" customWidth="1"/>
    <col min="271" max="271" width="24.7109375" style="553" bestFit="1" customWidth="1"/>
    <col min="272" max="272" width="15" style="553" bestFit="1" customWidth="1"/>
    <col min="273" max="517" width="9.140625" style="553"/>
    <col min="518" max="518" width="6.42578125" style="553" bestFit="1" customWidth="1"/>
    <col min="519" max="519" width="32" style="553" bestFit="1" customWidth="1"/>
    <col min="520" max="520" width="14.5703125" style="553" bestFit="1" customWidth="1"/>
    <col min="521" max="521" width="12.42578125" style="553" bestFit="1" customWidth="1"/>
    <col min="522" max="522" width="51.28515625" style="553" bestFit="1" customWidth="1"/>
    <col min="523" max="523" width="14.85546875" style="553" bestFit="1" customWidth="1"/>
    <col min="524" max="524" width="25" style="553" bestFit="1" customWidth="1"/>
    <col min="525" max="526" width="12.28515625" style="553" bestFit="1" customWidth="1"/>
    <col min="527" max="527" width="24.7109375" style="553" bestFit="1" customWidth="1"/>
    <col min="528" max="528" width="15" style="553" bestFit="1" customWidth="1"/>
    <col min="529" max="773" width="9.140625" style="553"/>
    <col min="774" max="774" width="6.42578125" style="553" bestFit="1" customWidth="1"/>
    <col min="775" max="775" width="32" style="553" bestFit="1" customWidth="1"/>
    <col min="776" max="776" width="14.5703125" style="553" bestFit="1" customWidth="1"/>
    <col min="777" max="777" width="12.42578125" style="553" bestFit="1" customWidth="1"/>
    <col min="778" max="778" width="51.28515625" style="553" bestFit="1" customWidth="1"/>
    <col min="779" max="779" width="14.85546875" style="553" bestFit="1" customWidth="1"/>
    <col min="780" max="780" width="25" style="553" bestFit="1" customWidth="1"/>
    <col min="781" max="782" width="12.28515625" style="553" bestFit="1" customWidth="1"/>
    <col min="783" max="783" width="24.7109375" style="553" bestFit="1" customWidth="1"/>
    <col min="784" max="784" width="15" style="553" bestFit="1" customWidth="1"/>
    <col min="785" max="1029" width="9.140625" style="553"/>
    <col min="1030" max="1030" width="6.42578125" style="553" bestFit="1" customWidth="1"/>
    <col min="1031" max="1031" width="32" style="553" bestFit="1" customWidth="1"/>
    <col min="1032" max="1032" width="14.5703125" style="553" bestFit="1" customWidth="1"/>
    <col min="1033" max="1033" width="12.42578125" style="553" bestFit="1" customWidth="1"/>
    <col min="1034" max="1034" width="51.28515625" style="553" bestFit="1" customWidth="1"/>
    <col min="1035" max="1035" width="14.85546875" style="553" bestFit="1" customWidth="1"/>
    <col min="1036" max="1036" width="25" style="553" bestFit="1" customWidth="1"/>
    <col min="1037" max="1038" width="12.28515625" style="553" bestFit="1" customWidth="1"/>
    <col min="1039" max="1039" width="24.7109375" style="553" bestFit="1" customWidth="1"/>
    <col min="1040" max="1040" width="15" style="553" bestFit="1" customWidth="1"/>
    <col min="1041" max="1285" width="9.140625" style="553"/>
    <col min="1286" max="1286" width="6.42578125" style="553" bestFit="1" customWidth="1"/>
    <col min="1287" max="1287" width="32" style="553" bestFit="1" customWidth="1"/>
    <col min="1288" max="1288" width="14.5703125" style="553" bestFit="1" customWidth="1"/>
    <col min="1289" max="1289" width="12.42578125" style="553" bestFit="1" customWidth="1"/>
    <col min="1290" max="1290" width="51.28515625" style="553" bestFit="1" customWidth="1"/>
    <col min="1291" max="1291" width="14.85546875" style="553" bestFit="1" customWidth="1"/>
    <col min="1292" max="1292" width="25" style="553" bestFit="1" customWidth="1"/>
    <col min="1293" max="1294" width="12.28515625" style="553" bestFit="1" customWidth="1"/>
    <col min="1295" max="1295" width="24.7109375" style="553" bestFit="1" customWidth="1"/>
    <col min="1296" max="1296" width="15" style="553" bestFit="1" customWidth="1"/>
    <col min="1297" max="1541" width="9.140625" style="553"/>
    <col min="1542" max="1542" width="6.42578125" style="553" bestFit="1" customWidth="1"/>
    <col min="1543" max="1543" width="32" style="553" bestFit="1" customWidth="1"/>
    <col min="1544" max="1544" width="14.5703125" style="553" bestFit="1" customWidth="1"/>
    <col min="1545" max="1545" width="12.42578125" style="553" bestFit="1" customWidth="1"/>
    <col min="1546" max="1546" width="51.28515625" style="553" bestFit="1" customWidth="1"/>
    <col min="1547" max="1547" width="14.85546875" style="553" bestFit="1" customWidth="1"/>
    <col min="1548" max="1548" width="25" style="553" bestFit="1" customWidth="1"/>
    <col min="1549" max="1550" width="12.28515625" style="553" bestFit="1" customWidth="1"/>
    <col min="1551" max="1551" width="24.7109375" style="553" bestFit="1" customWidth="1"/>
    <col min="1552" max="1552" width="15" style="553" bestFit="1" customWidth="1"/>
    <col min="1553" max="1797" width="9.140625" style="553"/>
    <col min="1798" max="1798" width="6.42578125" style="553" bestFit="1" customWidth="1"/>
    <col min="1799" max="1799" width="32" style="553" bestFit="1" customWidth="1"/>
    <col min="1800" max="1800" width="14.5703125" style="553" bestFit="1" customWidth="1"/>
    <col min="1801" max="1801" width="12.42578125" style="553" bestFit="1" customWidth="1"/>
    <col min="1802" max="1802" width="51.28515625" style="553" bestFit="1" customWidth="1"/>
    <col min="1803" max="1803" width="14.85546875" style="553" bestFit="1" customWidth="1"/>
    <col min="1804" max="1804" width="25" style="553" bestFit="1" customWidth="1"/>
    <col min="1805" max="1806" width="12.28515625" style="553" bestFit="1" customWidth="1"/>
    <col min="1807" max="1807" width="24.7109375" style="553" bestFit="1" customWidth="1"/>
    <col min="1808" max="1808" width="15" style="553" bestFit="1" customWidth="1"/>
    <col min="1809" max="2053" width="9.140625" style="553"/>
    <col min="2054" max="2054" width="6.42578125" style="553" bestFit="1" customWidth="1"/>
    <col min="2055" max="2055" width="32" style="553" bestFit="1" customWidth="1"/>
    <col min="2056" max="2056" width="14.5703125" style="553" bestFit="1" customWidth="1"/>
    <col min="2057" max="2057" width="12.42578125" style="553" bestFit="1" customWidth="1"/>
    <col min="2058" max="2058" width="51.28515625" style="553" bestFit="1" customWidth="1"/>
    <col min="2059" max="2059" width="14.85546875" style="553" bestFit="1" customWidth="1"/>
    <col min="2060" max="2060" width="25" style="553" bestFit="1" customWidth="1"/>
    <col min="2061" max="2062" width="12.28515625" style="553" bestFit="1" customWidth="1"/>
    <col min="2063" max="2063" width="24.7109375" style="553" bestFit="1" customWidth="1"/>
    <col min="2064" max="2064" width="15" style="553" bestFit="1" customWidth="1"/>
    <col min="2065" max="2309" width="9.140625" style="553"/>
    <col min="2310" max="2310" width="6.42578125" style="553" bestFit="1" customWidth="1"/>
    <col min="2311" max="2311" width="32" style="553" bestFit="1" customWidth="1"/>
    <col min="2312" max="2312" width="14.5703125" style="553" bestFit="1" customWidth="1"/>
    <col min="2313" max="2313" width="12.42578125" style="553" bestFit="1" customWidth="1"/>
    <col min="2314" max="2314" width="51.28515625" style="553" bestFit="1" customWidth="1"/>
    <col min="2315" max="2315" width="14.85546875" style="553" bestFit="1" customWidth="1"/>
    <col min="2316" max="2316" width="25" style="553" bestFit="1" customWidth="1"/>
    <col min="2317" max="2318" width="12.28515625" style="553" bestFit="1" customWidth="1"/>
    <col min="2319" max="2319" width="24.7109375" style="553" bestFit="1" customWidth="1"/>
    <col min="2320" max="2320" width="15" style="553" bestFit="1" customWidth="1"/>
    <col min="2321" max="2565" width="9.140625" style="553"/>
    <col min="2566" max="2566" width="6.42578125" style="553" bestFit="1" customWidth="1"/>
    <col min="2567" max="2567" width="32" style="553" bestFit="1" customWidth="1"/>
    <col min="2568" max="2568" width="14.5703125" style="553" bestFit="1" customWidth="1"/>
    <col min="2569" max="2569" width="12.42578125" style="553" bestFit="1" customWidth="1"/>
    <col min="2570" max="2570" width="51.28515625" style="553" bestFit="1" customWidth="1"/>
    <col min="2571" max="2571" width="14.85546875" style="553" bestFit="1" customWidth="1"/>
    <col min="2572" max="2572" width="25" style="553" bestFit="1" customWidth="1"/>
    <col min="2573" max="2574" width="12.28515625" style="553" bestFit="1" customWidth="1"/>
    <col min="2575" max="2575" width="24.7109375" style="553" bestFit="1" customWidth="1"/>
    <col min="2576" max="2576" width="15" style="553" bestFit="1" customWidth="1"/>
    <col min="2577" max="2821" width="9.140625" style="553"/>
    <col min="2822" max="2822" width="6.42578125" style="553" bestFit="1" customWidth="1"/>
    <col min="2823" max="2823" width="32" style="553" bestFit="1" customWidth="1"/>
    <col min="2824" max="2824" width="14.5703125" style="553" bestFit="1" customWidth="1"/>
    <col min="2825" max="2825" width="12.42578125" style="553" bestFit="1" customWidth="1"/>
    <col min="2826" max="2826" width="51.28515625" style="553" bestFit="1" customWidth="1"/>
    <col min="2827" max="2827" width="14.85546875" style="553" bestFit="1" customWidth="1"/>
    <col min="2828" max="2828" width="25" style="553" bestFit="1" customWidth="1"/>
    <col min="2829" max="2830" width="12.28515625" style="553" bestFit="1" customWidth="1"/>
    <col min="2831" max="2831" width="24.7109375" style="553" bestFit="1" customWidth="1"/>
    <col min="2832" max="2832" width="15" style="553" bestFit="1" customWidth="1"/>
    <col min="2833" max="3077" width="9.140625" style="553"/>
    <col min="3078" max="3078" width="6.42578125" style="553" bestFit="1" customWidth="1"/>
    <col min="3079" max="3079" width="32" style="553" bestFit="1" customWidth="1"/>
    <col min="3080" max="3080" width="14.5703125" style="553" bestFit="1" customWidth="1"/>
    <col min="3081" max="3081" width="12.42578125" style="553" bestFit="1" customWidth="1"/>
    <col min="3082" max="3082" width="51.28515625" style="553" bestFit="1" customWidth="1"/>
    <col min="3083" max="3083" width="14.85546875" style="553" bestFit="1" customWidth="1"/>
    <col min="3084" max="3084" width="25" style="553" bestFit="1" customWidth="1"/>
    <col min="3085" max="3086" width="12.28515625" style="553" bestFit="1" customWidth="1"/>
    <col min="3087" max="3087" width="24.7109375" style="553" bestFit="1" customWidth="1"/>
    <col min="3088" max="3088" width="15" style="553" bestFit="1" customWidth="1"/>
    <col min="3089" max="3333" width="9.140625" style="553"/>
    <col min="3334" max="3334" width="6.42578125" style="553" bestFit="1" customWidth="1"/>
    <col min="3335" max="3335" width="32" style="553" bestFit="1" customWidth="1"/>
    <col min="3336" max="3336" width="14.5703125" style="553" bestFit="1" customWidth="1"/>
    <col min="3337" max="3337" width="12.42578125" style="553" bestFit="1" customWidth="1"/>
    <col min="3338" max="3338" width="51.28515625" style="553" bestFit="1" customWidth="1"/>
    <col min="3339" max="3339" width="14.85546875" style="553" bestFit="1" customWidth="1"/>
    <col min="3340" max="3340" width="25" style="553" bestFit="1" customWidth="1"/>
    <col min="3341" max="3342" width="12.28515625" style="553" bestFit="1" customWidth="1"/>
    <col min="3343" max="3343" width="24.7109375" style="553" bestFit="1" customWidth="1"/>
    <col min="3344" max="3344" width="15" style="553" bestFit="1" customWidth="1"/>
    <col min="3345" max="3589" width="9.140625" style="553"/>
    <col min="3590" max="3590" width="6.42578125" style="553" bestFit="1" customWidth="1"/>
    <col min="3591" max="3591" width="32" style="553" bestFit="1" customWidth="1"/>
    <col min="3592" max="3592" width="14.5703125" style="553" bestFit="1" customWidth="1"/>
    <col min="3593" max="3593" width="12.42578125" style="553" bestFit="1" customWidth="1"/>
    <col min="3594" max="3594" width="51.28515625" style="553" bestFit="1" customWidth="1"/>
    <col min="3595" max="3595" width="14.85546875" style="553" bestFit="1" customWidth="1"/>
    <col min="3596" max="3596" width="25" style="553" bestFit="1" customWidth="1"/>
    <col min="3597" max="3598" width="12.28515625" style="553" bestFit="1" customWidth="1"/>
    <col min="3599" max="3599" width="24.7109375" style="553" bestFit="1" customWidth="1"/>
    <col min="3600" max="3600" width="15" style="553" bestFit="1" customWidth="1"/>
    <col min="3601" max="3845" width="9.140625" style="553"/>
    <col min="3846" max="3846" width="6.42578125" style="553" bestFit="1" customWidth="1"/>
    <col min="3847" max="3847" width="32" style="553" bestFit="1" customWidth="1"/>
    <col min="3848" max="3848" width="14.5703125" style="553" bestFit="1" customWidth="1"/>
    <col min="3849" max="3849" width="12.42578125" style="553" bestFit="1" customWidth="1"/>
    <col min="3850" max="3850" width="51.28515625" style="553" bestFit="1" customWidth="1"/>
    <col min="3851" max="3851" width="14.85546875" style="553" bestFit="1" customWidth="1"/>
    <col min="3852" max="3852" width="25" style="553" bestFit="1" customWidth="1"/>
    <col min="3853" max="3854" width="12.28515625" style="553" bestFit="1" customWidth="1"/>
    <col min="3855" max="3855" width="24.7109375" style="553" bestFit="1" customWidth="1"/>
    <col min="3856" max="3856" width="15" style="553" bestFit="1" customWidth="1"/>
    <col min="3857" max="4101" width="9.140625" style="553"/>
    <col min="4102" max="4102" width="6.42578125" style="553" bestFit="1" customWidth="1"/>
    <col min="4103" max="4103" width="32" style="553" bestFit="1" customWidth="1"/>
    <col min="4104" max="4104" width="14.5703125" style="553" bestFit="1" customWidth="1"/>
    <col min="4105" max="4105" width="12.42578125" style="553" bestFit="1" customWidth="1"/>
    <col min="4106" max="4106" width="51.28515625" style="553" bestFit="1" customWidth="1"/>
    <col min="4107" max="4107" width="14.85546875" style="553" bestFit="1" customWidth="1"/>
    <col min="4108" max="4108" width="25" style="553" bestFit="1" customWidth="1"/>
    <col min="4109" max="4110" width="12.28515625" style="553" bestFit="1" customWidth="1"/>
    <col min="4111" max="4111" width="24.7109375" style="553" bestFit="1" customWidth="1"/>
    <col min="4112" max="4112" width="15" style="553" bestFit="1" customWidth="1"/>
    <col min="4113" max="4357" width="9.140625" style="553"/>
    <col min="4358" max="4358" width="6.42578125" style="553" bestFit="1" customWidth="1"/>
    <col min="4359" max="4359" width="32" style="553" bestFit="1" customWidth="1"/>
    <col min="4360" max="4360" width="14.5703125" style="553" bestFit="1" customWidth="1"/>
    <col min="4361" max="4361" width="12.42578125" style="553" bestFit="1" customWidth="1"/>
    <col min="4362" max="4362" width="51.28515625" style="553" bestFit="1" customWidth="1"/>
    <col min="4363" max="4363" width="14.85546875" style="553" bestFit="1" customWidth="1"/>
    <col min="4364" max="4364" width="25" style="553" bestFit="1" customWidth="1"/>
    <col min="4365" max="4366" width="12.28515625" style="553" bestFit="1" customWidth="1"/>
    <col min="4367" max="4367" width="24.7109375" style="553" bestFit="1" customWidth="1"/>
    <col min="4368" max="4368" width="15" style="553" bestFit="1" customWidth="1"/>
    <col min="4369" max="4613" width="9.140625" style="553"/>
    <col min="4614" max="4614" width="6.42578125" style="553" bestFit="1" customWidth="1"/>
    <col min="4615" max="4615" width="32" style="553" bestFit="1" customWidth="1"/>
    <col min="4616" max="4616" width="14.5703125" style="553" bestFit="1" customWidth="1"/>
    <col min="4617" max="4617" width="12.42578125" style="553" bestFit="1" customWidth="1"/>
    <col min="4618" max="4618" width="51.28515625" style="553" bestFit="1" customWidth="1"/>
    <col min="4619" max="4619" width="14.85546875" style="553" bestFit="1" customWidth="1"/>
    <col min="4620" max="4620" width="25" style="553" bestFit="1" customWidth="1"/>
    <col min="4621" max="4622" width="12.28515625" style="553" bestFit="1" customWidth="1"/>
    <col min="4623" max="4623" width="24.7109375" style="553" bestFit="1" customWidth="1"/>
    <col min="4624" max="4624" width="15" style="553" bestFit="1" customWidth="1"/>
    <col min="4625" max="4869" width="9.140625" style="553"/>
    <col min="4870" max="4870" width="6.42578125" style="553" bestFit="1" customWidth="1"/>
    <col min="4871" max="4871" width="32" style="553" bestFit="1" customWidth="1"/>
    <col min="4872" max="4872" width="14.5703125" style="553" bestFit="1" customWidth="1"/>
    <col min="4873" max="4873" width="12.42578125" style="553" bestFit="1" customWidth="1"/>
    <col min="4874" max="4874" width="51.28515625" style="553" bestFit="1" customWidth="1"/>
    <col min="4875" max="4875" width="14.85546875" style="553" bestFit="1" customWidth="1"/>
    <col min="4876" max="4876" width="25" style="553" bestFit="1" customWidth="1"/>
    <col min="4877" max="4878" width="12.28515625" style="553" bestFit="1" customWidth="1"/>
    <col min="4879" max="4879" width="24.7109375" style="553" bestFit="1" customWidth="1"/>
    <col min="4880" max="4880" width="15" style="553" bestFit="1" customWidth="1"/>
    <col min="4881" max="5125" width="9.140625" style="553"/>
    <col min="5126" max="5126" width="6.42578125" style="553" bestFit="1" customWidth="1"/>
    <col min="5127" max="5127" width="32" style="553" bestFit="1" customWidth="1"/>
    <col min="5128" max="5128" width="14.5703125" style="553" bestFit="1" customWidth="1"/>
    <col min="5129" max="5129" width="12.42578125" style="553" bestFit="1" customWidth="1"/>
    <col min="5130" max="5130" width="51.28515625" style="553" bestFit="1" customWidth="1"/>
    <col min="5131" max="5131" width="14.85546875" style="553" bestFit="1" customWidth="1"/>
    <col min="5132" max="5132" width="25" style="553" bestFit="1" customWidth="1"/>
    <col min="5133" max="5134" width="12.28515625" style="553" bestFit="1" customWidth="1"/>
    <col min="5135" max="5135" width="24.7109375" style="553" bestFit="1" customWidth="1"/>
    <col min="5136" max="5136" width="15" style="553" bestFit="1" customWidth="1"/>
    <col min="5137" max="5381" width="9.140625" style="553"/>
    <col min="5382" max="5382" width="6.42578125" style="553" bestFit="1" customWidth="1"/>
    <col min="5383" max="5383" width="32" style="553" bestFit="1" customWidth="1"/>
    <col min="5384" max="5384" width="14.5703125" style="553" bestFit="1" customWidth="1"/>
    <col min="5385" max="5385" width="12.42578125" style="553" bestFit="1" customWidth="1"/>
    <col min="5386" max="5386" width="51.28515625" style="553" bestFit="1" customWidth="1"/>
    <col min="5387" max="5387" width="14.85546875" style="553" bestFit="1" customWidth="1"/>
    <col min="5388" max="5388" width="25" style="553" bestFit="1" customWidth="1"/>
    <col min="5389" max="5390" width="12.28515625" style="553" bestFit="1" customWidth="1"/>
    <col min="5391" max="5391" width="24.7109375" style="553" bestFit="1" customWidth="1"/>
    <col min="5392" max="5392" width="15" style="553" bestFit="1" customWidth="1"/>
    <col min="5393" max="5637" width="9.140625" style="553"/>
    <col min="5638" max="5638" width="6.42578125" style="553" bestFit="1" customWidth="1"/>
    <col min="5639" max="5639" width="32" style="553" bestFit="1" customWidth="1"/>
    <col min="5640" max="5640" width="14.5703125" style="553" bestFit="1" customWidth="1"/>
    <col min="5641" max="5641" width="12.42578125" style="553" bestFit="1" customWidth="1"/>
    <col min="5642" max="5642" width="51.28515625" style="553" bestFit="1" customWidth="1"/>
    <col min="5643" max="5643" width="14.85546875" style="553" bestFit="1" customWidth="1"/>
    <col min="5644" max="5644" width="25" style="553" bestFit="1" customWidth="1"/>
    <col min="5645" max="5646" width="12.28515625" style="553" bestFit="1" customWidth="1"/>
    <col min="5647" max="5647" width="24.7109375" style="553" bestFit="1" customWidth="1"/>
    <col min="5648" max="5648" width="15" style="553" bestFit="1" customWidth="1"/>
    <col min="5649" max="5893" width="9.140625" style="553"/>
    <col min="5894" max="5894" width="6.42578125" style="553" bestFit="1" customWidth="1"/>
    <col min="5895" max="5895" width="32" style="553" bestFit="1" customWidth="1"/>
    <col min="5896" max="5896" width="14.5703125" style="553" bestFit="1" customWidth="1"/>
    <col min="5897" max="5897" width="12.42578125" style="553" bestFit="1" customWidth="1"/>
    <col min="5898" max="5898" width="51.28515625" style="553" bestFit="1" customWidth="1"/>
    <col min="5899" max="5899" width="14.85546875" style="553" bestFit="1" customWidth="1"/>
    <col min="5900" max="5900" width="25" style="553" bestFit="1" customWidth="1"/>
    <col min="5901" max="5902" width="12.28515625" style="553" bestFit="1" customWidth="1"/>
    <col min="5903" max="5903" width="24.7109375" style="553" bestFit="1" customWidth="1"/>
    <col min="5904" max="5904" width="15" style="553" bestFit="1" customWidth="1"/>
    <col min="5905" max="6149" width="9.140625" style="553"/>
    <col min="6150" max="6150" width="6.42578125" style="553" bestFit="1" customWidth="1"/>
    <col min="6151" max="6151" width="32" style="553" bestFit="1" customWidth="1"/>
    <col min="6152" max="6152" width="14.5703125" style="553" bestFit="1" customWidth="1"/>
    <col min="6153" max="6153" width="12.42578125" style="553" bestFit="1" customWidth="1"/>
    <col min="6154" max="6154" width="51.28515625" style="553" bestFit="1" customWidth="1"/>
    <col min="6155" max="6155" width="14.85546875" style="553" bestFit="1" customWidth="1"/>
    <col min="6156" max="6156" width="25" style="553" bestFit="1" customWidth="1"/>
    <col min="6157" max="6158" width="12.28515625" style="553" bestFit="1" customWidth="1"/>
    <col min="6159" max="6159" width="24.7109375" style="553" bestFit="1" customWidth="1"/>
    <col min="6160" max="6160" width="15" style="553" bestFit="1" customWidth="1"/>
    <col min="6161" max="6405" width="9.140625" style="553"/>
    <col min="6406" max="6406" width="6.42578125" style="553" bestFit="1" customWidth="1"/>
    <col min="6407" max="6407" width="32" style="553" bestFit="1" customWidth="1"/>
    <col min="6408" max="6408" width="14.5703125" style="553" bestFit="1" customWidth="1"/>
    <col min="6409" max="6409" width="12.42578125" style="553" bestFit="1" customWidth="1"/>
    <col min="6410" max="6410" width="51.28515625" style="553" bestFit="1" customWidth="1"/>
    <col min="6411" max="6411" width="14.85546875" style="553" bestFit="1" customWidth="1"/>
    <col min="6412" max="6412" width="25" style="553" bestFit="1" customWidth="1"/>
    <col min="6413" max="6414" width="12.28515625" style="553" bestFit="1" customWidth="1"/>
    <col min="6415" max="6415" width="24.7109375" style="553" bestFit="1" customWidth="1"/>
    <col min="6416" max="6416" width="15" style="553" bestFit="1" customWidth="1"/>
    <col min="6417" max="6661" width="9.140625" style="553"/>
    <col min="6662" max="6662" width="6.42578125" style="553" bestFit="1" customWidth="1"/>
    <col min="6663" max="6663" width="32" style="553" bestFit="1" customWidth="1"/>
    <col min="6664" max="6664" width="14.5703125" style="553" bestFit="1" customWidth="1"/>
    <col min="6665" max="6665" width="12.42578125" style="553" bestFit="1" customWidth="1"/>
    <col min="6666" max="6666" width="51.28515625" style="553" bestFit="1" customWidth="1"/>
    <col min="6667" max="6667" width="14.85546875" style="553" bestFit="1" customWidth="1"/>
    <col min="6668" max="6668" width="25" style="553" bestFit="1" customWidth="1"/>
    <col min="6669" max="6670" width="12.28515625" style="553" bestFit="1" customWidth="1"/>
    <col min="6671" max="6671" width="24.7109375" style="553" bestFit="1" customWidth="1"/>
    <col min="6672" max="6672" width="15" style="553" bestFit="1" customWidth="1"/>
    <col min="6673" max="6917" width="9.140625" style="553"/>
    <col min="6918" max="6918" width="6.42578125" style="553" bestFit="1" customWidth="1"/>
    <col min="6919" max="6919" width="32" style="553" bestFit="1" customWidth="1"/>
    <col min="6920" max="6920" width="14.5703125" style="553" bestFit="1" customWidth="1"/>
    <col min="6921" max="6921" width="12.42578125" style="553" bestFit="1" customWidth="1"/>
    <col min="6922" max="6922" width="51.28515625" style="553" bestFit="1" customWidth="1"/>
    <col min="6923" max="6923" width="14.85546875" style="553" bestFit="1" customWidth="1"/>
    <col min="6924" max="6924" width="25" style="553" bestFit="1" customWidth="1"/>
    <col min="6925" max="6926" width="12.28515625" style="553" bestFit="1" customWidth="1"/>
    <col min="6927" max="6927" width="24.7109375" style="553" bestFit="1" customWidth="1"/>
    <col min="6928" max="6928" width="15" style="553" bestFit="1" customWidth="1"/>
    <col min="6929" max="7173" width="9.140625" style="553"/>
    <col min="7174" max="7174" width="6.42578125" style="553" bestFit="1" customWidth="1"/>
    <col min="7175" max="7175" width="32" style="553" bestFit="1" customWidth="1"/>
    <col min="7176" max="7176" width="14.5703125" style="553" bestFit="1" customWidth="1"/>
    <col min="7177" max="7177" width="12.42578125" style="553" bestFit="1" customWidth="1"/>
    <col min="7178" max="7178" width="51.28515625" style="553" bestFit="1" customWidth="1"/>
    <col min="7179" max="7179" width="14.85546875" style="553" bestFit="1" customWidth="1"/>
    <col min="7180" max="7180" width="25" style="553" bestFit="1" customWidth="1"/>
    <col min="7181" max="7182" width="12.28515625" style="553" bestFit="1" customWidth="1"/>
    <col min="7183" max="7183" width="24.7109375" style="553" bestFit="1" customWidth="1"/>
    <col min="7184" max="7184" width="15" style="553" bestFit="1" customWidth="1"/>
    <col min="7185" max="7429" width="9.140625" style="553"/>
    <col min="7430" max="7430" width="6.42578125" style="553" bestFit="1" customWidth="1"/>
    <col min="7431" max="7431" width="32" style="553" bestFit="1" customWidth="1"/>
    <col min="7432" max="7432" width="14.5703125" style="553" bestFit="1" customWidth="1"/>
    <col min="7433" max="7433" width="12.42578125" style="553" bestFit="1" customWidth="1"/>
    <col min="7434" max="7434" width="51.28515625" style="553" bestFit="1" customWidth="1"/>
    <col min="7435" max="7435" width="14.85546875" style="553" bestFit="1" customWidth="1"/>
    <col min="7436" max="7436" width="25" style="553" bestFit="1" customWidth="1"/>
    <col min="7437" max="7438" width="12.28515625" style="553" bestFit="1" customWidth="1"/>
    <col min="7439" max="7439" width="24.7109375" style="553" bestFit="1" customWidth="1"/>
    <col min="7440" max="7440" width="15" style="553" bestFit="1" customWidth="1"/>
    <col min="7441" max="7685" width="9.140625" style="553"/>
    <col min="7686" max="7686" width="6.42578125" style="553" bestFit="1" customWidth="1"/>
    <col min="7687" max="7687" width="32" style="553" bestFit="1" customWidth="1"/>
    <col min="7688" max="7688" width="14.5703125" style="553" bestFit="1" customWidth="1"/>
    <col min="7689" max="7689" width="12.42578125" style="553" bestFit="1" customWidth="1"/>
    <col min="7690" max="7690" width="51.28515625" style="553" bestFit="1" customWidth="1"/>
    <col min="7691" max="7691" width="14.85546875" style="553" bestFit="1" customWidth="1"/>
    <col min="7692" max="7692" width="25" style="553" bestFit="1" customWidth="1"/>
    <col min="7693" max="7694" width="12.28515625" style="553" bestFit="1" customWidth="1"/>
    <col min="7695" max="7695" width="24.7109375" style="553" bestFit="1" customWidth="1"/>
    <col min="7696" max="7696" width="15" style="553" bestFit="1" customWidth="1"/>
    <col min="7697" max="7941" width="9.140625" style="553"/>
    <col min="7942" max="7942" width="6.42578125" style="553" bestFit="1" customWidth="1"/>
    <col min="7943" max="7943" width="32" style="553" bestFit="1" customWidth="1"/>
    <col min="7944" max="7944" width="14.5703125" style="553" bestFit="1" customWidth="1"/>
    <col min="7945" max="7945" width="12.42578125" style="553" bestFit="1" customWidth="1"/>
    <col min="7946" max="7946" width="51.28515625" style="553" bestFit="1" customWidth="1"/>
    <col min="7947" max="7947" width="14.85546875" style="553" bestFit="1" customWidth="1"/>
    <col min="7948" max="7948" width="25" style="553" bestFit="1" customWidth="1"/>
    <col min="7949" max="7950" width="12.28515625" style="553" bestFit="1" customWidth="1"/>
    <col min="7951" max="7951" width="24.7109375" style="553" bestFit="1" customWidth="1"/>
    <col min="7952" max="7952" width="15" style="553" bestFit="1" customWidth="1"/>
    <col min="7953" max="8197" width="9.140625" style="553"/>
    <col min="8198" max="8198" width="6.42578125" style="553" bestFit="1" customWidth="1"/>
    <col min="8199" max="8199" width="32" style="553" bestFit="1" customWidth="1"/>
    <col min="8200" max="8200" width="14.5703125" style="553" bestFit="1" customWidth="1"/>
    <col min="8201" max="8201" width="12.42578125" style="553" bestFit="1" customWidth="1"/>
    <col min="8202" max="8202" width="51.28515625" style="553" bestFit="1" customWidth="1"/>
    <col min="8203" max="8203" width="14.85546875" style="553" bestFit="1" customWidth="1"/>
    <col min="8204" max="8204" width="25" style="553" bestFit="1" customWidth="1"/>
    <col min="8205" max="8206" width="12.28515625" style="553" bestFit="1" customWidth="1"/>
    <col min="8207" max="8207" width="24.7109375" style="553" bestFit="1" customWidth="1"/>
    <col min="8208" max="8208" width="15" style="553" bestFit="1" customWidth="1"/>
    <col min="8209" max="8453" width="9.140625" style="553"/>
    <col min="8454" max="8454" width="6.42578125" style="553" bestFit="1" customWidth="1"/>
    <col min="8455" max="8455" width="32" style="553" bestFit="1" customWidth="1"/>
    <col min="8456" max="8456" width="14.5703125" style="553" bestFit="1" customWidth="1"/>
    <col min="8457" max="8457" width="12.42578125" style="553" bestFit="1" customWidth="1"/>
    <col min="8458" max="8458" width="51.28515625" style="553" bestFit="1" customWidth="1"/>
    <col min="8459" max="8459" width="14.85546875" style="553" bestFit="1" customWidth="1"/>
    <col min="8460" max="8460" width="25" style="553" bestFit="1" customWidth="1"/>
    <col min="8461" max="8462" width="12.28515625" style="553" bestFit="1" customWidth="1"/>
    <col min="8463" max="8463" width="24.7109375" style="553" bestFit="1" customWidth="1"/>
    <col min="8464" max="8464" width="15" style="553" bestFit="1" customWidth="1"/>
    <col min="8465" max="8709" width="9.140625" style="553"/>
    <col min="8710" max="8710" width="6.42578125" style="553" bestFit="1" customWidth="1"/>
    <col min="8711" max="8711" width="32" style="553" bestFit="1" customWidth="1"/>
    <col min="8712" max="8712" width="14.5703125" style="553" bestFit="1" customWidth="1"/>
    <col min="8713" max="8713" width="12.42578125" style="553" bestFit="1" customWidth="1"/>
    <col min="8714" max="8714" width="51.28515625" style="553" bestFit="1" customWidth="1"/>
    <col min="8715" max="8715" width="14.85546875" style="553" bestFit="1" customWidth="1"/>
    <col min="8716" max="8716" width="25" style="553" bestFit="1" customWidth="1"/>
    <col min="8717" max="8718" width="12.28515625" style="553" bestFit="1" customWidth="1"/>
    <col min="8719" max="8719" width="24.7109375" style="553" bestFit="1" customWidth="1"/>
    <col min="8720" max="8720" width="15" style="553" bestFit="1" customWidth="1"/>
    <col min="8721" max="8965" width="9.140625" style="553"/>
    <col min="8966" max="8966" width="6.42578125" style="553" bestFit="1" customWidth="1"/>
    <col min="8967" max="8967" width="32" style="553" bestFit="1" customWidth="1"/>
    <col min="8968" max="8968" width="14.5703125" style="553" bestFit="1" customWidth="1"/>
    <col min="8969" max="8969" width="12.42578125" style="553" bestFit="1" customWidth="1"/>
    <col min="8970" max="8970" width="51.28515625" style="553" bestFit="1" customWidth="1"/>
    <col min="8971" max="8971" width="14.85546875" style="553" bestFit="1" customWidth="1"/>
    <col min="8972" max="8972" width="25" style="553" bestFit="1" customWidth="1"/>
    <col min="8973" max="8974" width="12.28515625" style="553" bestFit="1" customWidth="1"/>
    <col min="8975" max="8975" width="24.7109375" style="553" bestFit="1" customWidth="1"/>
    <col min="8976" max="8976" width="15" style="553" bestFit="1" customWidth="1"/>
    <col min="8977" max="9221" width="9.140625" style="553"/>
    <col min="9222" max="9222" width="6.42578125" style="553" bestFit="1" customWidth="1"/>
    <col min="9223" max="9223" width="32" style="553" bestFit="1" customWidth="1"/>
    <col min="9224" max="9224" width="14.5703125" style="553" bestFit="1" customWidth="1"/>
    <col min="9225" max="9225" width="12.42578125" style="553" bestFit="1" customWidth="1"/>
    <col min="9226" max="9226" width="51.28515625" style="553" bestFit="1" customWidth="1"/>
    <col min="9227" max="9227" width="14.85546875" style="553" bestFit="1" customWidth="1"/>
    <col min="9228" max="9228" width="25" style="553" bestFit="1" customWidth="1"/>
    <col min="9229" max="9230" width="12.28515625" style="553" bestFit="1" customWidth="1"/>
    <col min="9231" max="9231" width="24.7109375" style="553" bestFit="1" customWidth="1"/>
    <col min="9232" max="9232" width="15" style="553" bestFit="1" customWidth="1"/>
    <col min="9233" max="9477" width="9.140625" style="553"/>
    <col min="9478" max="9478" width="6.42578125" style="553" bestFit="1" customWidth="1"/>
    <col min="9479" max="9479" width="32" style="553" bestFit="1" customWidth="1"/>
    <col min="9480" max="9480" width="14.5703125" style="553" bestFit="1" customWidth="1"/>
    <col min="9481" max="9481" width="12.42578125" style="553" bestFit="1" customWidth="1"/>
    <col min="9482" max="9482" width="51.28515625" style="553" bestFit="1" customWidth="1"/>
    <col min="9483" max="9483" width="14.85546875" style="553" bestFit="1" customWidth="1"/>
    <col min="9484" max="9484" width="25" style="553" bestFit="1" customWidth="1"/>
    <col min="9485" max="9486" width="12.28515625" style="553" bestFit="1" customWidth="1"/>
    <col min="9487" max="9487" width="24.7109375" style="553" bestFit="1" customWidth="1"/>
    <col min="9488" max="9488" width="15" style="553" bestFit="1" customWidth="1"/>
    <col min="9489" max="9733" width="9.140625" style="553"/>
    <col min="9734" max="9734" width="6.42578125" style="553" bestFit="1" customWidth="1"/>
    <col min="9735" max="9735" width="32" style="553" bestFit="1" customWidth="1"/>
    <col min="9736" max="9736" width="14.5703125" style="553" bestFit="1" customWidth="1"/>
    <col min="9737" max="9737" width="12.42578125" style="553" bestFit="1" customWidth="1"/>
    <col min="9738" max="9738" width="51.28515625" style="553" bestFit="1" customWidth="1"/>
    <col min="9739" max="9739" width="14.85546875" style="553" bestFit="1" customWidth="1"/>
    <col min="9740" max="9740" width="25" style="553" bestFit="1" customWidth="1"/>
    <col min="9741" max="9742" width="12.28515625" style="553" bestFit="1" customWidth="1"/>
    <col min="9743" max="9743" width="24.7109375" style="553" bestFit="1" customWidth="1"/>
    <col min="9744" max="9744" width="15" style="553" bestFit="1" customWidth="1"/>
    <col min="9745" max="9989" width="9.140625" style="553"/>
    <col min="9990" max="9990" width="6.42578125" style="553" bestFit="1" customWidth="1"/>
    <col min="9991" max="9991" width="32" style="553" bestFit="1" customWidth="1"/>
    <col min="9992" max="9992" width="14.5703125" style="553" bestFit="1" customWidth="1"/>
    <col min="9993" max="9993" width="12.42578125" style="553" bestFit="1" customWidth="1"/>
    <col min="9994" max="9994" width="51.28515625" style="553" bestFit="1" customWidth="1"/>
    <col min="9995" max="9995" width="14.85546875" style="553" bestFit="1" customWidth="1"/>
    <col min="9996" max="9996" width="25" style="553" bestFit="1" customWidth="1"/>
    <col min="9997" max="9998" width="12.28515625" style="553" bestFit="1" customWidth="1"/>
    <col min="9999" max="9999" width="24.7109375" style="553" bestFit="1" customWidth="1"/>
    <col min="10000" max="10000" width="15" style="553" bestFit="1" customWidth="1"/>
    <col min="10001" max="10245" width="9.140625" style="553"/>
    <col min="10246" max="10246" width="6.42578125" style="553" bestFit="1" customWidth="1"/>
    <col min="10247" max="10247" width="32" style="553" bestFit="1" customWidth="1"/>
    <col min="10248" max="10248" width="14.5703125" style="553" bestFit="1" customWidth="1"/>
    <col min="10249" max="10249" width="12.42578125" style="553" bestFit="1" customWidth="1"/>
    <col min="10250" max="10250" width="51.28515625" style="553" bestFit="1" customWidth="1"/>
    <col min="10251" max="10251" width="14.85546875" style="553" bestFit="1" customWidth="1"/>
    <col min="10252" max="10252" width="25" style="553" bestFit="1" customWidth="1"/>
    <col min="10253" max="10254" width="12.28515625" style="553" bestFit="1" customWidth="1"/>
    <col min="10255" max="10255" width="24.7109375" style="553" bestFit="1" customWidth="1"/>
    <col min="10256" max="10256" width="15" style="553" bestFit="1" customWidth="1"/>
    <col min="10257" max="10501" width="9.140625" style="553"/>
    <col min="10502" max="10502" width="6.42578125" style="553" bestFit="1" customWidth="1"/>
    <col min="10503" max="10503" width="32" style="553" bestFit="1" customWidth="1"/>
    <col min="10504" max="10504" width="14.5703125" style="553" bestFit="1" customWidth="1"/>
    <col min="10505" max="10505" width="12.42578125" style="553" bestFit="1" customWidth="1"/>
    <col min="10506" max="10506" width="51.28515625" style="553" bestFit="1" customWidth="1"/>
    <col min="10507" max="10507" width="14.85546875" style="553" bestFit="1" customWidth="1"/>
    <col min="10508" max="10508" width="25" style="553" bestFit="1" customWidth="1"/>
    <col min="10509" max="10510" width="12.28515625" style="553" bestFit="1" customWidth="1"/>
    <col min="10511" max="10511" width="24.7109375" style="553" bestFit="1" customWidth="1"/>
    <col min="10512" max="10512" width="15" style="553" bestFit="1" customWidth="1"/>
    <col min="10513" max="10757" width="9.140625" style="553"/>
    <col min="10758" max="10758" width="6.42578125" style="553" bestFit="1" customWidth="1"/>
    <col min="10759" max="10759" width="32" style="553" bestFit="1" customWidth="1"/>
    <col min="10760" max="10760" width="14.5703125" style="553" bestFit="1" customWidth="1"/>
    <col min="10761" max="10761" width="12.42578125" style="553" bestFit="1" customWidth="1"/>
    <col min="10762" max="10762" width="51.28515625" style="553" bestFit="1" customWidth="1"/>
    <col min="10763" max="10763" width="14.85546875" style="553" bestFit="1" customWidth="1"/>
    <col min="10764" max="10764" width="25" style="553" bestFit="1" customWidth="1"/>
    <col min="10765" max="10766" width="12.28515625" style="553" bestFit="1" customWidth="1"/>
    <col min="10767" max="10767" width="24.7109375" style="553" bestFit="1" customWidth="1"/>
    <col min="10768" max="10768" width="15" style="553" bestFit="1" customWidth="1"/>
    <col min="10769" max="11013" width="9.140625" style="553"/>
    <col min="11014" max="11014" width="6.42578125" style="553" bestFit="1" customWidth="1"/>
    <col min="11015" max="11015" width="32" style="553" bestFit="1" customWidth="1"/>
    <col min="11016" max="11016" width="14.5703125" style="553" bestFit="1" customWidth="1"/>
    <col min="11017" max="11017" width="12.42578125" style="553" bestFit="1" customWidth="1"/>
    <col min="11018" max="11018" width="51.28515625" style="553" bestFit="1" customWidth="1"/>
    <col min="11019" max="11019" width="14.85546875" style="553" bestFit="1" customWidth="1"/>
    <col min="11020" max="11020" width="25" style="553" bestFit="1" customWidth="1"/>
    <col min="11021" max="11022" width="12.28515625" style="553" bestFit="1" customWidth="1"/>
    <col min="11023" max="11023" width="24.7109375" style="553" bestFit="1" customWidth="1"/>
    <col min="11024" max="11024" width="15" style="553" bestFit="1" customWidth="1"/>
    <col min="11025" max="11269" width="9.140625" style="553"/>
    <col min="11270" max="11270" width="6.42578125" style="553" bestFit="1" customWidth="1"/>
    <col min="11271" max="11271" width="32" style="553" bestFit="1" customWidth="1"/>
    <col min="11272" max="11272" width="14.5703125" style="553" bestFit="1" customWidth="1"/>
    <col min="11273" max="11273" width="12.42578125" style="553" bestFit="1" customWidth="1"/>
    <col min="11274" max="11274" width="51.28515625" style="553" bestFit="1" customWidth="1"/>
    <col min="11275" max="11275" width="14.85546875" style="553" bestFit="1" customWidth="1"/>
    <col min="11276" max="11276" width="25" style="553" bestFit="1" customWidth="1"/>
    <col min="11277" max="11278" width="12.28515625" style="553" bestFit="1" customWidth="1"/>
    <col min="11279" max="11279" width="24.7109375" style="553" bestFit="1" customWidth="1"/>
    <col min="11280" max="11280" width="15" style="553" bestFit="1" customWidth="1"/>
    <col min="11281" max="11525" width="9.140625" style="553"/>
    <col min="11526" max="11526" width="6.42578125" style="553" bestFit="1" customWidth="1"/>
    <col min="11527" max="11527" width="32" style="553" bestFit="1" customWidth="1"/>
    <col min="11528" max="11528" width="14.5703125" style="553" bestFit="1" customWidth="1"/>
    <col min="11529" max="11529" width="12.42578125" style="553" bestFit="1" customWidth="1"/>
    <col min="11530" max="11530" width="51.28515625" style="553" bestFit="1" customWidth="1"/>
    <col min="11531" max="11531" width="14.85546875" style="553" bestFit="1" customWidth="1"/>
    <col min="11532" max="11532" width="25" style="553" bestFit="1" customWidth="1"/>
    <col min="11533" max="11534" width="12.28515625" style="553" bestFit="1" customWidth="1"/>
    <col min="11535" max="11535" width="24.7109375" style="553" bestFit="1" customWidth="1"/>
    <col min="11536" max="11536" width="15" style="553" bestFit="1" customWidth="1"/>
    <col min="11537" max="11781" width="9.140625" style="553"/>
    <col min="11782" max="11782" width="6.42578125" style="553" bestFit="1" customWidth="1"/>
    <col min="11783" max="11783" width="32" style="553" bestFit="1" customWidth="1"/>
    <col min="11784" max="11784" width="14.5703125" style="553" bestFit="1" customWidth="1"/>
    <col min="11785" max="11785" width="12.42578125" style="553" bestFit="1" customWidth="1"/>
    <col min="11786" max="11786" width="51.28515625" style="553" bestFit="1" customWidth="1"/>
    <col min="11787" max="11787" width="14.85546875" style="553" bestFit="1" customWidth="1"/>
    <col min="11788" max="11788" width="25" style="553" bestFit="1" customWidth="1"/>
    <col min="11789" max="11790" width="12.28515625" style="553" bestFit="1" customWidth="1"/>
    <col min="11791" max="11791" width="24.7109375" style="553" bestFit="1" customWidth="1"/>
    <col min="11792" max="11792" width="15" style="553" bestFit="1" customWidth="1"/>
    <col min="11793" max="12037" width="9.140625" style="553"/>
    <col min="12038" max="12038" width="6.42578125" style="553" bestFit="1" customWidth="1"/>
    <col min="12039" max="12039" width="32" style="553" bestFit="1" customWidth="1"/>
    <col min="12040" max="12040" width="14.5703125" style="553" bestFit="1" customWidth="1"/>
    <col min="12041" max="12041" width="12.42578125" style="553" bestFit="1" customWidth="1"/>
    <col min="12042" max="12042" width="51.28515625" style="553" bestFit="1" customWidth="1"/>
    <col min="12043" max="12043" width="14.85546875" style="553" bestFit="1" customWidth="1"/>
    <col min="12044" max="12044" width="25" style="553" bestFit="1" customWidth="1"/>
    <col min="12045" max="12046" width="12.28515625" style="553" bestFit="1" customWidth="1"/>
    <col min="12047" max="12047" width="24.7109375" style="553" bestFit="1" customWidth="1"/>
    <col min="12048" max="12048" width="15" style="553" bestFit="1" customWidth="1"/>
    <col min="12049" max="12293" width="9.140625" style="553"/>
    <col min="12294" max="12294" width="6.42578125" style="553" bestFit="1" customWidth="1"/>
    <col min="12295" max="12295" width="32" style="553" bestFit="1" customWidth="1"/>
    <col min="12296" max="12296" width="14.5703125" style="553" bestFit="1" customWidth="1"/>
    <col min="12297" max="12297" width="12.42578125" style="553" bestFit="1" customWidth="1"/>
    <col min="12298" max="12298" width="51.28515625" style="553" bestFit="1" customWidth="1"/>
    <col min="12299" max="12299" width="14.85546875" style="553" bestFit="1" customWidth="1"/>
    <col min="12300" max="12300" width="25" style="553" bestFit="1" customWidth="1"/>
    <col min="12301" max="12302" width="12.28515625" style="553" bestFit="1" customWidth="1"/>
    <col min="12303" max="12303" width="24.7109375" style="553" bestFit="1" customWidth="1"/>
    <col min="12304" max="12304" width="15" style="553" bestFit="1" customWidth="1"/>
    <col min="12305" max="12549" width="9.140625" style="553"/>
    <col min="12550" max="12550" width="6.42578125" style="553" bestFit="1" customWidth="1"/>
    <col min="12551" max="12551" width="32" style="553" bestFit="1" customWidth="1"/>
    <col min="12552" max="12552" width="14.5703125" style="553" bestFit="1" customWidth="1"/>
    <col min="12553" max="12553" width="12.42578125" style="553" bestFit="1" customWidth="1"/>
    <col min="12554" max="12554" width="51.28515625" style="553" bestFit="1" customWidth="1"/>
    <col min="12555" max="12555" width="14.85546875" style="553" bestFit="1" customWidth="1"/>
    <col min="12556" max="12556" width="25" style="553" bestFit="1" customWidth="1"/>
    <col min="12557" max="12558" width="12.28515625" style="553" bestFit="1" customWidth="1"/>
    <col min="12559" max="12559" width="24.7109375" style="553" bestFit="1" customWidth="1"/>
    <col min="12560" max="12560" width="15" style="553" bestFit="1" customWidth="1"/>
    <col min="12561" max="12805" width="9.140625" style="553"/>
    <col min="12806" max="12806" width="6.42578125" style="553" bestFit="1" customWidth="1"/>
    <col min="12807" max="12807" width="32" style="553" bestFit="1" customWidth="1"/>
    <col min="12808" max="12808" width="14.5703125" style="553" bestFit="1" customWidth="1"/>
    <col min="12809" max="12809" width="12.42578125" style="553" bestFit="1" customWidth="1"/>
    <col min="12810" max="12810" width="51.28515625" style="553" bestFit="1" customWidth="1"/>
    <col min="12811" max="12811" width="14.85546875" style="553" bestFit="1" customWidth="1"/>
    <col min="12812" max="12812" width="25" style="553" bestFit="1" customWidth="1"/>
    <col min="12813" max="12814" width="12.28515625" style="553" bestFit="1" customWidth="1"/>
    <col min="12815" max="12815" width="24.7109375" style="553" bestFit="1" customWidth="1"/>
    <col min="12816" max="12816" width="15" style="553" bestFit="1" customWidth="1"/>
    <col min="12817" max="13061" width="9.140625" style="553"/>
    <col min="13062" max="13062" width="6.42578125" style="553" bestFit="1" customWidth="1"/>
    <col min="13063" max="13063" width="32" style="553" bestFit="1" customWidth="1"/>
    <col min="13064" max="13064" width="14.5703125" style="553" bestFit="1" customWidth="1"/>
    <col min="13065" max="13065" width="12.42578125" style="553" bestFit="1" customWidth="1"/>
    <col min="13066" max="13066" width="51.28515625" style="553" bestFit="1" customWidth="1"/>
    <col min="13067" max="13067" width="14.85546875" style="553" bestFit="1" customWidth="1"/>
    <col min="13068" max="13068" width="25" style="553" bestFit="1" customWidth="1"/>
    <col min="13069" max="13070" width="12.28515625" style="553" bestFit="1" customWidth="1"/>
    <col min="13071" max="13071" width="24.7109375" style="553" bestFit="1" customWidth="1"/>
    <col min="13072" max="13072" width="15" style="553" bestFit="1" customWidth="1"/>
    <col min="13073" max="13317" width="9.140625" style="553"/>
    <col min="13318" max="13318" width="6.42578125" style="553" bestFit="1" customWidth="1"/>
    <col min="13319" max="13319" width="32" style="553" bestFit="1" customWidth="1"/>
    <col min="13320" max="13320" width="14.5703125" style="553" bestFit="1" customWidth="1"/>
    <col min="13321" max="13321" width="12.42578125" style="553" bestFit="1" customWidth="1"/>
    <col min="13322" max="13322" width="51.28515625" style="553" bestFit="1" customWidth="1"/>
    <col min="13323" max="13323" width="14.85546875" style="553" bestFit="1" customWidth="1"/>
    <col min="13324" max="13324" width="25" style="553" bestFit="1" customWidth="1"/>
    <col min="13325" max="13326" width="12.28515625" style="553" bestFit="1" customWidth="1"/>
    <col min="13327" max="13327" width="24.7109375" style="553" bestFit="1" customWidth="1"/>
    <col min="13328" max="13328" width="15" style="553" bestFit="1" customWidth="1"/>
    <col min="13329" max="13573" width="9.140625" style="553"/>
    <col min="13574" max="13574" width="6.42578125" style="553" bestFit="1" customWidth="1"/>
    <col min="13575" max="13575" width="32" style="553" bestFit="1" customWidth="1"/>
    <col min="13576" max="13576" width="14.5703125" style="553" bestFit="1" customWidth="1"/>
    <col min="13577" max="13577" width="12.42578125" style="553" bestFit="1" customWidth="1"/>
    <col min="13578" max="13578" width="51.28515625" style="553" bestFit="1" customWidth="1"/>
    <col min="13579" max="13579" width="14.85546875" style="553" bestFit="1" customWidth="1"/>
    <col min="13580" max="13580" width="25" style="553" bestFit="1" customWidth="1"/>
    <col min="13581" max="13582" width="12.28515625" style="553" bestFit="1" customWidth="1"/>
    <col min="13583" max="13583" width="24.7109375" style="553" bestFit="1" customWidth="1"/>
    <col min="13584" max="13584" width="15" style="553" bestFit="1" customWidth="1"/>
    <col min="13585" max="13829" width="9.140625" style="553"/>
    <col min="13830" max="13830" width="6.42578125" style="553" bestFit="1" customWidth="1"/>
    <col min="13831" max="13831" width="32" style="553" bestFit="1" customWidth="1"/>
    <col min="13832" max="13832" width="14.5703125" style="553" bestFit="1" customWidth="1"/>
    <col min="13833" max="13833" width="12.42578125" style="553" bestFit="1" customWidth="1"/>
    <col min="13834" max="13834" width="51.28515625" style="553" bestFit="1" customWidth="1"/>
    <col min="13835" max="13835" width="14.85546875" style="553" bestFit="1" customWidth="1"/>
    <col min="13836" max="13836" width="25" style="553" bestFit="1" customWidth="1"/>
    <col min="13837" max="13838" width="12.28515625" style="553" bestFit="1" customWidth="1"/>
    <col min="13839" max="13839" width="24.7109375" style="553" bestFit="1" customWidth="1"/>
    <col min="13840" max="13840" width="15" style="553" bestFit="1" customWidth="1"/>
    <col min="13841" max="14085" width="9.140625" style="553"/>
    <col min="14086" max="14086" width="6.42578125" style="553" bestFit="1" customWidth="1"/>
    <col min="14087" max="14087" width="32" style="553" bestFit="1" customWidth="1"/>
    <col min="14088" max="14088" width="14.5703125" style="553" bestFit="1" customWidth="1"/>
    <col min="14089" max="14089" width="12.42578125" style="553" bestFit="1" customWidth="1"/>
    <col min="14090" max="14090" width="51.28515625" style="553" bestFit="1" customWidth="1"/>
    <col min="14091" max="14091" width="14.85546875" style="553" bestFit="1" customWidth="1"/>
    <col min="14092" max="14092" width="25" style="553" bestFit="1" customWidth="1"/>
    <col min="14093" max="14094" width="12.28515625" style="553" bestFit="1" customWidth="1"/>
    <col min="14095" max="14095" width="24.7109375" style="553" bestFit="1" customWidth="1"/>
    <col min="14096" max="14096" width="15" style="553" bestFit="1" customWidth="1"/>
    <col min="14097" max="14341" width="9.140625" style="553"/>
    <col min="14342" max="14342" width="6.42578125" style="553" bestFit="1" customWidth="1"/>
    <col min="14343" max="14343" width="32" style="553" bestFit="1" customWidth="1"/>
    <col min="14344" max="14344" width="14.5703125" style="553" bestFit="1" customWidth="1"/>
    <col min="14345" max="14345" width="12.42578125" style="553" bestFit="1" customWidth="1"/>
    <col min="14346" max="14346" width="51.28515625" style="553" bestFit="1" customWidth="1"/>
    <col min="14347" max="14347" width="14.85546875" style="553" bestFit="1" customWidth="1"/>
    <col min="14348" max="14348" width="25" style="553" bestFit="1" customWidth="1"/>
    <col min="14349" max="14350" width="12.28515625" style="553" bestFit="1" customWidth="1"/>
    <col min="14351" max="14351" width="24.7109375" style="553" bestFit="1" customWidth="1"/>
    <col min="14352" max="14352" width="15" style="553" bestFit="1" customWidth="1"/>
    <col min="14353" max="14597" width="9.140625" style="553"/>
    <col min="14598" max="14598" width="6.42578125" style="553" bestFit="1" customWidth="1"/>
    <col min="14599" max="14599" width="32" style="553" bestFit="1" customWidth="1"/>
    <col min="14600" max="14600" width="14.5703125" style="553" bestFit="1" customWidth="1"/>
    <col min="14601" max="14601" width="12.42578125" style="553" bestFit="1" customWidth="1"/>
    <col min="14602" max="14602" width="51.28515625" style="553" bestFit="1" customWidth="1"/>
    <col min="14603" max="14603" width="14.85546875" style="553" bestFit="1" customWidth="1"/>
    <col min="14604" max="14604" width="25" style="553" bestFit="1" customWidth="1"/>
    <col min="14605" max="14606" width="12.28515625" style="553" bestFit="1" customWidth="1"/>
    <col min="14607" max="14607" width="24.7109375" style="553" bestFit="1" customWidth="1"/>
    <col min="14608" max="14608" width="15" style="553" bestFit="1" customWidth="1"/>
    <col min="14609" max="14853" width="9.140625" style="553"/>
    <col min="14854" max="14854" width="6.42578125" style="553" bestFit="1" customWidth="1"/>
    <col min="14855" max="14855" width="32" style="553" bestFit="1" customWidth="1"/>
    <col min="14856" max="14856" width="14.5703125" style="553" bestFit="1" customWidth="1"/>
    <col min="14857" max="14857" width="12.42578125" style="553" bestFit="1" customWidth="1"/>
    <col min="14858" max="14858" width="51.28515625" style="553" bestFit="1" customWidth="1"/>
    <col min="14859" max="14859" width="14.85546875" style="553" bestFit="1" customWidth="1"/>
    <col min="14860" max="14860" width="25" style="553" bestFit="1" customWidth="1"/>
    <col min="14861" max="14862" width="12.28515625" style="553" bestFit="1" customWidth="1"/>
    <col min="14863" max="14863" width="24.7109375" style="553" bestFit="1" customWidth="1"/>
    <col min="14864" max="14864" width="15" style="553" bestFit="1" customWidth="1"/>
    <col min="14865" max="15109" width="9.140625" style="553"/>
    <col min="15110" max="15110" width="6.42578125" style="553" bestFit="1" customWidth="1"/>
    <col min="15111" max="15111" width="32" style="553" bestFit="1" customWidth="1"/>
    <col min="15112" max="15112" width="14.5703125" style="553" bestFit="1" customWidth="1"/>
    <col min="15113" max="15113" width="12.42578125" style="553" bestFit="1" customWidth="1"/>
    <col min="15114" max="15114" width="51.28515625" style="553" bestFit="1" customWidth="1"/>
    <col min="15115" max="15115" width="14.85546875" style="553" bestFit="1" customWidth="1"/>
    <col min="15116" max="15116" width="25" style="553" bestFit="1" customWidth="1"/>
    <col min="15117" max="15118" width="12.28515625" style="553" bestFit="1" customWidth="1"/>
    <col min="15119" max="15119" width="24.7109375" style="553" bestFit="1" customWidth="1"/>
    <col min="15120" max="15120" width="15" style="553" bestFit="1" customWidth="1"/>
    <col min="15121" max="15365" width="9.140625" style="553"/>
    <col min="15366" max="15366" width="6.42578125" style="553" bestFit="1" customWidth="1"/>
    <col min="15367" max="15367" width="32" style="553" bestFit="1" customWidth="1"/>
    <col min="15368" max="15368" width="14.5703125" style="553" bestFit="1" customWidth="1"/>
    <col min="15369" max="15369" width="12.42578125" style="553" bestFit="1" customWidth="1"/>
    <col min="15370" max="15370" width="51.28515625" style="553" bestFit="1" customWidth="1"/>
    <col min="15371" max="15371" width="14.85546875" style="553" bestFit="1" customWidth="1"/>
    <col min="15372" max="15372" width="25" style="553" bestFit="1" customWidth="1"/>
    <col min="15373" max="15374" width="12.28515625" style="553" bestFit="1" customWidth="1"/>
    <col min="15375" max="15375" width="24.7109375" style="553" bestFit="1" customWidth="1"/>
    <col min="15376" max="15376" width="15" style="553" bestFit="1" customWidth="1"/>
    <col min="15377" max="15621" width="9.140625" style="553"/>
    <col min="15622" max="15622" width="6.42578125" style="553" bestFit="1" customWidth="1"/>
    <col min="15623" max="15623" width="32" style="553" bestFit="1" customWidth="1"/>
    <col min="15624" max="15624" width="14.5703125" style="553" bestFit="1" customWidth="1"/>
    <col min="15625" max="15625" width="12.42578125" style="553" bestFit="1" customWidth="1"/>
    <col min="15626" max="15626" width="51.28515625" style="553" bestFit="1" customWidth="1"/>
    <col min="15627" max="15627" width="14.85546875" style="553" bestFit="1" customWidth="1"/>
    <col min="15628" max="15628" width="25" style="553" bestFit="1" customWidth="1"/>
    <col min="15629" max="15630" width="12.28515625" style="553" bestFit="1" customWidth="1"/>
    <col min="15631" max="15631" width="24.7109375" style="553" bestFit="1" customWidth="1"/>
    <col min="15632" max="15632" width="15" style="553" bestFit="1" customWidth="1"/>
    <col min="15633" max="15877" width="9.140625" style="553"/>
    <col min="15878" max="15878" width="6.42578125" style="553" bestFit="1" customWidth="1"/>
    <col min="15879" max="15879" width="32" style="553" bestFit="1" customWidth="1"/>
    <col min="15880" max="15880" width="14.5703125" style="553" bestFit="1" customWidth="1"/>
    <col min="15881" max="15881" width="12.42578125" style="553" bestFit="1" customWidth="1"/>
    <col min="15882" max="15882" width="51.28515625" style="553" bestFit="1" customWidth="1"/>
    <col min="15883" max="15883" width="14.85546875" style="553" bestFit="1" customWidth="1"/>
    <col min="15884" max="15884" width="25" style="553" bestFit="1" customWidth="1"/>
    <col min="15885" max="15886" width="12.28515625" style="553" bestFit="1" customWidth="1"/>
    <col min="15887" max="15887" width="24.7109375" style="553" bestFit="1" customWidth="1"/>
    <col min="15888" max="15888" width="15" style="553" bestFit="1" customWidth="1"/>
    <col min="15889" max="16133" width="9.140625" style="553"/>
    <col min="16134" max="16134" width="6.42578125" style="553" bestFit="1" customWidth="1"/>
    <col min="16135" max="16135" width="32" style="553" bestFit="1" customWidth="1"/>
    <col min="16136" max="16136" width="14.5703125" style="553" bestFit="1" customWidth="1"/>
    <col min="16137" max="16137" width="12.42578125" style="553" bestFit="1" customWidth="1"/>
    <col min="16138" max="16138" width="51.28515625" style="553" bestFit="1" customWidth="1"/>
    <col min="16139" max="16139" width="14.85546875" style="553" bestFit="1" customWidth="1"/>
    <col min="16140" max="16140" width="25" style="553" bestFit="1" customWidth="1"/>
    <col min="16141" max="16142" width="12.28515625" style="553" bestFit="1" customWidth="1"/>
    <col min="16143" max="16143" width="24.7109375" style="553" bestFit="1" customWidth="1"/>
    <col min="16144" max="16144" width="15" style="553" bestFit="1" customWidth="1"/>
    <col min="16145" max="16384" width="9.140625" style="553"/>
  </cols>
  <sheetData>
    <row r="1" spans="1:17" x14ac:dyDescent="0.65">
      <c r="A1" s="1308" t="s">
        <v>80</v>
      </c>
      <c r="B1" s="1308"/>
      <c r="C1" s="1308"/>
      <c r="D1" s="1308"/>
      <c r="E1" s="1308"/>
      <c r="F1" s="1308"/>
      <c r="G1" s="1308"/>
      <c r="H1" s="1308"/>
      <c r="I1" s="1308"/>
      <c r="J1" s="1308"/>
      <c r="K1" s="1308"/>
      <c r="L1" s="1308"/>
    </row>
    <row r="2" spans="1:17" x14ac:dyDescent="0.65">
      <c r="A2" s="1308" t="s">
        <v>539</v>
      </c>
      <c r="B2" s="1308"/>
      <c r="C2" s="1308"/>
      <c r="D2" s="1308"/>
      <c r="E2" s="1308"/>
      <c r="F2" s="1308"/>
      <c r="G2" s="1308"/>
      <c r="H2" s="1308"/>
      <c r="I2" s="1308"/>
      <c r="J2" s="1308"/>
      <c r="K2" s="1308"/>
      <c r="L2" s="1308"/>
    </row>
    <row r="3" spans="1:17" x14ac:dyDescent="0.65">
      <c r="A3" s="1309" t="str">
        <f>+รายจ่ายจริง!A3:P3</f>
        <v>ตั้งแต่วันที่ 1  ตุลาคม 2564 ถึงวันที่ 31 มกราคม 2565</v>
      </c>
      <c r="B3" s="1309"/>
      <c r="C3" s="1309"/>
      <c r="D3" s="1309"/>
      <c r="E3" s="1309"/>
      <c r="F3" s="1309"/>
      <c r="G3" s="1309"/>
      <c r="H3" s="1309"/>
      <c r="I3" s="1309"/>
      <c r="J3" s="1309"/>
      <c r="K3" s="1309"/>
      <c r="L3" s="1309"/>
    </row>
    <row r="4" spans="1:17" s="556" customFormat="1" ht="24" x14ac:dyDescent="0.55000000000000004">
      <c r="A4" s="677" t="s">
        <v>0</v>
      </c>
      <c r="B4" s="1298" t="s">
        <v>374</v>
      </c>
      <c r="C4" s="1298" t="s">
        <v>375</v>
      </c>
      <c r="D4" s="1298" t="s">
        <v>525</v>
      </c>
      <c r="E4" s="1299" t="s">
        <v>172</v>
      </c>
      <c r="F4" s="1298" t="s">
        <v>376</v>
      </c>
      <c r="G4" s="1300" t="s">
        <v>320</v>
      </c>
      <c r="H4" s="1304" t="s">
        <v>377</v>
      </c>
      <c r="I4" s="677" t="s">
        <v>17</v>
      </c>
      <c r="J4" s="1306" t="s">
        <v>535</v>
      </c>
      <c r="K4" s="677" t="s">
        <v>536</v>
      </c>
      <c r="L4" s="555" t="s">
        <v>618</v>
      </c>
      <c r="M4" s="1296" t="s">
        <v>526</v>
      </c>
      <c r="N4" s="1296" t="s">
        <v>527</v>
      </c>
      <c r="O4" s="1296" t="s">
        <v>528</v>
      </c>
      <c r="P4" s="556" t="s">
        <v>378</v>
      </c>
    </row>
    <row r="5" spans="1:17" s="556" customFormat="1" ht="24" x14ac:dyDescent="0.55000000000000004">
      <c r="A5" s="678" t="s">
        <v>58</v>
      </c>
      <c r="B5" s="1298"/>
      <c r="C5" s="1298"/>
      <c r="D5" s="1298"/>
      <c r="E5" s="1299"/>
      <c r="F5" s="1298"/>
      <c r="G5" s="1300"/>
      <c r="H5" s="1305"/>
      <c r="I5" s="678" t="s">
        <v>534</v>
      </c>
      <c r="J5" s="1307"/>
      <c r="K5" s="678" t="s">
        <v>81</v>
      </c>
      <c r="L5" s="558" t="s">
        <v>606</v>
      </c>
      <c r="M5" s="1297"/>
      <c r="N5" s="1297"/>
      <c r="O5" s="1297"/>
    </row>
    <row r="6" spans="1:17" s="567" customFormat="1" ht="38.25" customHeight="1" x14ac:dyDescent="0.55000000000000004">
      <c r="A6" s="559">
        <v>1</v>
      </c>
      <c r="B6" s="560" t="s">
        <v>107</v>
      </c>
      <c r="C6" s="559">
        <v>1600699998</v>
      </c>
      <c r="D6" s="559" t="s">
        <v>14</v>
      </c>
      <c r="E6" s="561" t="s">
        <v>514</v>
      </c>
      <c r="F6" s="559">
        <v>7014096956</v>
      </c>
      <c r="G6" s="562" t="s">
        <v>283</v>
      </c>
      <c r="H6" s="506">
        <v>43000</v>
      </c>
      <c r="I6" s="563">
        <v>43000</v>
      </c>
      <c r="J6" s="564">
        <f t="shared" ref="J6:J20" si="0">+H6-I6</f>
        <v>0</v>
      </c>
      <c r="K6" s="564">
        <f t="shared" ref="K6:K40" si="1">+I6*100/H6</f>
        <v>100</v>
      </c>
      <c r="L6" s="507" t="s">
        <v>285</v>
      </c>
      <c r="M6" s="565" t="s">
        <v>452</v>
      </c>
      <c r="N6" s="566" t="s">
        <v>453</v>
      </c>
      <c r="O6" s="566" t="s">
        <v>401</v>
      </c>
      <c r="P6" s="566" t="s">
        <v>454</v>
      </c>
    </row>
    <row r="7" spans="1:17" s="567" customFormat="1" ht="38.25" customHeight="1" x14ac:dyDescent="0.55000000000000004">
      <c r="A7" s="559">
        <v>2</v>
      </c>
      <c r="B7" s="560" t="s">
        <v>107</v>
      </c>
      <c r="C7" s="559">
        <v>1600699998</v>
      </c>
      <c r="D7" s="559" t="s">
        <v>14</v>
      </c>
      <c r="E7" s="561" t="s">
        <v>512</v>
      </c>
      <c r="F7" s="559">
        <v>7014150012</v>
      </c>
      <c r="G7" s="562" t="s">
        <v>523</v>
      </c>
      <c r="H7" s="506">
        <f>123750*3</f>
        <v>371250</v>
      </c>
      <c r="I7" s="563">
        <v>371250</v>
      </c>
      <c r="J7" s="564">
        <f t="shared" si="0"/>
        <v>0</v>
      </c>
      <c r="K7" s="564">
        <f t="shared" si="1"/>
        <v>100</v>
      </c>
      <c r="L7" s="507" t="s">
        <v>285</v>
      </c>
      <c r="M7" s="565" t="s">
        <v>456</v>
      </c>
      <c r="N7" s="566" t="s">
        <v>457</v>
      </c>
      <c r="O7" s="566" t="s">
        <v>401</v>
      </c>
      <c r="P7" s="566" t="s">
        <v>458</v>
      </c>
    </row>
    <row r="8" spans="1:17" s="567" customFormat="1" ht="38.25" customHeight="1" x14ac:dyDescent="0.55000000000000004">
      <c r="A8" s="559">
        <v>3</v>
      </c>
      <c r="B8" s="560" t="s">
        <v>107</v>
      </c>
      <c r="C8" s="559">
        <v>1600699998</v>
      </c>
      <c r="D8" s="559" t="s">
        <v>14</v>
      </c>
      <c r="E8" s="561" t="s">
        <v>514</v>
      </c>
      <c r="F8" s="559">
        <v>7014665430</v>
      </c>
      <c r="G8" s="562" t="s">
        <v>283</v>
      </c>
      <c r="H8" s="506">
        <v>41810</v>
      </c>
      <c r="I8" s="563">
        <v>41810</v>
      </c>
      <c r="J8" s="564">
        <f t="shared" si="0"/>
        <v>0</v>
      </c>
      <c r="K8" s="564">
        <f t="shared" si="1"/>
        <v>100</v>
      </c>
      <c r="L8" s="507" t="s">
        <v>285</v>
      </c>
      <c r="M8" s="565" t="s">
        <v>452</v>
      </c>
      <c r="N8" s="566" t="s">
        <v>463</v>
      </c>
      <c r="O8" s="566" t="s">
        <v>401</v>
      </c>
      <c r="P8" s="566" t="s">
        <v>454</v>
      </c>
    </row>
    <row r="9" spans="1:17" s="567" customFormat="1" ht="38.25" customHeight="1" x14ac:dyDescent="0.55000000000000004">
      <c r="A9" s="559">
        <v>4</v>
      </c>
      <c r="B9" s="560" t="s">
        <v>107</v>
      </c>
      <c r="C9" s="559">
        <v>1600600004</v>
      </c>
      <c r="D9" s="559" t="s">
        <v>14</v>
      </c>
      <c r="E9" s="561" t="s">
        <v>514</v>
      </c>
      <c r="F9" s="559">
        <v>7014789388</v>
      </c>
      <c r="G9" s="562" t="s">
        <v>521</v>
      </c>
      <c r="H9" s="506">
        <v>280730</v>
      </c>
      <c r="I9" s="563">
        <v>280730</v>
      </c>
      <c r="J9" s="564">
        <f t="shared" si="0"/>
        <v>0</v>
      </c>
      <c r="K9" s="564">
        <f t="shared" si="1"/>
        <v>100</v>
      </c>
      <c r="L9" s="507" t="s">
        <v>285</v>
      </c>
      <c r="M9" s="565" t="s">
        <v>474</v>
      </c>
      <c r="N9" s="566" t="s">
        <v>387</v>
      </c>
      <c r="O9" s="566" t="s">
        <v>475</v>
      </c>
      <c r="P9" s="566" t="s">
        <v>476</v>
      </c>
    </row>
    <row r="10" spans="1:17" s="567" customFormat="1" ht="38.25" customHeight="1" x14ac:dyDescent="0.55000000000000004">
      <c r="A10" s="559">
        <v>5</v>
      </c>
      <c r="B10" s="560" t="s">
        <v>107</v>
      </c>
      <c r="C10" s="559">
        <v>1600600005</v>
      </c>
      <c r="D10" s="559" t="s">
        <v>14</v>
      </c>
      <c r="E10" s="561" t="s">
        <v>514</v>
      </c>
      <c r="F10" s="559">
        <v>7014934640</v>
      </c>
      <c r="G10" s="562" t="s">
        <v>704</v>
      </c>
      <c r="H10" s="506">
        <v>7500</v>
      </c>
      <c r="I10" s="563">
        <v>7500</v>
      </c>
      <c r="J10" s="564">
        <f t="shared" si="0"/>
        <v>0</v>
      </c>
      <c r="K10" s="564">
        <f t="shared" si="1"/>
        <v>100</v>
      </c>
      <c r="L10" s="507" t="s">
        <v>285</v>
      </c>
      <c r="M10" s="565" t="s">
        <v>480</v>
      </c>
      <c r="N10" s="566" t="s">
        <v>422</v>
      </c>
      <c r="O10" s="566" t="s">
        <v>397</v>
      </c>
      <c r="P10" s="566" t="s">
        <v>455</v>
      </c>
    </row>
    <row r="11" spans="1:17" s="567" customFormat="1" ht="58.5" customHeight="1" x14ac:dyDescent="0.55000000000000004">
      <c r="A11" s="559">
        <v>6</v>
      </c>
      <c r="B11" s="560" t="s">
        <v>107</v>
      </c>
      <c r="C11" s="559">
        <v>1600600006</v>
      </c>
      <c r="D11" s="559" t="s">
        <v>14</v>
      </c>
      <c r="E11" s="561" t="s">
        <v>514</v>
      </c>
      <c r="F11" s="559">
        <v>7015013787</v>
      </c>
      <c r="G11" s="511" t="s">
        <v>538</v>
      </c>
      <c r="H11" s="506">
        <v>799000</v>
      </c>
      <c r="I11" s="563">
        <f>799000-559300</f>
        <v>239700</v>
      </c>
      <c r="J11" s="564">
        <f t="shared" si="0"/>
        <v>559300</v>
      </c>
      <c r="K11" s="564">
        <f t="shared" si="1"/>
        <v>30</v>
      </c>
      <c r="L11" s="507" t="s">
        <v>614</v>
      </c>
      <c r="M11" s="565" t="s">
        <v>477</v>
      </c>
      <c r="N11" s="566" t="s">
        <v>481</v>
      </c>
      <c r="O11" s="566" t="s">
        <v>482</v>
      </c>
      <c r="P11" s="566" t="s">
        <v>478</v>
      </c>
    </row>
    <row r="12" spans="1:17" s="567" customFormat="1" ht="222" customHeight="1" x14ac:dyDescent="0.55000000000000004">
      <c r="A12" s="559">
        <v>7</v>
      </c>
      <c r="B12" s="560" t="s">
        <v>107</v>
      </c>
      <c r="C12" s="559">
        <v>1600699998</v>
      </c>
      <c r="D12" s="559" t="s">
        <v>14</v>
      </c>
      <c r="E12" s="561" t="s">
        <v>512</v>
      </c>
      <c r="F12" s="675" t="s">
        <v>709</v>
      </c>
      <c r="G12" s="511" t="s">
        <v>498</v>
      </c>
      <c r="H12" s="506">
        <f>5772752.96-267340.31</f>
        <v>5505412.6500000004</v>
      </c>
      <c r="I12" s="505">
        <v>4784179.1500000004</v>
      </c>
      <c r="J12" s="510">
        <f t="shared" si="0"/>
        <v>721233.5</v>
      </c>
      <c r="K12" s="564">
        <f t="shared" si="1"/>
        <v>86.899556021472804</v>
      </c>
      <c r="L12" s="568" t="s">
        <v>707</v>
      </c>
      <c r="M12" s="565" t="s">
        <v>499</v>
      </c>
      <c r="N12" s="566" t="s">
        <v>400</v>
      </c>
      <c r="O12" s="566" t="s">
        <v>484</v>
      </c>
      <c r="P12" s="566" t="s">
        <v>500</v>
      </c>
      <c r="Q12" s="569"/>
    </row>
    <row r="13" spans="1:17" s="567" customFormat="1" ht="26.25" customHeight="1" x14ac:dyDescent="0.55000000000000004">
      <c r="A13" s="559">
        <v>8</v>
      </c>
      <c r="B13" s="560" t="s">
        <v>417</v>
      </c>
      <c r="C13" s="559">
        <v>1600600453</v>
      </c>
      <c r="D13" s="559" t="s">
        <v>14</v>
      </c>
      <c r="E13" s="561" t="s">
        <v>512</v>
      </c>
      <c r="F13" s="559">
        <v>7015155496</v>
      </c>
      <c r="G13" s="562" t="s">
        <v>524</v>
      </c>
      <c r="H13" s="506">
        <v>17983</v>
      </c>
      <c r="I13" s="563">
        <v>17983</v>
      </c>
      <c r="J13" s="564">
        <f t="shared" si="0"/>
        <v>0</v>
      </c>
      <c r="K13" s="564">
        <f t="shared" si="1"/>
        <v>100</v>
      </c>
      <c r="L13" s="507" t="s">
        <v>285</v>
      </c>
      <c r="M13" s="565" t="s">
        <v>418</v>
      </c>
      <c r="N13" s="566" t="s">
        <v>419</v>
      </c>
      <c r="O13" s="566" t="s">
        <v>420</v>
      </c>
      <c r="P13" s="566" t="s">
        <v>421</v>
      </c>
    </row>
    <row r="14" spans="1:17" s="567" customFormat="1" ht="26.25" customHeight="1" x14ac:dyDescent="0.55000000000000004">
      <c r="A14" s="559">
        <v>9</v>
      </c>
      <c r="B14" s="560" t="s">
        <v>406</v>
      </c>
      <c r="C14" s="559">
        <v>1600600711</v>
      </c>
      <c r="D14" s="559" t="s">
        <v>14</v>
      </c>
      <c r="E14" s="561" t="s">
        <v>512</v>
      </c>
      <c r="F14" s="559">
        <v>7015264822</v>
      </c>
      <c r="G14" s="570" t="s">
        <v>529</v>
      </c>
      <c r="H14" s="506">
        <v>204000</v>
      </c>
      <c r="I14" s="563">
        <v>204000</v>
      </c>
      <c r="J14" s="564">
        <f t="shared" si="0"/>
        <v>0</v>
      </c>
      <c r="K14" s="564">
        <f t="shared" si="1"/>
        <v>100</v>
      </c>
      <c r="L14" s="507" t="s">
        <v>285</v>
      </c>
      <c r="M14" s="565" t="s">
        <v>407</v>
      </c>
      <c r="N14" s="566" t="s">
        <v>408</v>
      </c>
      <c r="O14" s="566" t="s">
        <v>401</v>
      </c>
      <c r="P14" s="566" t="s">
        <v>409</v>
      </c>
    </row>
    <row r="15" spans="1:17" s="567" customFormat="1" ht="26.25" customHeight="1" x14ac:dyDescent="0.55000000000000004">
      <c r="A15" s="559">
        <v>10</v>
      </c>
      <c r="B15" s="560" t="s">
        <v>406</v>
      </c>
      <c r="C15" s="559">
        <v>1600600711</v>
      </c>
      <c r="D15" s="559" t="s">
        <v>14</v>
      </c>
      <c r="E15" s="561" t="s">
        <v>512</v>
      </c>
      <c r="F15" s="559">
        <v>7015272951</v>
      </c>
      <c r="G15" s="570" t="s">
        <v>530</v>
      </c>
      <c r="H15" s="506">
        <v>154404.6</v>
      </c>
      <c r="I15" s="563">
        <v>154404.6</v>
      </c>
      <c r="J15" s="564">
        <f t="shared" si="0"/>
        <v>0</v>
      </c>
      <c r="K15" s="564">
        <f t="shared" si="1"/>
        <v>100</v>
      </c>
      <c r="L15" s="507" t="s">
        <v>285</v>
      </c>
      <c r="M15" s="565" t="s">
        <v>410</v>
      </c>
      <c r="N15" s="566" t="s">
        <v>400</v>
      </c>
      <c r="O15" s="566" t="s">
        <v>401</v>
      </c>
      <c r="P15" s="566" t="s">
        <v>411</v>
      </c>
    </row>
    <row r="16" spans="1:17" s="567" customFormat="1" ht="26.25" customHeight="1" x14ac:dyDescent="0.55000000000000004">
      <c r="A16" s="559">
        <v>11</v>
      </c>
      <c r="B16" s="560" t="s">
        <v>107</v>
      </c>
      <c r="C16" s="559">
        <v>1600600011</v>
      </c>
      <c r="D16" s="559" t="s">
        <v>14</v>
      </c>
      <c r="E16" s="561" t="s">
        <v>514</v>
      </c>
      <c r="F16" s="559">
        <v>7014733954</v>
      </c>
      <c r="G16" s="562" t="s">
        <v>469</v>
      </c>
      <c r="H16" s="506">
        <v>147660</v>
      </c>
      <c r="I16" s="563">
        <v>147660</v>
      </c>
      <c r="J16" s="564">
        <f t="shared" si="0"/>
        <v>0</v>
      </c>
      <c r="K16" s="564">
        <f>+I16*100/H16</f>
        <v>100</v>
      </c>
      <c r="L16" s="507" t="s">
        <v>285</v>
      </c>
      <c r="M16" s="565" t="s">
        <v>470</v>
      </c>
      <c r="N16" s="566" t="s">
        <v>471</v>
      </c>
      <c r="O16" s="566" t="s">
        <v>472</v>
      </c>
      <c r="P16" s="566" t="s">
        <v>473</v>
      </c>
    </row>
    <row r="17" spans="1:16" s="567" customFormat="1" ht="26.25" customHeight="1" x14ac:dyDescent="0.55000000000000004">
      <c r="A17" s="559">
        <v>12</v>
      </c>
      <c r="B17" s="560" t="s">
        <v>107</v>
      </c>
      <c r="C17" s="559">
        <v>1600699998</v>
      </c>
      <c r="D17" s="559" t="s">
        <v>14</v>
      </c>
      <c r="E17" s="561" t="s">
        <v>514</v>
      </c>
      <c r="F17" s="559">
        <v>7015254174</v>
      </c>
      <c r="G17" s="562" t="s">
        <v>493</v>
      </c>
      <c r="H17" s="506">
        <v>5700000</v>
      </c>
      <c r="I17" s="563">
        <v>5700000</v>
      </c>
      <c r="J17" s="564">
        <f t="shared" si="0"/>
        <v>0</v>
      </c>
      <c r="K17" s="564">
        <f>+I17*100/H17</f>
        <v>100</v>
      </c>
      <c r="L17" s="507" t="s">
        <v>285</v>
      </c>
      <c r="M17" s="565" t="s">
        <v>452</v>
      </c>
      <c r="N17" s="566" t="s">
        <v>490</v>
      </c>
      <c r="O17" s="566" t="s">
        <v>494</v>
      </c>
      <c r="P17" s="566" t="s">
        <v>495</v>
      </c>
    </row>
    <row r="18" spans="1:16" s="567" customFormat="1" ht="83.25" x14ac:dyDescent="0.55000000000000004">
      <c r="A18" s="559">
        <v>13</v>
      </c>
      <c r="B18" s="560" t="s">
        <v>433</v>
      </c>
      <c r="C18" s="559">
        <v>1600600220</v>
      </c>
      <c r="D18" s="559" t="s">
        <v>14</v>
      </c>
      <c r="E18" s="561" t="s">
        <v>512</v>
      </c>
      <c r="F18" s="559">
        <v>2000459990</v>
      </c>
      <c r="G18" s="562" t="s">
        <v>282</v>
      </c>
      <c r="H18" s="506">
        <v>55800</v>
      </c>
      <c r="I18" s="563">
        <v>0</v>
      </c>
      <c r="J18" s="564">
        <f t="shared" si="0"/>
        <v>55800</v>
      </c>
      <c r="K18" s="564">
        <f>+I18*100/H18</f>
        <v>0</v>
      </c>
      <c r="L18" s="681" t="s">
        <v>708</v>
      </c>
      <c r="M18" s="565" t="s">
        <v>434</v>
      </c>
      <c r="N18" s="566" t="s">
        <v>435</v>
      </c>
      <c r="O18" s="566" t="s">
        <v>401</v>
      </c>
      <c r="P18" s="566" t="s">
        <v>436</v>
      </c>
    </row>
    <row r="19" spans="1:16" s="567" customFormat="1" ht="33.75" customHeight="1" x14ac:dyDescent="0.55000000000000004">
      <c r="A19" s="559">
        <v>14</v>
      </c>
      <c r="B19" s="560" t="s">
        <v>107</v>
      </c>
      <c r="C19" s="559">
        <v>1600699998</v>
      </c>
      <c r="D19" s="559" t="s">
        <v>14</v>
      </c>
      <c r="E19" s="561" t="s">
        <v>512</v>
      </c>
      <c r="F19" s="559">
        <v>7014299345</v>
      </c>
      <c r="G19" s="562" t="s">
        <v>522</v>
      </c>
      <c r="H19" s="506">
        <v>141240</v>
      </c>
      <c r="I19" s="563">
        <v>141240</v>
      </c>
      <c r="J19" s="564">
        <f t="shared" si="0"/>
        <v>0</v>
      </c>
      <c r="K19" s="564">
        <f>+I19*100/H19</f>
        <v>100</v>
      </c>
      <c r="L19" s="507" t="s">
        <v>285</v>
      </c>
      <c r="M19" s="565" t="s">
        <v>459</v>
      </c>
      <c r="N19" s="566" t="s">
        <v>460</v>
      </c>
      <c r="O19" s="566" t="s">
        <v>461</v>
      </c>
      <c r="P19" s="566" t="s">
        <v>462</v>
      </c>
    </row>
    <row r="20" spans="1:16" s="567" customFormat="1" ht="33.75" customHeight="1" x14ac:dyDescent="0.55000000000000004">
      <c r="A20" s="559">
        <v>15</v>
      </c>
      <c r="B20" s="560" t="s">
        <v>412</v>
      </c>
      <c r="C20" s="559">
        <v>1600600013</v>
      </c>
      <c r="D20" s="559" t="s">
        <v>14</v>
      </c>
      <c r="E20" s="561" t="s">
        <v>512</v>
      </c>
      <c r="F20" s="559">
        <v>7014896495</v>
      </c>
      <c r="G20" s="562" t="s">
        <v>413</v>
      </c>
      <c r="H20" s="506">
        <v>2782</v>
      </c>
      <c r="I20" s="563">
        <v>2782</v>
      </c>
      <c r="J20" s="564">
        <f t="shared" si="0"/>
        <v>0</v>
      </c>
      <c r="K20" s="564">
        <f t="shared" si="1"/>
        <v>100</v>
      </c>
      <c r="L20" s="507" t="s">
        <v>285</v>
      </c>
      <c r="M20" s="565" t="s">
        <v>414</v>
      </c>
      <c r="N20" s="566" t="s">
        <v>415</v>
      </c>
      <c r="O20" s="566" t="s">
        <v>399</v>
      </c>
      <c r="P20" s="566" t="s">
        <v>416</v>
      </c>
    </row>
    <row r="21" spans="1:16" s="55" customFormat="1" ht="33.75" customHeight="1" x14ac:dyDescent="0.5">
      <c r="A21" s="1122" t="s">
        <v>532</v>
      </c>
      <c r="B21" s="1123"/>
      <c r="C21" s="1123"/>
      <c r="D21" s="1123"/>
      <c r="E21" s="1123"/>
      <c r="F21" s="1123"/>
      <c r="G21" s="1124"/>
      <c r="H21" s="571">
        <f>SUM(H6:H20)</f>
        <v>13472572.25</v>
      </c>
      <c r="I21" s="571">
        <f>SUM(I6:I20)</f>
        <v>12136238.75</v>
      </c>
      <c r="J21" s="674">
        <f>SUM(J6:J20)</f>
        <v>1336333.5</v>
      </c>
      <c r="K21" s="572">
        <f t="shared" si="1"/>
        <v>90.081081212980692</v>
      </c>
      <c r="L21" s="573"/>
      <c r="M21" s="574"/>
      <c r="N21" s="676"/>
      <c r="O21" s="676"/>
      <c r="P21" s="676"/>
    </row>
    <row r="22" spans="1:16" s="567" customFormat="1" ht="33.75" customHeight="1" x14ac:dyDescent="0.55000000000000004">
      <c r="A22" s="559">
        <v>16</v>
      </c>
      <c r="B22" s="560" t="s">
        <v>107</v>
      </c>
      <c r="C22" s="559">
        <v>1600699998</v>
      </c>
      <c r="D22" s="559" t="s">
        <v>15</v>
      </c>
      <c r="E22" s="561" t="s">
        <v>513</v>
      </c>
      <c r="F22" s="559">
        <v>7014716158</v>
      </c>
      <c r="G22" s="562" t="s">
        <v>464</v>
      </c>
      <c r="H22" s="506">
        <v>2274000</v>
      </c>
      <c r="I22" s="563">
        <v>2274000</v>
      </c>
      <c r="J22" s="564">
        <f t="shared" ref="J22:J39" si="2">+H22-I22</f>
        <v>0</v>
      </c>
      <c r="K22" s="564">
        <f t="shared" si="1"/>
        <v>100</v>
      </c>
      <c r="L22" s="507" t="s">
        <v>285</v>
      </c>
      <c r="M22" s="565" t="s">
        <v>465</v>
      </c>
      <c r="N22" s="566" t="s">
        <v>466</v>
      </c>
      <c r="O22" s="566" t="s">
        <v>467</v>
      </c>
      <c r="P22" s="566" t="s">
        <v>468</v>
      </c>
    </row>
    <row r="23" spans="1:16" s="567" customFormat="1" ht="33.75" customHeight="1" x14ac:dyDescent="0.55000000000000004">
      <c r="A23" s="559">
        <v>17</v>
      </c>
      <c r="B23" s="560" t="s">
        <v>107</v>
      </c>
      <c r="C23" s="559">
        <v>1600600011</v>
      </c>
      <c r="D23" s="559" t="s">
        <v>15</v>
      </c>
      <c r="E23" s="561" t="s">
        <v>517</v>
      </c>
      <c r="F23" s="559">
        <v>7015248976</v>
      </c>
      <c r="G23" s="562" t="s">
        <v>518</v>
      </c>
      <c r="H23" s="506">
        <v>500000</v>
      </c>
      <c r="I23" s="563">
        <v>500000</v>
      </c>
      <c r="J23" s="564">
        <f t="shared" si="2"/>
        <v>0</v>
      </c>
      <c r="K23" s="564">
        <f t="shared" si="1"/>
        <v>100</v>
      </c>
      <c r="L23" s="507" t="s">
        <v>285</v>
      </c>
      <c r="M23" s="565" t="s">
        <v>489</v>
      </c>
      <c r="N23" s="566" t="s">
        <v>490</v>
      </c>
      <c r="O23" s="566" t="s">
        <v>491</v>
      </c>
      <c r="P23" s="566" t="s">
        <v>492</v>
      </c>
    </row>
    <row r="24" spans="1:16" s="567" customFormat="1" ht="33.75" customHeight="1" x14ac:dyDescent="0.55000000000000004">
      <c r="A24" s="559">
        <v>18</v>
      </c>
      <c r="B24" s="560" t="s">
        <v>107</v>
      </c>
      <c r="C24" s="559">
        <v>1600600006</v>
      </c>
      <c r="D24" s="559" t="s">
        <v>15</v>
      </c>
      <c r="E24" s="561" t="s">
        <v>515</v>
      </c>
      <c r="F24" s="559">
        <v>7015254679</v>
      </c>
      <c r="G24" s="562" t="s">
        <v>516</v>
      </c>
      <c r="H24" s="506">
        <v>497015</v>
      </c>
      <c r="I24" s="563">
        <v>497015</v>
      </c>
      <c r="J24" s="564">
        <f t="shared" si="2"/>
        <v>0</v>
      </c>
      <c r="K24" s="564">
        <f t="shared" si="1"/>
        <v>100</v>
      </c>
      <c r="L24" s="507" t="s">
        <v>285</v>
      </c>
      <c r="M24" s="565" t="s">
        <v>496</v>
      </c>
      <c r="N24" s="566" t="s">
        <v>400</v>
      </c>
      <c r="O24" s="566" t="s">
        <v>484</v>
      </c>
      <c r="P24" s="566" t="s">
        <v>497</v>
      </c>
    </row>
    <row r="25" spans="1:16" s="567" customFormat="1" ht="33.75" customHeight="1" x14ac:dyDescent="0.55000000000000004">
      <c r="A25" s="559">
        <v>19</v>
      </c>
      <c r="B25" s="560" t="s">
        <v>107</v>
      </c>
      <c r="C25" s="559">
        <v>1600600001</v>
      </c>
      <c r="D25" s="559" t="s">
        <v>15</v>
      </c>
      <c r="E25" s="561" t="s">
        <v>333</v>
      </c>
      <c r="F25" s="559">
        <v>2000397264</v>
      </c>
      <c r="G25" s="562" t="s">
        <v>509</v>
      </c>
      <c r="H25" s="506">
        <v>11135650</v>
      </c>
      <c r="I25" s="563">
        <v>0</v>
      </c>
      <c r="J25" s="564">
        <f t="shared" si="2"/>
        <v>11135650</v>
      </c>
      <c r="K25" s="564">
        <f t="shared" si="1"/>
        <v>0</v>
      </c>
      <c r="L25" s="507" t="s">
        <v>613</v>
      </c>
      <c r="M25" s="565" t="s">
        <v>510</v>
      </c>
      <c r="N25" s="566" t="s">
        <v>400</v>
      </c>
      <c r="O25" s="566" t="s">
        <v>511</v>
      </c>
      <c r="P25" s="566"/>
    </row>
    <row r="26" spans="1:16" s="567" customFormat="1" ht="39" customHeight="1" x14ac:dyDescent="0.55000000000000004">
      <c r="A26" s="559">
        <v>20</v>
      </c>
      <c r="B26" s="560" t="s">
        <v>107</v>
      </c>
      <c r="C26" s="559">
        <v>1600600001</v>
      </c>
      <c r="D26" s="559" t="s">
        <v>15</v>
      </c>
      <c r="E26" s="561" t="s">
        <v>331</v>
      </c>
      <c r="F26" s="559">
        <v>2000420428</v>
      </c>
      <c r="G26" s="562" t="s">
        <v>501</v>
      </c>
      <c r="H26" s="506">
        <v>13054741.23</v>
      </c>
      <c r="I26" s="563">
        <v>13054741.23</v>
      </c>
      <c r="J26" s="564">
        <f t="shared" si="2"/>
        <v>0</v>
      </c>
      <c r="K26" s="564">
        <f t="shared" si="1"/>
        <v>100</v>
      </c>
      <c r="L26" s="507" t="s">
        <v>285</v>
      </c>
      <c r="M26" s="565" t="s">
        <v>502</v>
      </c>
      <c r="N26" s="566" t="s">
        <v>503</v>
      </c>
      <c r="O26" s="566" t="s">
        <v>504</v>
      </c>
      <c r="P26" s="566"/>
    </row>
    <row r="27" spans="1:16" s="567" customFormat="1" ht="39" customHeight="1" x14ac:dyDescent="0.55000000000000004">
      <c r="A27" s="559">
        <v>21</v>
      </c>
      <c r="B27" s="560" t="s">
        <v>107</v>
      </c>
      <c r="C27" s="559">
        <v>1600600001</v>
      </c>
      <c r="D27" s="559" t="s">
        <v>15</v>
      </c>
      <c r="E27" s="561" t="s">
        <v>328</v>
      </c>
      <c r="F27" s="559">
        <v>2000420910</v>
      </c>
      <c r="G27" s="562" t="s">
        <v>505</v>
      </c>
      <c r="H27" s="506">
        <v>5129331</v>
      </c>
      <c r="I27" s="563">
        <v>5129331</v>
      </c>
      <c r="J27" s="564">
        <f t="shared" si="2"/>
        <v>0</v>
      </c>
      <c r="K27" s="564">
        <f t="shared" si="1"/>
        <v>100</v>
      </c>
      <c r="L27" s="507" t="s">
        <v>285</v>
      </c>
      <c r="M27" s="565" t="s">
        <v>506</v>
      </c>
      <c r="N27" s="566" t="s">
        <v>507</v>
      </c>
      <c r="O27" s="566" t="s">
        <v>508</v>
      </c>
      <c r="P27" s="566"/>
    </row>
    <row r="28" spans="1:16" s="567" customFormat="1" ht="39" customHeight="1" x14ac:dyDescent="0.55000000000000004">
      <c r="A28" s="559">
        <v>22</v>
      </c>
      <c r="B28" s="560" t="s">
        <v>107</v>
      </c>
      <c r="C28" s="559">
        <v>1600600001</v>
      </c>
      <c r="D28" s="559" t="s">
        <v>15</v>
      </c>
      <c r="E28" s="561" t="s">
        <v>332</v>
      </c>
      <c r="F28" s="559">
        <v>2000434631</v>
      </c>
      <c r="G28" s="562" t="s">
        <v>437</v>
      </c>
      <c r="H28" s="506">
        <v>5002622</v>
      </c>
      <c r="I28" s="563">
        <v>5002622</v>
      </c>
      <c r="J28" s="564">
        <f t="shared" si="2"/>
        <v>0</v>
      </c>
      <c r="K28" s="564">
        <f t="shared" si="1"/>
        <v>100</v>
      </c>
      <c r="L28" s="507" t="s">
        <v>285</v>
      </c>
      <c r="M28" s="565" t="s">
        <v>438</v>
      </c>
      <c r="N28" s="566" t="s">
        <v>439</v>
      </c>
      <c r="O28" s="566" t="s">
        <v>440</v>
      </c>
      <c r="P28" s="566" t="s">
        <v>441</v>
      </c>
    </row>
    <row r="29" spans="1:16" s="567" customFormat="1" ht="39" customHeight="1" x14ac:dyDescent="0.55000000000000004">
      <c r="A29" s="559">
        <v>23</v>
      </c>
      <c r="B29" s="560" t="s">
        <v>107</v>
      </c>
      <c r="C29" s="559">
        <v>1600600001</v>
      </c>
      <c r="D29" s="559" t="s">
        <v>15</v>
      </c>
      <c r="E29" s="561" t="s">
        <v>329</v>
      </c>
      <c r="F29" s="559">
        <v>2000435147</v>
      </c>
      <c r="G29" s="562" t="s">
        <v>442</v>
      </c>
      <c r="H29" s="506">
        <v>4668200</v>
      </c>
      <c r="I29" s="563">
        <v>0</v>
      </c>
      <c r="J29" s="564">
        <f t="shared" si="2"/>
        <v>4668200</v>
      </c>
      <c r="K29" s="564">
        <f t="shared" si="1"/>
        <v>0</v>
      </c>
      <c r="L29" s="507" t="s">
        <v>705</v>
      </c>
      <c r="M29" s="565" t="s">
        <v>443</v>
      </c>
      <c r="N29" s="566" t="s">
        <v>440</v>
      </c>
      <c r="O29" s="566" t="s">
        <v>444</v>
      </c>
      <c r="P29" s="566" t="s">
        <v>389</v>
      </c>
    </row>
    <row r="30" spans="1:16" s="567" customFormat="1" ht="48" x14ac:dyDescent="0.55000000000000004">
      <c r="A30" s="559">
        <v>24</v>
      </c>
      <c r="B30" s="560" t="s">
        <v>107</v>
      </c>
      <c r="C30" s="559">
        <v>1600600001</v>
      </c>
      <c r="D30" s="559" t="s">
        <v>15</v>
      </c>
      <c r="E30" s="561" t="s">
        <v>334</v>
      </c>
      <c r="F30" s="559">
        <v>2000461421</v>
      </c>
      <c r="G30" s="575" t="s">
        <v>686</v>
      </c>
      <c r="H30" s="506">
        <v>2805000</v>
      </c>
      <c r="I30" s="563">
        <f>2805000-181000</f>
        <v>2624000</v>
      </c>
      <c r="J30" s="564">
        <f t="shared" si="2"/>
        <v>181000</v>
      </c>
      <c r="K30" s="564">
        <f t="shared" si="1"/>
        <v>93.547237076648841</v>
      </c>
      <c r="L30" s="507" t="s">
        <v>706</v>
      </c>
      <c r="M30" s="565" t="s">
        <v>446</v>
      </c>
      <c r="N30" s="566" t="s">
        <v>447</v>
      </c>
      <c r="O30" s="566" t="s">
        <v>448</v>
      </c>
      <c r="P30" s="566" t="s">
        <v>389</v>
      </c>
    </row>
    <row r="31" spans="1:16" s="567" customFormat="1" ht="78" customHeight="1" x14ac:dyDescent="0.55000000000000004">
      <c r="A31" s="559">
        <v>25</v>
      </c>
      <c r="B31" s="560" t="s">
        <v>107</v>
      </c>
      <c r="C31" s="559">
        <v>1600600001</v>
      </c>
      <c r="D31" s="559" t="s">
        <v>15</v>
      </c>
      <c r="E31" s="561" t="s">
        <v>330</v>
      </c>
      <c r="F31" s="559">
        <v>2000475789</v>
      </c>
      <c r="G31" s="575" t="s">
        <v>687</v>
      </c>
      <c r="H31" s="506">
        <v>9368000</v>
      </c>
      <c r="I31" s="563">
        <f>9368000-5479439.28</f>
        <v>3888560.7199999997</v>
      </c>
      <c r="J31" s="564">
        <f t="shared" si="2"/>
        <v>5479439.2800000003</v>
      </c>
      <c r="K31" s="564">
        <f t="shared" si="1"/>
        <v>41.508974380871052</v>
      </c>
      <c r="L31" s="507" t="s">
        <v>608</v>
      </c>
      <c r="M31" s="565" t="s">
        <v>450</v>
      </c>
      <c r="N31" s="566" t="s">
        <v>401</v>
      </c>
      <c r="O31" s="566" t="s">
        <v>451</v>
      </c>
      <c r="P31" s="566" t="s">
        <v>389</v>
      </c>
    </row>
    <row r="32" spans="1:16" s="567" customFormat="1" ht="30" customHeight="1" x14ac:dyDescent="0.55000000000000004">
      <c r="A32" s="559">
        <v>26</v>
      </c>
      <c r="B32" s="560" t="s">
        <v>379</v>
      </c>
      <c r="C32" s="559">
        <v>1600600046</v>
      </c>
      <c r="D32" s="559" t="s">
        <v>15</v>
      </c>
      <c r="E32" s="561" t="s">
        <v>324</v>
      </c>
      <c r="F32" s="559">
        <v>7014618240</v>
      </c>
      <c r="G32" s="562" t="s">
        <v>380</v>
      </c>
      <c r="H32" s="506">
        <v>2527500</v>
      </c>
      <c r="I32" s="563">
        <v>2527500</v>
      </c>
      <c r="J32" s="564">
        <f t="shared" si="2"/>
        <v>0</v>
      </c>
      <c r="K32" s="564">
        <f t="shared" si="1"/>
        <v>100</v>
      </c>
      <c r="L32" s="507" t="s">
        <v>285</v>
      </c>
      <c r="M32" s="565" t="s">
        <v>381</v>
      </c>
      <c r="N32" s="566" t="s">
        <v>382</v>
      </c>
      <c r="O32" s="566" t="s">
        <v>383</v>
      </c>
      <c r="P32" s="566" t="s">
        <v>384</v>
      </c>
    </row>
    <row r="33" spans="1:18" s="567" customFormat="1" ht="24" x14ac:dyDescent="0.55000000000000004">
      <c r="A33" s="559">
        <v>27</v>
      </c>
      <c r="B33" s="560" t="s">
        <v>385</v>
      </c>
      <c r="C33" s="559">
        <v>1600600052</v>
      </c>
      <c r="D33" s="559" t="s">
        <v>15</v>
      </c>
      <c r="E33" s="561" t="s">
        <v>325</v>
      </c>
      <c r="F33" s="559">
        <v>7014573620</v>
      </c>
      <c r="G33" s="562" t="s">
        <v>380</v>
      </c>
      <c r="H33" s="506">
        <v>3234000</v>
      </c>
      <c r="I33" s="563">
        <v>3234000</v>
      </c>
      <c r="J33" s="564">
        <f t="shared" si="2"/>
        <v>0</v>
      </c>
      <c r="K33" s="564">
        <f t="shared" si="1"/>
        <v>100</v>
      </c>
      <c r="L33" s="507" t="s">
        <v>692</v>
      </c>
      <c r="M33" s="565" t="s">
        <v>386</v>
      </c>
      <c r="N33" s="566" t="s">
        <v>387</v>
      </c>
      <c r="O33" s="566" t="s">
        <v>388</v>
      </c>
      <c r="P33" s="566" t="s">
        <v>389</v>
      </c>
    </row>
    <row r="34" spans="1:18" s="567" customFormat="1" ht="30" customHeight="1" x14ac:dyDescent="0.55000000000000004">
      <c r="A34" s="559">
        <v>28</v>
      </c>
      <c r="B34" s="560" t="s">
        <v>390</v>
      </c>
      <c r="C34" s="559">
        <v>1600600058</v>
      </c>
      <c r="D34" s="559" t="s">
        <v>15</v>
      </c>
      <c r="E34" s="561" t="s">
        <v>326</v>
      </c>
      <c r="F34" s="559">
        <v>7014587703</v>
      </c>
      <c r="G34" s="562" t="s">
        <v>380</v>
      </c>
      <c r="H34" s="506">
        <v>2700000</v>
      </c>
      <c r="I34" s="563">
        <v>2700000</v>
      </c>
      <c r="J34" s="564">
        <f t="shared" si="2"/>
        <v>0</v>
      </c>
      <c r="K34" s="564">
        <f t="shared" si="1"/>
        <v>100</v>
      </c>
      <c r="L34" s="507" t="s">
        <v>285</v>
      </c>
      <c r="M34" s="565" t="s">
        <v>391</v>
      </c>
      <c r="N34" s="566" t="s">
        <v>392</v>
      </c>
      <c r="O34" s="566" t="s">
        <v>393</v>
      </c>
      <c r="P34" s="566" t="s">
        <v>394</v>
      </c>
    </row>
    <row r="35" spans="1:18" s="567" customFormat="1" ht="83.25" x14ac:dyDescent="0.55000000000000004">
      <c r="A35" s="559">
        <v>29</v>
      </c>
      <c r="B35" s="560" t="s">
        <v>395</v>
      </c>
      <c r="C35" s="559">
        <v>1600600064</v>
      </c>
      <c r="D35" s="559" t="s">
        <v>15</v>
      </c>
      <c r="E35" s="561" t="s">
        <v>327</v>
      </c>
      <c r="F35" s="559">
        <v>7014633408</v>
      </c>
      <c r="G35" s="562" t="s">
        <v>380</v>
      </c>
      <c r="H35" s="506">
        <v>3155139</v>
      </c>
      <c r="I35" s="563">
        <v>0</v>
      </c>
      <c r="J35" s="564">
        <f t="shared" si="2"/>
        <v>3155139</v>
      </c>
      <c r="K35" s="564">
        <f t="shared" si="1"/>
        <v>0</v>
      </c>
      <c r="L35" s="579" t="s">
        <v>717</v>
      </c>
      <c r="M35" s="565" t="s">
        <v>396</v>
      </c>
      <c r="N35" s="566" t="s">
        <v>382</v>
      </c>
      <c r="O35" s="566" t="s">
        <v>397</v>
      </c>
      <c r="P35" s="566" t="s">
        <v>398</v>
      </c>
    </row>
    <row r="36" spans="1:18" s="567" customFormat="1" ht="56.25" customHeight="1" x14ac:dyDescent="0.55000000000000004">
      <c r="A36" s="559">
        <v>30</v>
      </c>
      <c r="B36" s="560" t="s">
        <v>366</v>
      </c>
      <c r="C36" s="559">
        <v>1600600094</v>
      </c>
      <c r="D36" s="559" t="s">
        <v>15</v>
      </c>
      <c r="E36" s="561" t="s">
        <v>354</v>
      </c>
      <c r="F36" s="559">
        <v>2000449395</v>
      </c>
      <c r="G36" s="511" t="s">
        <v>648</v>
      </c>
      <c r="H36" s="506">
        <v>3920000</v>
      </c>
      <c r="I36" s="563">
        <v>3920000</v>
      </c>
      <c r="J36" s="564">
        <f t="shared" si="2"/>
        <v>0</v>
      </c>
      <c r="K36" s="564">
        <f t="shared" si="1"/>
        <v>100</v>
      </c>
      <c r="L36" s="507" t="s">
        <v>285</v>
      </c>
      <c r="M36" s="565" t="s">
        <v>402</v>
      </c>
      <c r="N36" s="566" t="s">
        <v>403</v>
      </c>
      <c r="O36" s="566" t="s">
        <v>404</v>
      </c>
      <c r="P36" s="566"/>
    </row>
    <row r="37" spans="1:18" s="567" customFormat="1" ht="56.25" customHeight="1" x14ac:dyDescent="0.55000000000000004">
      <c r="A37" s="559">
        <v>31</v>
      </c>
      <c r="B37" s="560" t="s">
        <v>366</v>
      </c>
      <c r="C37" s="559">
        <v>1600600094</v>
      </c>
      <c r="D37" s="559" t="s">
        <v>15</v>
      </c>
      <c r="E37" s="561" t="s">
        <v>335</v>
      </c>
      <c r="F37" s="559">
        <v>2000469732</v>
      </c>
      <c r="G37" s="511" t="s">
        <v>405</v>
      </c>
      <c r="H37" s="506">
        <v>2559120</v>
      </c>
      <c r="I37" s="563">
        <v>2559120</v>
      </c>
      <c r="J37" s="564">
        <f t="shared" si="2"/>
        <v>0</v>
      </c>
      <c r="K37" s="564">
        <f t="shared" si="1"/>
        <v>100</v>
      </c>
      <c r="L37" s="507" t="s">
        <v>285</v>
      </c>
      <c r="M37" s="565" t="s">
        <v>402</v>
      </c>
      <c r="N37" s="566" t="s">
        <v>403</v>
      </c>
      <c r="O37" s="566" t="s">
        <v>404</v>
      </c>
      <c r="P37" s="566"/>
    </row>
    <row r="38" spans="1:18" s="567" customFormat="1" ht="24" x14ac:dyDescent="0.55000000000000004">
      <c r="A38" s="559">
        <v>32</v>
      </c>
      <c r="B38" s="560" t="s">
        <v>365</v>
      </c>
      <c r="C38" s="559">
        <v>1600600420</v>
      </c>
      <c r="D38" s="559" t="s">
        <v>15</v>
      </c>
      <c r="E38" s="561" t="s">
        <v>358</v>
      </c>
      <c r="F38" s="559">
        <v>7014653159</v>
      </c>
      <c r="G38" s="562" t="s">
        <v>537</v>
      </c>
      <c r="H38" s="506">
        <v>3869000</v>
      </c>
      <c r="I38" s="563">
        <v>3869000</v>
      </c>
      <c r="J38" s="564">
        <f t="shared" si="2"/>
        <v>0</v>
      </c>
      <c r="K38" s="564">
        <f t="shared" si="1"/>
        <v>100</v>
      </c>
      <c r="L38" s="507" t="s">
        <v>285</v>
      </c>
      <c r="M38" s="565" t="s">
        <v>423</v>
      </c>
      <c r="N38" s="566" t="s">
        <v>424</v>
      </c>
      <c r="O38" s="566" t="s">
        <v>425</v>
      </c>
      <c r="P38" s="566" t="s">
        <v>426</v>
      </c>
    </row>
    <row r="39" spans="1:18" s="567" customFormat="1" ht="29.25" customHeight="1" x14ac:dyDescent="0.55000000000000004">
      <c r="A39" s="559">
        <v>33</v>
      </c>
      <c r="B39" s="560" t="s">
        <v>427</v>
      </c>
      <c r="C39" s="559">
        <v>1600600456</v>
      </c>
      <c r="D39" s="559" t="s">
        <v>15</v>
      </c>
      <c r="E39" s="561" t="s">
        <v>323</v>
      </c>
      <c r="F39" s="559">
        <v>7014571829</v>
      </c>
      <c r="G39" s="562" t="s">
        <v>428</v>
      </c>
      <c r="H39" s="506">
        <v>2642900</v>
      </c>
      <c r="I39" s="563">
        <v>2642900</v>
      </c>
      <c r="J39" s="564">
        <f t="shared" si="2"/>
        <v>0</v>
      </c>
      <c r="K39" s="564">
        <f t="shared" si="1"/>
        <v>100</v>
      </c>
      <c r="L39" s="507" t="s">
        <v>285</v>
      </c>
      <c r="M39" s="565" t="s">
        <v>429</v>
      </c>
      <c r="N39" s="566" t="s">
        <v>430</v>
      </c>
      <c r="O39" s="566" t="s">
        <v>431</v>
      </c>
      <c r="P39" s="566" t="s">
        <v>432</v>
      </c>
    </row>
    <row r="40" spans="1:18" s="57" customFormat="1" ht="37.5" customHeight="1" x14ac:dyDescent="0.5">
      <c r="A40" s="1122" t="s">
        <v>533</v>
      </c>
      <c r="B40" s="1123"/>
      <c r="C40" s="1123"/>
      <c r="D40" s="1123"/>
      <c r="E40" s="1123"/>
      <c r="F40" s="1123"/>
      <c r="G40" s="1124"/>
      <c r="H40" s="576">
        <f>SUM(H22:H39)</f>
        <v>79042218.230000004</v>
      </c>
      <c r="I40" s="576">
        <f>SUM(I22:I39)</f>
        <v>54422789.950000003</v>
      </c>
      <c r="J40" s="576">
        <f>SUM(J22:J39)</f>
        <v>24619428.280000001</v>
      </c>
      <c r="K40" s="577">
        <f t="shared" si="1"/>
        <v>68.852812039812108</v>
      </c>
      <c r="L40" s="512"/>
      <c r="M40" s="84"/>
      <c r="N40" s="70"/>
      <c r="O40" s="70"/>
      <c r="P40" s="70"/>
    </row>
    <row r="41" spans="1:18" s="567" customFormat="1" ht="78" customHeight="1" x14ac:dyDescent="0.55000000000000004">
      <c r="A41" s="559">
        <v>34</v>
      </c>
      <c r="B41" s="560" t="s">
        <v>107</v>
      </c>
      <c r="C41" s="559">
        <v>1600600011</v>
      </c>
      <c r="D41" s="559" t="s">
        <v>16</v>
      </c>
      <c r="E41" s="561" t="s">
        <v>314</v>
      </c>
      <c r="F41" s="559">
        <v>7015076230</v>
      </c>
      <c r="G41" s="575" t="s">
        <v>520</v>
      </c>
      <c r="H41" s="506">
        <v>1620000</v>
      </c>
      <c r="I41" s="563">
        <v>1620000</v>
      </c>
      <c r="J41" s="564">
        <f>+H41-I41</f>
        <v>0</v>
      </c>
      <c r="K41" s="564">
        <f>+I41*100/H41</f>
        <v>100</v>
      </c>
      <c r="L41" s="507" t="s">
        <v>285</v>
      </c>
      <c r="M41" s="565" t="s">
        <v>483</v>
      </c>
      <c r="N41" s="566" t="s">
        <v>481</v>
      </c>
      <c r="O41" s="566" t="s">
        <v>484</v>
      </c>
      <c r="P41" s="566" t="s">
        <v>478</v>
      </c>
    </row>
    <row r="42" spans="1:18" s="567" customFormat="1" ht="29.25" customHeight="1" x14ac:dyDescent="0.55000000000000004">
      <c r="A42" s="559">
        <v>35</v>
      </c>
      <c r="B42" s="560" t="s">
        <v>107</v>
      </c>
      <c r="C42" s="559">
        <v>1600600011</v>
      </c>
      <c r="D42" s="559" t="s">
        <v>16</v>
      </c>
      <c r="E42" s="561" t="s">
        <v>318</v>
      </c>
      <c r="F42" s="559">
        <v>7015167313</v>
      </c>
      <c r="G42" s="562" t="s">
        <v>519</v>
      </c>
      <c r="H42" s="506">
        <v>56300</v>
      </c>
      <c r="I42" s="563">
        <v>56300</v>
      </c>
      <c r="J42" s="564">
        <f>+H42-I42</f>
        <v>0</v>
      </c>
      <c r="K42" s="564">
        <f>+I42*100/H42</f>
        <v>100</v>
      </c>
      <c r="L42" s="507" t="s">
        <v>285</v>
      </c>
      <c r="M42" s="565" t="s">
        <v>485</v>
      </c>
      <c r="N42" s="566" t="s">
        <v>486</v>
      </c>
      <c r="O42" s="566" t="s">
        <v>487</v>
      </c>
      <c r="P42" s="566" t="s">
        <v>488</v>
      </c>
    </row>
    <row r="43" spans="1:18" s="556" customFormat="1" ht="34.5" customHeight="1" x14ac:dyDescent="0.55000000000000004">
      <c r="A43" s="1310" t="s">
        <v>284</v>
      </c>
      <c r="B43" s="1311"/>
      <c r="C43" s="1311"/>
      <c r="D43" s="1311"/>
      <c r="E43" s="1311"/>
      <c r="F43" s="1311"/>
      <c r="G43" s="1312"/>
      <c r="H43" s="578">
        <f>SUM(H41:H42)</f>
        <v>1676300</v>
      </c>
      <c r="I43" s="510">
        <f>SUM(I41:I42)</f>
        <v>1676300</v>
      </c>
      <c r="J43" s="510">
        <f>SUM(J41:J42)</f>
        <v>0</v>
      </c>
      <c r="K43" s="564">
        <f>+I43*100/H43</f>
        <v>100</v>
      </c>
      <c r="L43" s="507"/>
    </row>
    <row r="44" spans="1:18" s="580" customFormat="1" ht="42" customHeight="1" x14ac:dyDescent="0.65">
      <c r="A44" s="1301" t="s">
        <v>367</v>
      </c>
      <c r="B44" s="1302"/>
      <c r="C44" s="1302"/>
      <c r="D44" s="1302"/>
      <c r="E44" s="1302"/>
      <c r="F44" s="1302"/>
      <c r="G44" s="1303"/>
      <c r="H44" s="523">
        <f>+H21+H40+H43</f>
        <v>94191090.480000004</v>
      </c>
      <c r="I44" s="523">
        <f>+I21+I40+I43</f>
        <v>68235328.700000003</v>
      </c>
      <c r="J44" s="523">
        <f>+J21+J40+J43</f>
        <v>25955761.780000001</v>
      </c>
      <c r="K44" s="638">
        <f>+I44*100/H44</f>
        <v>72.443506442351577</v>
      </c>
      <c r="L44" s="579"/>
      <c r="R44" s="580" t="s">
        <v>175</v>
      </c>
    </row>
    <row r="45" spans="1:18" hidden="1" x14ac:dyDescent="0.65"/>
    <row r="46" spans="1:18" hidden="1" x14ac:dyDescent="0.65">
      <c r="H46" s="584"/>
      <c r="I46" s="584"/>
      <c r="K46" s="586"/>
      <c r="L46" s="587"/>
    </row>
    <row r="47" spans="1:18" hidden="1" x14ac:dyDescent="0.65"/>
    <row r="48" spans="1:1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  <row r="94" hidden="1" x14ac:dyDescent="0.65"/>
    <row r="95" hidden="1" x14ac:dyDescent="0.65"/>
    <row r="96" hidden="1" x14ac:dyDescent="0.65"/>
    <row r="97" hidden="1" x14ac:dyDescent="0.65"/>
    <row r="98" hidden="1" x14ac:dyDescent="0.65"/>
    <row r="99" hidden="1" x14ac:dyDescent="0.65"/>
    <row r="100" hidden="1" x14ac:dyDescent="0.65"/>
    <row r="101" hidden="1" x14ac:dyDescent="0.65"/>
    <row r="102" hidden="1" x14ac:dyDescent="0.65"/>
    <row r="103" hidden="1" x14ac:dyDescent="0.65"/>
    <row r="104" hidden="1" x14ac:dyDescent="0.65"/>
    <row r="105" hidden="1" x14ac:dyDescent="0.65"/>
    <row r="106" hidden="1" x14ac:dyDescent="0.65"/>
    <row r="107" hidden="1" x14ac:dyDescent="0.65"/>
    <row r="108" hidden="1" x14ac:dyDescent="0.65"/>
    <row r="109" hidden="1" x14ac:dyDescent="0.65"/>
    <row r="110" hidden="1" x14ac:dyDescent="0.65"/>
    <row r="111" hidden="1" x14ac:dyDescent="0.65"/>
    <row r="112" hidden="1" x14ac:dyDescent="0.65"/>
    <row r="113" hidden="1" x14ac:dyDescent="0.65"/>
    <row r="114" hidden="1" x14ac:dyDescent="0.65"/>
    <row r="115" hidden="1" x14ac:dyDescent="0.65"/>
    <row r="116" hidden="1" x14ac:dyDescent="0.65"/>
    <row r="117" hidden="1" x14ac:dyDescent="0.65"/>
    <row r="118" hidden="1" x14ac:dyDescent="0.65"/>
    <row r="119" hidden="1" x14ac:dyDescent="0.65"/>
    <row r="120" hidden="1" x14ac:dyDescent="0.65"/>
    <row r="121" hidden="1" x14ac:dyDescent="0.65"/>
    <row r="122" hidden="1" x14ac:dyDescent="0.65"/>
    <row r="123" hidden="1" x14ac:dyDescent="0.65"/>
    <row r="124" hidden="1" x14ac:dyDescent="0.65"/>
    <row r="125" hidden="1" x14ac:dyDescent="0.65"/>
    <row r="126" hidden="1" x14ac:dyDescent="0.65"/>
    <row r="127" hidden="1" x14ac:dyDescent="0.65"/>
    <row r="128" hidden="1" x14ac:dyDescent="0.65"/>
    <row r="129" hidden="1" x14ac:dyDescent="0.65"/>
    <row r="130" hidden="1" x14ac:dyDescent="0.65"/>
    <row r="131" hidden="1" x14ac:dyDescent="0.65"/>
    <row r="132" hidden="1" x14ac:dyDescent="0.65"/>
    <row r="133" hidden="1" x14ac:dyDescent="0.65"/>
    <row r="134" hidden="1" x14ac:dyDescent="0.65"/>
    <row r="135" hidden="1" x14ac:dyDescent="0.65"/>
    <row r="136" hidden="1" x14ac:dyDescent="0.65"/>
    <row r="137" hidden="1" x14ac:dyDescent="0.65"/>
    <row r="138" hidden="1" x14ac:dyDescent="0.65"/>
    <row r="139" hidden="1" x14ac:dyDescent="0.65"/>
    <row r="140" hidden="1" x14ac:dyDescent="0.65"/>
    <row r="141" hidden="1" x14ac:dyDescent="0.65"/>
    <row r="142" hidden="1" x14ac:dyDescent="0.65"/>
    <row r="143" hidden="1" x14ac:dyDescent="0.65"/>
    <row r="144" hidden="1" x14ac:dyDescent="0.65"/>
    <row r="145" hidden="1" x14ac:dyDescent="0.65"/>
    <row r="146" hidden="1" x14ac:dyDescent="0.65"/>
    <row r="147" hidden="1" x14ac:dyDescent="0.65"/>
    <row r="148" hidden="1" x14ac:dyDescent="0.65"/>
    <row r="149" hidden="1" x14ac:dyDescent="0.65"/>
    <row r="150" hidden="1" x14ac:dyDescent="0.65"/>
    <row r="151" hidden="1" x14ac:dyDescent="0.65"/>
    <row r="152" hidden="1" x14ac:dyDescent="0.65"/>
    <row r="153" hidden="1" x14ac:dyDescent="0.65"/>
    <row r="154" hidden="1" x14ac:dyDescent="0.65"/>
    <row r="155" hidden="1" x14ac:dyDescent="0.65"/>
    <row r="156" hidden="1" x14ac:dyDescent="0.65"/>
    <row r="157" hidden="1" x14ac:dyDescent="0.65"/>
    <row r="158" hidden="1" x14ac:dyDescent="0.65"/>
    <row r="159" hidden="1" x14ac:dyDescent="0.65"/>
    <row r="160" hidden="1" x14ac:dyDescent="0.65"/>
    <row r="161" hidden="1" x14ac:dyDescent="0.65"/>
    <row r="162" hidden="1" x14ac:dyDescent="0.65"/>
    <row r="163" hidden="1" x14ac:dyDescent="0.65"/>
    <row r="164" hidden="1" x14ac:dyDescent="0.65"/>
    <row r="165" hidden="1" x14ac:dyDescent="0.65"/>
    <row r="166" hidden="1" x14ac:dyDescent="0.65"/>
    <row r="167" hidden="1" x14ac:dyDescent="0.65"/>
    <row r="168" hidden="1" x14ac:dyDescent="0.65"/>
    <row r="169" hidden="1" x14ac:dyDescent="0.65"/>
    <row r="170" hidden="1" x14ac:dyDescent="0.65"/>
    <row r="171" hidden="1" x14ac:dyDescent="0.65"/>
    <row r="172" hidden="1" x14ac:dyDescent="0.65"/>
    <row r="173" hidden="1" x14ac:dyDescent="0.65"/>
    <row r="174" hidden="1" x14ac:dyDescent="0.65"/>
    <row r="175" hidden="1" x14ac:dyDescent="0.65"/>
    <row r="176" hidden="1" x14ac:dyDescent="0.65"/>
    <row r="193" spans="5:5" x14ac:dyDescent="0.65">
      <c r="E193" s="237"/>
    </row>
  </sheetData>
  <mergeCells count="18">
    <mergeCell ref="O4:O5"/>
    <mergeCell ref="A21:G21"/>
    <mergeCell ref="A40:G40"/>
    <mergeCell ref="A1:L1"/>
    <mergeCell ref="A2:L2"/>
    <mergeCell ref="A3:L3"/>
    <mergeCell ref="B4:B5"/>
    <mergeCell ref="C4:C5"/>
    <mergeCell ref="D4:D5"/>
    <mergeCell ref="E4:E5"/>
    <mergeCell ref="F4:F5"/>
    <mergeCell ref="G4:G5"/>
    <mergeCell ref="H4:H5"/>
    <mergeCell ref="A43:G43"/>
    <mergeCell ref="A44:G44"/>
    <mergeCell ref="J4:J5"/>
    <mergeCell ref="M4:M5"/>
    <mergeCell ref="N4:N5"/>
  </mergeCells>
  <pageMargins left="0.25" right="0" top="0.75" bottom="0.75" header="0.3" footer="0.3"/>
  <pageSetup paperSize="9" scale="70" orientation="landscape" r:id="rId1"/>
  <headerFooter>
    <oddFooter>หน้าที่ &amp;P จาก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608DE-5B7E-4B28-B3C1-3AFF226E1AB4}">
  <dimension ref="A1:L33"/>
  <sheetViews>
    <sheetView topLeftCell="D1" workbookViewId="0">
      <selection activeCell="K28" sqref="K28"/>
    </sheetView>
  </sheetViews>
  <sheetFormatPr defaultRowHeight="24" x14ac:dyDescent="0.55000000000000004"/>
  <cols>
    <col min="1" max="1" width="2.5703125" style="221" bestFit="1" customWidth="1"/>
    <col min="2" max="2" width="5" style="221" customWidth="1"/>
    <col min="3" max="3" width="25.140625" style="219" bestFit="1" customWidth="1"/>
    <col min="4" max="4" width="22.28515625" style="219" customWidth="1"/>
    <col min="5" max="6" width="20.140625" style="219" customWidth="1"/>
    <col min="7" max="7" width="17.5703125" style="219" customWidth="1"/>
    <col min="8" max="8" width="20.140625" style="219" customWidth="1"/>
    <col min="9" max="9" width="17.5703125" style="219" customWidth="1"/>
    <col min="10" max="10" width="22.28515625" style="219" customWidth="1"/>
    <col min="11" max="11" width="17.5703125" style="219" customWidth="1"/>
    <col min="12" max="16384" width="9.140625" style="219"/>
  </cols>
  <sheetData>
    <row r="1" spans="1:12" ht="27.75" x14ac:dyDescent="0.65">
      <c r="A1" s="1189" t="str">
        <f>+รายงานผู้บริหาร!A1</f>
        <v>กรมพินิจและคุ้มครองเด็กและเยาวชน กระทรวงยุติธรรม</v>
      </c>
      <c r="B1" s="1189"/>
      <c r="C1" s="1189"/>
      <c r="D1" s="1189"/>
      <c r="E1" s="1189"/>
      <c r="F1" s="1189"/>
      <c r="G1" s="1189"/>
      <c r="H1" s="1189"/>
      <c r="I1" s="1189"/>
      <c r="J1" s="1189"/>
      <c r="K1" s="1189"/>
      <c r="L1" s="477"/>
    </row>
    <row r="2" spans="1:12" ht="27.75" x14ac:dyDescent="0.65">
      <c r="A2" s="1189" t="str">
        <f>+รายงานผู้บริหาร!A2</f>
        <v>สรุปรายละเอียดการเบิกจ่ายเงินงบประมาณประจำปีงบประมาณ พ.ศ. 2565</v>
      </c>
      <c r="B2" s="1189"/>
      <c r="C2" s="1189"/>
      <c r="D2" s="1189"/>
      <c r="E2" s="1189"/>
      <c r="F2" s="1189"/>
      <c r="G2" s="1189"/>
      <c r="H2" s="1189"/>
      <c r="I2" s="1189"/>
      <c r="J2" s="1189"/>
      <c r="K2" s="1189"/>
      <c r="L2" s="839"/>
    </row>
    <row r="3" spans="1:12" ht="27.75" x14ac:dyDescent="0.65">
      <c r="A3" s="1403" t="str">
        <f>+รายงานผู้บริหาร!A3</f>
        <v>ตั้งแต่วันที่ 1  ตุลาคม 2564 ถึงวันที่ 31 มกราคม 2565</v>
      </c>
      <c r="B3" s="1404"/>
      <c r="C3" s="1404"/>
      <c r="D3" s="1404"/>
      <c r="E3" s="1404"/>
      <c r="F3" s="1404"/>
      <c r="G3" s="1404"/>
      <c r="H3" s="1404"/>
      <c r="I3" s="1404"/>
      <c r="J3" s="1404"/>
      <c r="K3" s="1404"/>
      <c r="L3" s="477"/>
    </row>
    <row r="4" spans="1:12" s="215" customFormat="1" x14ac:dyDescent="0.55000000000000004">
      <c r="A4" s="1401" t="s">
        <v>58</v>
      </c>
      <c r="B4" s="1401"/>
      <c r="C4" s="1401"/>
      <c r="D4" s="1406" t="s">
        <v>961</v>
      </c>
      <c r="E4" s="1406"/>
      <c r="F4" s="1401" t="s">
        <v>105</v>
      </c>
      <c r="G4" s="840" t="s">
        <v>625</v>
      </c>
      <c r="H4" s="1406" t="s">
        <v>936</v>
      </c>
      <c r="I4" s="1406"/>
      <c r="J4" s="840" t="s">
        <v>60</v>
      </c>
      <c r="K4" s="840" t="s">
        <v>934</v>
      </c>
    </row>
    <row r="5" spans="1:12" s="215" customFormat="1" x14ac:dyDescent="0.55000000000000004">
      <c r="A5" s="1402"/>
      <c r="B5" s="1402"/>
      <c r="C5" s="1402"/>
      <c r="D5" s="840" t="s">
        <v>624</v>
      </c>
      <c r="E5" s="840" t="s">
        <v>602</v>
      </c>
      <c r="F5" s="1402"/>
      <c r="G5" s="842" t="s">
        <v>935</v>
      </c>
      <c r="H5" s="840" t="s">
        <v>377</v>
      </c>
      <c r="I5" s="840" t="s">
        <v>81</v>
      </c>
      <c r="J5" s="842" t="s">
        <v>933</v>
      </c>
      <c r="K5" s="842" t="s">
        <v>935</v>
      </c>
    </row>
    <row r="6" spans="1:12" s="215" customFormat="1" x14ac:dyDescent="0.55000000000000004">
      <c r="A6" s="1405"/>
      <c r="B6" s="1405"/>
      <c r="C6" s="1405"/>
      <c r="D6" s="841" t="s">
        <v>937</v>
      </c>
      <c r="E6" s="841" t="s">
        <v>938</v>
      </c>
      <c r="F6" s="841" t="s">
        <v>939</v>
      </c>
      <c r="G6" s="841" t="s">
        <v>940</v>
      </c>
      <c r="H6" s="841" t="s">
        <v>941</v>
      </c>
      <c r="I6" s="841" t="s">
        <v>942</v>
      </c>
      <c r="J6" s="841" t="s">
        <v>943</v>
      </c>
      <c r="K6" s="841" t="s">
        <v>944</v>
      </c>
    </row>
    <row r="7" spans="1:12" s="477" customFormat="1" ht="27.75" x14ac:dyDescent="0.65">
      <c r="A7" s="843" t="s">
        <v>960</v>
      </c>
      <c r="B7" s="844"/>
      <c r="C7" s="845"/>
      <c r="D7" s="846"/>
      <c r="E7" s="846"/>
      <c r="F7" s="846"/>
      <c r="G7" s="846"/>
      <c r="H7" s="847"/>
      <c r="I7" s="846"/>
      <c r="J7" s="846"/>
      <c r="K7" s="848"/>
    </row>
    <row r="8" spans="1:12" s="484" customFormat="1" ht="27.75" x14ac:dyDescent="0.65">
      <c r="A8" s="849"/>
      <c r="B8" s="850">
        <v>1.1000000000000001</v>
      </c>
      <c r="C8" s="851" t="s">
        <v>13</v>
      </c>
      <c r="D8" s="852">
        <f>+รายงานผู้บริหาร!B7</f>
        <v>1390052000</v>
      </c>
      <c r="E8" s="852">
        <f>+รายงานผู้บริหาร!D7</f>
        <v>695026000</v>
      </c>
      <c r="F8" s="852">
        <f>+รายงานผู้บริหาร!F7</f>
        <v>455978224.26999998</v>
      </c>
      <c r="G8" s="852">
        <f>+F8*100/D8</f>
        <v>32.802961635248181</v>
      </c>
      <c r="H8" s="852">
        <f>+รายงานผู้บริหาร!E7+รายงานผู้บริหาร!F7</f>
        <v>455978224.26999998</v>
      </c>
      <c r="I8" s="852">
        <f>+H8*100/D8</f>
        <v>32.802961635248181</v>
      </c>
      <c r="J8" s="852">
        <f>+D8-F8</f>
        <v>934073775.73000002</v>
      </c>
      <c r="K8" s="852">
        <f>+J8*100/D8</f>
        <v>67.197038364751819</v>
      </c>
    </row>
    <row r="9" spans="1:12" s="484" customFormat="1" ht="27.75" x14ac:dyDescent="0.65">
      <c r="A9" s="849"/>
      <c r="B9" s="850">
        <v>1.2</v>
      </c>
      <c r="C9" s="851" t="s">
        <v>14</v>
      </c>
      <c r="D9" s="852">
        <f>+รายงานผู้บริหาร!B8</f>
        <v>432541700</v>
      </c>
      <c r="E9" s="852">
        <f>+รายงานผู้บริหาร!D8</f>
        <v>216270500</v>
      </c>
      <c r="F9" s="852">
        <f>+รายงานผู้บริหาร!F8</f>
        <v>108116326.24000001</v>
      </c>
      <c r="G9" s="852">
        <f t="shared" ref="G9:G20" si="0">+F9*100/D9</f>
        <v>24.995584527457122</v>
      </c>
      <c r="H9" s="852">
        <f>+รายงานผู้บริหาร!E8+รายงานผู้บริหาร!F8</f>
        <v>152977661.08000001</v>
      </c>
      <c r="I9" s="852">
        <f t="shared" ref="I9:I14" si="1">+H9*100/D9</f>
        <v>35.367147509708317</v>
      </c>
      <c r="J9" s="852">
        <f t="shared" ref="J9:J11" si="2">+D9-F9</f>
        <v>324425373.75999999</v>
      </c>
      <c r="K9" s="852">
        <f t="shared" ref="K9:K18" si="3">+J9*100/D9</f>
        <v>75.004415472542874</v>
      </c>
    </row>
    <row r="10" spans="1:12" s="484" customFormat="1" ht="27.75" x14ac:dyDescent="0.65">
      <c r="A10" s="849"/>
      <c r="B10" s="850">
        <v>1.3</v>
      </c>
      <c r="C10" s="851" t="s">
        <v>15</v>
      </c>
      <c r="D10" s="852">
        <f>+รายงานผู้บริหาร!B9</f>
        <v>118294300</v>
      </c>
      <c r="E10" s="852">
        <f>+รายงานผู้บริหาร!D9</f>
        <v>68223500</v>
      </c>
      <c r="F10" s="852">
        <f>+รายงานผู้บริหาร!F9</f>
        <v>18036707.699999999</v>
      </c>
      <c r="G10" s="852">
        <f t="shared" si="0"/>
        <v>15.247317664502855</v>
      </c>
      <c r="H10" s="852">
        <f>+รายงานผู้บริหาร!E9+รายงานผู้บริหาร!F9</f>
        <v>40481575.700000003</v>
      </c>
      <c r="I10" s="852">
        <f t="shared" si="1"/>
        <v>34.221070415058044</v>
      </c>
      <c r="J10" s="852">
        <f t="shared" si="2"/>
        <v>100257592.3</v>
      </c>
      <c r="K10" s="852">
        <f t="shared" si="3"/>
        <v>84.752682335497141</v>
      </c>
    </row>
    <row r="11" spans="1:12" s="484" customFormat="1" ht="27.75" x14ac:dyDescent="0.65">
      <c r="A11" s="849"/>
      <c r="B11" s="850">
        <v>1.4</v>
      </c>
      <c r="C11" s="851" t="s">
        <v>16</v>
      </c>
      <c r="D11" s="852">
        <f>+รายงานผู้บริหาร!B12</f>
        <v>28793900</v>
      </c>
      <c r="E11" s="852">
        <f>+รายงานผู้บริหาร!D12</f>
        <v>14396800</v>
      </c>
      <c r="F11" s="852">
        <f>+รายงานผู้บริหาร!E12</f>
        <v>2611120</v>
      </c>
      <c r="G11" s="852">
        <f t="shared" si="0"/>
        <v>9.0683096072432008</v>
      </c>
      <c r="H11" s="852">
        <f>+รายงานผู้บริหาร!E12+รายงานผู้บริหาร!F12</f>
        <v>3861839.42</v>
      </c>
      <c r="I11" s="852">
        <f t="shared" si="1"/>
        <v>13.412005390030528</v>
      </c>
      <c r="J11" s="852">
        <f t="shared" si="2"/>
        <v>26182780</v>
      </c>
      <c r="K11" s="852">
        <f t="shared" si="3"/>
        <v>90.931690392756792</v>
      </c>
    </row>
    <row r="12" spans="1:12" s="477" customFormat="1" ht="30.75" customHeight="1" x14ac:dyDescent="0.65">
      <c r="A12" s="1179" t="s">
        <v>950</v>
      </c>
      <c r="B12" s="1179"/>
      <c r="C12" s="1179"/>
      <c r="D12" s="853">
        <f>SUM(D8:D11)</f>
        <v>1969681900</v>
      </c>
      <c r="E12" s="853">
        <f t="shared" ref="E12:F12" si="4">SUM(E8:E11)</f>
        <v>993916800</v>
      </c>
      <c r="F12" s="853">
        <f t="shared" si="4"/>
        <v>584742378.21000004</v>
      </c>
      <c r="G12" s="853">
        <f t="shared" si="0"/>
        <v>29.687147869409777</v>
      </c>
      <c r="H12" s="853">
        <f t="shared" ref="H12" si="5">SUM(H8:H11)</f>
        <v>653299300.47000003</v>
      </c>
      <c r="I12" s="853">
        <f t="shared" si="1"/>
        <v>33.167756705790922</v>
      </c>
      <c r="J12" s="853">
        <f t="shared" ref="J12" si="6">SUM(J8:J11)</f>
        <v>1384939521.79</v>
      </c>
      <c r="K12" s="853">
        <f t="shared" si="3"/>
        <v>70.31285213059023</v>
      </c>
    </row>
    <row r="13" spans="1:12" s="484" customFormat="1" ht="30.75" customHeight="1" x14ac:dyDescent="0.65">
      <c r="A13" s="1180" t="s">
        <v>948</v>
      </c>
      <c r="B13" s="1180"/>
      <c r="C13" s="1180"/>
      <c r="D13" s="852">
        <f>SUM(D8:D9)+D11</f>
        <v>1851387600</v>
      </c>
      <c r="E13" s="852">
        <f t="shared" ref="E13:J13" si="7">SUM(E8:E9)+E11</f>
        <v>925693300</v>
      </c>
      <c r="F13" s="852">
        <f t="shared" si="7"/>
        <v>566705670.50999999</v>
      </c>
      <c r="G13" s="852">
        <f t="shared" si="0"/>
        <v>30.609779956936084</v>
      </c>
      <c r="H13" s="852">
        <f t="shared" si="7"/>
        <v>612817724.76999998</v>
      </c>
      <c r="I13" s="852">
        <f t="shared" si="1"/>
        <v>33.100455289319214</v>
      </c>
      <c r="J13" s="852">
        <f t="shared" si="7"/>
        <v>1284681929.49</v>
      </c>
      <c r="K13" s="852">
        <f t="shared" si="3"/>
        <v>69.39022004306392</v>
      </c>
    </row>
    <row r="14" spans="1:12" s="484" customFormat="1" ht="30.75" customHeight="1" x14ac:dyDescent="0.65">
      <c r="A14" s="1180" t="s">
        <v>949</v>
      </c>
      <c r="B14" s="1180"/>
      <c r="C14" s="1180"/>
      <c r="D14" s="852">
        <f>+D10</f>
        <v>118294300</v>
      </c>
      <c r="E14" s="852">
        <f t="shared" ref="E14:J14" si="8">+E10</f>
        <v>68223500</v>
      </c>
      <c r="F14" s="852">
        <f t="shared" si="8"/>
        <v>18036707.699999999</v>
      </c>
      <c r="G14" s="852">
        <f t="shared" si="0"/>
        <v>15.247317664502855</v>
      </c>
      <c r="H14" s="852">
        <f t="shared" si="8"/>
        <v>40481575.700000003</v>
      </c>
      <c r="I14" s="852">
        <f t="shared" si="1"/>
        <v>34.221070415058044</v>
      </c>
      <c r="J14" s="852">
        <f t="shared" si="8"/>
        <v>100257592.3</v>
      </c>
      <c r="K14" s="852">
        <f t="shared" si="3"/>
        <v>84.752682335497141</v>
      </c>
    </row>
    <row r="15" spans="1:12" s="477" customFormat="1" ht="27.75" x14ac:dyDescent="0.65">
      <c r="A15" s="854" t="s">
        <v>959</v>
      </c>
      <c r="B15" s="855"/>
      <c r="C15" s="855"/>
      <c r="D15" s="855"/>
      <c r="E15" s="855"/>
      <c r="F15" s="855"/>
      <c r="G15" s="855"/>
      <c r="H15" s="855"/>
      <c r="I15" s="855"/>
      <c r="J15" s="855"/>
      <c r="K15" s="856"/>
    </row>
    <row r="16" spans="1:12" s="484" customFormat="1" ht="27.75" x14ac:dyDescent="0.65">
      <c r="A16" s="849"/>
      <c r="B16" s="850">
        <v>2.1</v>
      </c>
      <c r="C16" s="851" t="s">
        <v>946</v>
      </c>
      <c r="D16" s="857">
        <f>+เงินกันปี64!H65-เงินกันปี64!H63</f>
        <v>136444872.72</v>
      </c>
      <c r="E16" s="858"/>
      <c r="F16" s="857">
        <f>+เงินกันปี64!I65-เงินกันปี64!I63</f>
        <v>28502931.82</v>
      </c>
      <c r="G16" s="852">
        <f t="shared" si="0"/>
        <v>20.889705308671566</v>
      </c>
      <c r="H16" s="859"/>
      <c r="I16" s="859"/>
      <c r="J16" s="857">
        <f>+D16-F16</f>
        <v>107941940.90000001</v>
      </c>
      <c r="K16" s="852">
        <f t="shared" si="3"/>
        <v>79.110294691328434</v>
      </c>
    </row>
    <row r="17" spans="1:11" s="484" customFormat="1" ht="27.75" x14ac:dyDescent="0.65">
      <c r="A17" s="849"/>
      <c r="B17" s="850">
        <v>2.2000000000000002</v>
      </c>
      <c r="C17" s="851" t="s">
        <v>945</v>
      </c>
      <c r="D17" s="857">
        <f>+เงินกันปี64!H63</f>
        <v>5000000</v>
      </c>
      <c r="E17" s="858"/>
      <c r="F17" s="857">
        <f>+เงินกันปี64!I63</f>
        <v>5000000</v>
      </c>
      <c r="G17" s="852">
        <f t="shared" si="0"/>
        <v>100</v>
      </c>
      <c r="H17" s="859"/>
      <c r="I17" s="859"/>
      <c r="J17" s="857">
        <f>+D17-F17</f>
        <v>0</v>
      </c>
      <c r="K17" s="852">
        <f t="shared" si="3"/>
        <v>0</v>
      </c>
    </row>
    <row r="18" spans="1:11" s="477" customFormat="1" ht="27.75" x14ac:dyDescent="0.65">
      <c r="A18" s="1179" t="s">
        <v>74</v>
      </c>
      <c r="B18" s="1179"/>
      <c r="C18" s="1179"/>
      <c r="D18" s="860">
        <f>SUM(D16:D17)</f>
        <v>141444872.72</v>
      </c>
      <c r="E18" s="861"/>
      <c r="F18" s="860">
        <f t="shared" ref="F18:J18" si="9">SUM(F16:F17)</f>
        <v>33502931.82</v>
      </c>
      <c r="G18" s="853">
        <f t="shared" si="0"/>
        <v>23.686211578924741</v>
      </c>
      <c r="H18" s="861"/>
      <c r="I18" s="861"/>
      <c r="J18" s="860">
        <f t="shared" si="9"/>
        <v>107941940.90000001</v>
      </c>
      <c r="K18" s="853">
        <f t="shared" si="3"/>
        <v>76.313788421075259</v>
      </c>
    </row>
    <row r="19" spans="1:11" s="484" customFormat="1" ht="27.75" x14ac:dyDescent="0.65">
      <c r="A19" s="1408" t="s">
        <v>951</v>
      </c>
      <c r="B19" s="1408"/>
      <c r="C19" s="1408"/>
      <c r="D19" s="1408"/>
      <c r="E19" s="1408"/>
      <c r="F19" s="1408"/>
      <c r="G19" s="1408"/>
      <c r="H19" s="1408"/>
      <c r="I19" s="1408"/>
      <c r="J19" s="1408"/>
      <c r="K19" s="1408"/>
    </row>
    <row r="20" spans="1:11" s="484" customFormat="1" ht="27.75" x14ac:dyDescent="0.65">
      <c r="A20" s="866"/>
      <c r="B20" s="870" t="s">
        <v>621</v>
      </c>
      <c r="C20" s="865"/>
      <c r="D20" s="852">
        <f>+'เบิกแทน กรมคุม'!D103</f>
        <v>2700000</v>
      </c>
      <c r="E20" s="858"/>
      <c r="F20" s="867">
        <v>0</v>
      </c>
      <c r="G20" s="852">
        <f t="shared" si="0"/>
        <v>0</v>
      </c>
      <c r="H20" s="858"/>
      <c r="I20" s="858"/>
      <c r="J20" s="857">
        <f>+D20-F20</f>
        <v>2700000</v>
      </c>
      <c r="K20" s="852">
        <f t="shared" ref="K20:K21" si="10">+J20*100/D20</f>
        <v>100</v>
      </c>
    </row>
    <row r="21" spans="1:11" s="477" customFormat="1" ht="27.75" x14ac:dyDescent="0.65">
      <c r="A21" s="1179" t="s">
        <v>74</v>
      </c>
      <c r="B21" s="1179"/>
      <c r="C21" s="1179"/>
      <c r="D21" s="860">
        <f>+D20</f>
        <v>2700000</v>
      </c>
      <c r="E21" s="861"/>
      <c r="F21" s="864">
        <f>+F20</f>
        <v>0</v>
      </c>
      <c r="G21" s="853">
        <f t="shared" ref="G21" si="11">+F21*100/D21</f>
        <v>0</v>
      </c>
      <c r="H21" s="861"/>
      <c r="I21" s="861"/>
      <c r="J21" s="860">
        <f t="shared" ref="J21" si="12">SUM(J19:J20)</f>
        <v>2700000</v>
      </c>
      <c r="K21" s="853">
        <f t="shared" si="10"/>
        <v>100</v>
      </c>
    </row>
    <row r="22" spans="1:11" s="837" customFormat="1" ht="27.75" x14ac:dyDescent="0.65">
      <c r="A22" s="879" t="s">
        <v>947</v>
      </c>
      <c r="B22" s="879"/>
    </row>
    <row r="23" spans="1:11" s="477" customFormat="1" ht="27.75" x14ac:dyDescent="0.65">
      <c r="A23" s="862" t="s">
        <v>962</v>
      </c>
      <c r="B23" s="862"/>
    </row>
    <row r="24" spans="1:11" s="477" customFormat="1" ht="33.75" customHeight="1" x14ac:dyDescent="0.65">
      <c r="A24" s="1189" t="s">
        <v>905</v>
      </c>
      <c r="B24" s="1189"/>
      <c r="C24" s="1189"/>
      <c r="D24" s="1189"/>
      <c r="E24" s="1189"/>
      <c r="F24" s="1189"/>
      <c r="G24" s="1189"/>
      <c r="H24" s="1189"/>
      <c r="I24" s="1189"/>
      <c r="J24" s="1189"/>
      <c r="K24" s="1189"/>
    </row>
    <row r="25" spans="1:11" s="477" customFormat="1" ht="33" customHeight="1" x14ac:dyDescent="0.65">
      <c r="A25" s="1095" t="s">
        <v>58</v>
      </c>
      <c r="B25" s="1095"/>
      <c r="C25" s="1095"/>
      <c r="D25" s="1095"/>
      <c r="E25" s="1095"/>
      <c r="F25" s="1095"/>
      <c r="G25" s="1095"/>
      <c r="H25" s="1095"/>
      <c r="I25" s="1095" t="s">
        <v>957</v>
      </c>
      <c r="J25" s="1095"/>
      <c r="K25" s="875" t="s">
        <v>160</v>
      </c>
    </row>
    <row r="26" spans="1:11" s="477" customFormat="1" ht="33" customHeight="1" x14ac:dyDescent="0.65">
      <c r="A26" s="866">
        <v>1</v>
      </c>
      <c r="B26" s="870" t="s">
        <v>14</v>
      </c>
      <c r="C26" s="870"/>
      <c r="D26" s="870"/>
      <c r="E26" s="870"/>
      <c r="F26" s="870"/>
      <c r="G26" s="870"/>
      <c r="H26" s="865"/>
      <c r="I26" s="866"/>
      <c r="J26" s="872">
        <f>+I27</f>
        <v>721233.5</v>
      </c>
      <c r="K26" s="863"/>
    </row>
    <row r="27" spans="1:11" s="878" customFormat="1" ht="63.75" customHeight="1" x14ac:dyDescent="0.5">
      <c r="A27" s="876"/>
      <c r="B27" s="877"/>
      <c r="C27" s="1175" t="s">
        <v>952</v>
      </c>
      <c r="D27" s="1175"/>
      <c r="E27" s="1175"/>
      <c r="F27" s="1175"/>
      <c r="G27" s="1175"/>
      <c r="H27" s="1176"/>
      <c r="I27" s="1172">
        <v>721233.5</v>
      </c>
      <c r="J27" s="1173"/>
      <c r="K27" s="880" t="s">
        <v>958</v>
      </c>
    </row>
    <row r="28" spans="1:11" s="477" customFormat="1" ht="37.5" customHeight="1" x14ac:dyDescent="0.65">
      <c r="A28" s="866">
        <v>2</v>
      </c>
      <c r="B28" s="870" t="s">
        <v>15</v>
      </c>
      <c r="C28" s="870"/>
      <c r="D28" s="870"/>
      <c r="E28" s="870"/>
      <c r="F28" s="870"/>
      <c r="G28" s="870"/>
      <c r="H28" s="865"/>
      <c r="I28" s="873"/>
      <c r="J28" s="874">
        <f>SUM(I29:J32)</f>
        <v>20862347.390000001</v>
      </c>
      <c r="K28" s="863"/>
    </row>
    <row r="29" spans="1:11" s="484" customFormat="1" ht="37.5" customHeight="1" x14ac:dyDescent="0.65">
      <c r="A29" s="849"/>
      <c r="B29" s="850">
        <v>2.1</v>
      </c>
      <c r="C29" s="850" t="s">
        <v>953</v>
      </c>
      <c r="D29" s="850"/>
      <c r="E29" s="850"/>
      <c r="F29" s="850"/>
      <c r="G29" s="850"/>
      <c r="H29" s="851"/>
      <c r="I29" s="1174">
        <v>11135650</v>
      </c>
      <c r="J29" s="1174"/>
      <c r="K29" s="868"/>
    </row>
    <row r="30" spans="1:11" s="484" customFormat="1" ht="37.5" customHeight="1" x14ac:dyDescent="0.65">
      <c r="A30" s="849"/>
      <c r="B30" s="871">
        <v>2.2000000000000002</v>
      </c>
      <c r="C30" s="850" t="s">
        <v>954</v>
      </c>
      <c r="D30" s="850"/>
      <c r="E30" s="850"/>
      <c r="F30" s="850"/>
      <c r="G30" s="850"/>
      <c r="H30" s="851"/>
      <c r="I30" s="1174">
        <v>2339940.84</v>
      </c>
      <c r="J30" s="1174"/>
      <c r="K30" s="868"/>
    </row>
    <row r="31" spans="1:11" s="484" customFormat="1" ht="37.5" customHeight="1" x14ac:dyDescent="0.65">
      <c r="A31" s="849"/>
      <c r="B31" s="871">
        <v>2.2999999999999998</v>
      </c>
      <c r="C31" s="850" t="s">
        <v>955</v>
      </c>
      <c r="D31" s="850"/>
      <c r="E31" s="850"/>
      <c r="F31" s="850"/>
      <c r="G31" s="850"/>
      <c r="H31" s="851"/>
      <c r="I31" s="1174">
        <v>4231617.55</v>
      </c>
      <c r="J31" s="1174"/>
      <c r="K31" s="868"/>
    </row>
    <row r="32" spans="1:11" s="484" customFormat="1" ht="37.5" customHeight="1" x14ac:dyDescent="0.65">
      <c r="A32" s="849"/>
      <c r="B32" s="871">
        <v>2.4</v>
      </c>
      <c r="C32" s="850" t="s">
        <v>956</v>
      </c>
      <c r="D32" s="850"/>
      <c r="E32" s="850"/>
      <c r="F32" s="850"/>
      <c r="G32" s="850"/>
      <c r="H32" s="851"/>
      <c r="I32" s="1174">
        <v>3155139</v>
      </c>
      <c r="J32" s="1174"/>
      <c r="K32" s="868" t="s">
        <v>848</v>
      </c>
    </row>
    <row r="33" spans="1:11" s="477" customFormat="1" ht="37.5" customHeight="1" x14ac:dyDescent="0.65">
      <c r="A33" s="1179" t="s">
        <v>367</v>
      </c>
      <c r="B33" s="1179"/>
      <c r="C33" s="1179"/>
      <c r="D33" s="1179"/>
      <c r="E33" s="1179"/>
      <c r="F33" s="1179"/>
      <c r="G33" s="1179"/>
      <c r="H33" s="1179"/>
      <c r="I33" s="1407">
        <f>SUM(I26:J32)/2</f>
        <v>21583580.890000001</v>
      </c>
      <c r="J33" s="1407"/>
      <c r="K33" s="863"/>
    </row>
  </sheetData>
  <mergeCells count="24">
    <mergeCell ref="A33:H33"/>
    <mergeCell ref="I33:J33"/>
    <mergeCell ref="C27:H27"/>
    <mergeCell ref="A19:K19"/>
    <mergeCell ref="A21:C21"/>
    <mergeCell ref="A24:K24"/>
    <mergeCell ref="I25:J25"/>
    <mergeCell ref="A25:H25"/>
    <mergeCell ref="I27:J27"/>
    <mergeCell ref="I29:J29"/>
    <mergeCell ref="I30:J30"/>
    <mergeCell ref="I31:J31"/>
    <mergeCell ref="I32:J32"/>
    <mergeCell ref="A13:C13"/>
    <mergeCell ref="A14:C14"/>
    <mergeCell ref="A18:C18"/>
    <mergeCell ref="F4:F5"/>
    <mergeCell ref="A1:K1"/>
    <mergeCell ref="A3:K3"/>
    <mergeCell ref="A2:K2"/>
    <mergeCell ref="A4:C6"/>
    <mergeCell ref="D4:E4"/>
    <mergeCell ref="H4:I4"/>
    <mergeCell ref="A12:C12"/>
  </mergeCells>
  <pageMargins left="0.51181102362204722" right="0.11811023622047245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V391"/>
  <sheetViews>
    <sheetView topLeftCell="A22" zoomScaleNormal="100" workbookViewId="0">
      <selection activeCell="A24" sqref="A24:I24"/>
    </sheetView>
  </sheetViews>
  <sheetFormatPr defaultRowHeight="24" x14ac:dyDescent="0.5"/>
  <cols>
    <col min="1" max="1" width="15.5703125" style="53" customWidth="1"/>
    <col min="2" max="2" width="21.42578125" style="53" customWidth="1"/>
    <col min="3" max="3" width="21.28515625" style="53" customWidth="1"/>
    <col min="4" max="4" width="18.85546875" style="60" bestFit="1" customWidth="1"/>
    <col min="5" max="5" width="21.140625" style="53" customWidth="1"/>
    <col min="6" max="6" width="18.85546875" style="53" customWidth="1"/>
    <col min="7" max="7" width="19.85546875" style="53" bestFit="1" customWidth="1"/>
    <col min="8" max="8" width="20.140625" style="53" customWidth="1"/>
    <col min="9" max="9" width="15.85546875" style="53" customWidth="1"/>
    <col min="10" max="12" width="0" style="52" hidden="1" customWidth="1"/>
    <col min="13" max="13" width="14.140625" style="52" hidden="1" customWidth="1"/>
    <col min="14" max="17" width="0" style="52" hidden="1" customWidth="1"/>
    <col min="18" max="48" width="0" style="53" hidden="1" customWidth="1"/>
    <col min="49" max="16384" width="9.140625" style="53"/>
  </cols>
  <sheetData>
    <row r="1" spans="1:22" ht="29.25" customHeight="1" x14ac:dyDescent="0.5">
      <c r="A1" s="1411" t="s">
        <v>57</v>
      </c>
      <c r="B1" s="1411"/>
      <c r="C1" s="1411"/>
      <c r="D1" s="1411"/>
      <c r="E1" s="1411"/>
      <c r="F1" s="1411"/>
      <c r="G1" s="1411"/>
      <c r="H1" s="1411"/>
      <c r="I1" s="1411"/>
    </row>
    <row r="2" spans="1:22" ht="29.25" customHeight="1" x14ac:dyDescent="0.5">
      <c r="A2" s="1411" t="s">
        <v>294</v>
      </c>
      <c r="B2" s="1411"/>
      <c r="C2" s="1411"/>
      <c r="D2" s="1411"/>
      <c r="E2" s="1411"/>
      <c r="F2" s="1411"/>
      <c r="G2" s="1411"/>
      <c r="H2" s="1411"/>
      <c r="I2" s="1411"/>
    </row>
    <row r="3" spans="1:22" ht="29.25" customHeight="1" x14ac:dyDescent="0.5">
      <c r="A3" s="1429" t="str">
        <f>+รายจ่ายจริง!A3:P3</f>
        <v>ตั้งแต่วันที่ 1  ตุลาคม 2564 ถึงวันที่ 31 มกราคม 2565</v>
      </c>
      <c r="B3" s="1429"/>
      <c r="C3" s="1411"/>
      <c r="D3" s="1411"/>
      <c r="E3" s="1411"/>
      <c r="F3" s="1411"/>
      <c r="G3" s="1411"/>
      <c r="H3" s="1411"/>
      <c r="I3" s="1411"/>
    </row>
    <row r="4" spans="1:22" s="77" customFormat="1" ht="27.75" hidden="1" x14ac:dyDescent="0.5">
      <c r="A4" s="1428" t="s">
        <v>239</v>
      </c>
      <c r="B4" s="1428"/>
      <c r="C4" s="1428"/>
      <c r="D4" s="1428"/>
      <c r="E4" s="1428"/>
      <c r="F4" s="1428"/>
      <c r="G4" s="1428"/>
      <c r="H4" s="1428"/>
      <c r="I4" s="1428"/>
      <c r="J4" s="76"/>
      <c r="K4" s="76"/>
      <c r="L4" s="76"/>
      <c r="M4" s="76"/>
      <c r="N4" s="76"/>
      <c r="O4" s="76"/>
      <c r="P4" s="76"/>
      <c r="Q4" s="76"/>
    </row>
    <row r="5" spans="1:22" s="55" customFormat="1" ht="29.25" customHeight="1" x14ac:dyDescent="0.5">
      <c r="A5" s="143" t="s">
        <v>201</v>
      </c>
      <c r="B5" s="188" t="s">
        <v>313</v>
      </c>
      <c r="C5" s="176" t="s">
        <v>303</v>
      </c>
      <c r="D5" s="144" t="s">
        <v>202</v>
      </c>
      <c r="E5" s="144" t="s">
        <v>200</v>
      </c>
      <c r="F5" s="144" t="s">
        <v>161</v>
      </c>
      <c r="G5" s="144" t="s">
        <v>17</v>
      </c>
      <c r="H5" s="144" t="s">
        <v>60</v>
      </c>
      <c r="I5" s="144" t="s">
        <v>65</v>
      </c>
      <c r="J5" s="54"/>
      <c r="K5" s="54"/>
      <c r="L5" s="54"/>
      <c r="M5" s="54"/>
      <c r="N5" s="54"/>
      <c r="O5" s="54"/>
      <c r="P5" s="54"/>
      <c r="Q5" s="54"/>
    </row>
    <row r="6" spans="1:22" ht="29.25" customHeight="1" x14ac:dyDescent="0.5">
      <c r="A6" s="96" t="s">
        <v>13</v>
      </c>
      <c r="B6" s="96">
        <v>1401598200</v>
      </c>
      <c r="C6" s="97">
        <f>+รายจ่ายจริง!G79</f>
        <v>1390052000</v>
      </c>
      <c r="D6" s="98">
        <f>+E6-C6</f>
        <v>-695026000</v>
      </c>
      <c r="E6" s="97">
        <f>+รายจ่ายจริง!G80</f>
        <v>695026000</v>
      </c>
      <c r="F6" s="97">
        <f>+รายจ่ายจริง!G81</f>
        <v>0</v>
      </c>
      <c r="G6" s="97">
        <f>+รายจ่ายจริง!G82</f>
        <v>455978224.26999998</v>
      </c>
      <c r="H6" s="97">
        <f>+E6-F6-G6</f>
        <v>239047775.73000002</v>
      </c>
      <c r="I6" s="99">
        <f>+G6*100/E6</f>
        <v>65.605923270496362</v>
      </c>
    </row>
    <row r="7" spans="1:22" ht="29.25" customHeight="1" x14ac:dyDescent="0.5">
      <c r="A7" s="96" t="s">
        <v>14</v>
      </c>
      <c r="B7" s="96">
        <v>545544900</v>
      </c>
      <c r="C7" s="97">
        <f>+รายจ่ายจริง!J79</f>
        <v>432541700</v>
      </c>
      <c r="D7" s="98">
        <f>+E7-C7</f>
        <v>-216271200</v>
      </c>
      <c r="E7" s="97">
        <f>+รายจ่ายจริง!J80</f>
        <v>216270500</v>
      </c>
      <c r="F7" s="100">
        <f>+รายจ่ายจริง!J81</f>
        <v>44861334.840000004</v>
      </c>
      <c r="G7" s="97">
        <f>+รายจ่ายจริง!J82</f>
        <v>108116326.24000001</v>
      </c>
      <c r="H7" s="97">
        <f>+E7-F7-G7</f>
        <v>63292838.919999987</v>
      </c>
      <c r="I7" s="99">
        <f>+G7*100/E7</f>
        <v>49.991249957807469</v>
      </c>
    </row>
    <row r="8" spans="1:22" s="57" customFormat="1" ht="29.25" customHeight="1" x14ac:dyDescent="0.5">
      <c r="A8" s="104" t="s">
        <v>15</v>
      </c>
      <c r="B8" s="101">
        <f t="shared" ref="B8:H8" si="0">SUM(B9:B10)</f>
        <v>212436800</v>
      </c>
      <c r="C8" s="101">
        <f t="shared" si="0"/>
        <v>118294300</v>
      </c>
      <c r="D8" s="101">
        <f t="shared" si="0"/>
        <v>-50070800</v>
      </c>
      <c r="E8" s="101">
        <f>SUM(E9:E10)</f>
        <v>68223500</v>
      </c>
      <c r="F8" s="101">
        <f t="shared" si="0"/>
        <v>22444868</v>
      </c>
      <c r="G8" s="101">
        <f t="shared" si="0"/>
        <v>18036707.699999999</v>
      </c>
      <c r="H8" s="101">
        <f t="shared" si="0"/>
        <v>27741924.299999997</v>
      </c>
      <c r="I8" s="105">
        <f>+G8*100/E8</f>
        <v>26.437675727571879</v>
      </c>
      <c r="J8" s="56"/>
      <c r="K8" s="56"/>
      <c r="L8" s="56"/>
      <c r="M8" s="56"/>
      <c r="N8" s="56"/>
      <c r="O8" s="56"/>
      <c r="P8" s="56"/>
      <c r="Q8" s="56"/>
    </row>
    <row r="9" spans="1:22" ht="29.25" customHeight="1" x14ac:dyDescent="0.5">
      <c r="A9" s="96" t="s">
        <v>203</v>
      </c>
      <c r="B9" s="96">
        <v>28842200</v>
      </c>
      <c r="C9" s="97">
        <f>+รายจ่ายจริง!K79</f>
        <v>19128700</v>
      </c>
      <c r="D9" s="98">
        <f>+E9-C9</f>
        <v>1296985</v>
      </c>
      <c r="E9" s="97">
        <f>+รายจ่ายจริง!K80</f>
        <v>20425685</v>
      </c>
      <c r="F9" s="97">
        <f>+รายจ่ายจริง!K81</f>
        <v>746218</v>
      </c>
      <c r="G9" s="97">
        <f>+รายจ่ายจริง!K82</f>
        <v>15059134.779999999</v>
      </c>
      <c r="H9" s="97">
        <f>+E9-F9-G9</f>
        <v>4620332.2200000007</v>
      </c>
      <c r="I9" s="97">
        <v>0</v>
      </c>
    </row>
    <row r="10" spans="1:22" ht="29.25" customHeight="1" x14ac:dyDescent="0.5">
      <c r="A10" s="102" t="s">
        <v>205</v>
      </c>
      <c r="B10" s="102">
        <v>183594600</v>
      </c>
      <c r="C10" s="97">
        <f>+รายจ่ายจริง!L79</f>
        <v>99165600</v>
      </c>
      <c r="D10" s="98">
        <f>+E10-C10</f>
        <v>-51367785</v>
      </c>
      <c r="E10" s="97">
        <f>+รายจ่ายจริง!L80</f>
        <v>47797815</v>
      </c>
      <c r="F10" s="97">
        <f>+รายจ่ายจริง!L81</f>
        <v>21698650</v>
      </c>
      <c r="G10" s="97">
        <f>+รายจ่ายจริง!L82</f>
        <v>2977572.92</v>
      </c>
      <c r="H10" s="97">
        <f>+E10-F10-G10</f>
        <v>23121592.079999998</v>
      </c>
      <c r="I10" s="99">
        <f>+G10*100/E10</f>
        <v>6.2295168095026936</v>
      </c>
      <c r="V10" s="53" t="s">
        <v>175</v>
      </c>
    </row>
    <row r="11" spans="1:22" ht="29.25" customHeight="1" x14ac:dyDescent="0.5">
      <c r="A11" s="96" t="s">
        <v>16</v>
      </c>
      <c r="B11" s="96">
        <v>35360100</v>
      </c>
      <c r="C11" s="97">
        <f>+รายจ่ายจริง!O79</f>
        <v>28793900</v>
      </c>
      <c r="D11" s="98">
        <f>+E11-C11</f>
        <v>-14397100</v>
      </c>
      <c r="E11" s="97">
        <f>+รายจ่ายจริง!O80</f>
        <v>14396800</v>
      </c>
      <c r="F11" s="97">
        <f>+รายจ่ายจริง!O81</f>
        <v>2611120</v>
      </c>
      <c r="G11" s="97">
        <f>+รายจ่ายจริง!O82</f>
        <v>1250719.4200000002</v>
      </c>
      <c r="H11" s="97">
        <f>+E11-F11-G11</f>
        <v>10534960.58</v>
      </c>
      <c r="I11" s="99">
        <f>+G11*100/E11</f>
        <v>8.6874820793509677</v>
      </c>
      <c r="M11" s="58"/>
    </row>
    <row r="12" spans="1:22" s="59" customFormat="1" ht="36.75" customHeight="1" x14ac:dyDescent="0.5">
      <c r="A12" s="124" t="s">
        <v>271</v>
      </c>
      <c r="B12" s="103">
        <f t="shared" ref="B12:H12" si="1">+B6+B7+B8+B11</f>
        <v>2194940000</v>
      </c>
      <c r="C12" s="103">
        <f t="shared" si="1"/>
        <v>1969681900</v>
      </c>
      <c r="D12" s="103">
        <f t="shared" si="1"/>
        <v>-975765100</v>
      </c>
      <c r="E12" s="103">
        <f t="shared" si="1"/>
        <v>993916800</v>
      </c>
      <c r="F12" s="103">
        <f t="shared" si="1"/>
        <v>69917322.840000004</v>
      </c>
      <c r="G12" s="103">
        <f t="shared" si="1"/>
        <v>583381977.63</v>
      </c>
      <c r="H12" s="103">
        <f t="shared" si="1"/>
        <v>340617499.52999997</v>
      </c>
      <c r="I12" s="134">
        <f>+G12*100/E12</f>
        <v>58.695252724372907</v>
      </c>
      <c r="J12" s="50"/>
      <c r="K12" s="50"/>
      <c r="L12" s="50"/>
      <c r="M12" s="50"/>
      <c r="N12" s="50"/>
      <c r="O12" s="50"/>
      <c r="P12" s="50"/>
      <c r="Q12" s="50"/>
    </row>
    <row r="13" spans="1:22" s="77" customFormat="1" ht="37.5" hidden="1" customHeight="1" x14ac:dyDescent="0.5">
      <c r="A13" s="1428" t="s">
        <v>233</v>
      </c>
      <c r="B13" s="1428"/>
      <c r="C13" s="1428"/>
      <c r="D13" s="1428"/>
      <c r="E13" s="1428"/>
      <c r="F13" s="1428"/>
      <c r="G13" s="1428"/>
      <c r="H13" s="1428"/>
      <c r="I13" s="1428"/>
      <c r="J13" s="76"/>
      <c r="K13" s="76"/>
      <c r="L13" s="76"/>
      <c r="M13" s="76"/>
      <c r="N13" s="76"/>
      <c r="O13" s="76"/>
      <c r="P13" s="76"/>
      <c r="Q13" s="76"/>
    </row>
    <row r="14" spans="1:22" s="55" customFormat="1" ht="37.5" hidden="1" customHeight="1" x14ac:dyDescent="0.5">
      <c r="A14" s="64" t="s">
        <v>201</v>
      </c>
      <c r="B14" s="64"/>
      <c r="C14" s="65" t="s">
        <v>232</v>
      </c>
      <c r="D14" s="65" t="s">
        <v>202</v>
      </c>
      <c r="E14" s="65" t="s">
        <v>200</v>
      </c>
      <c r="F14" s="65" t="s">
        <v>161</v>
      </c>
      <c r="G14" s="65" t="s">
        <v>17</v>
      </c>
      <c r="H14" s="65" t="s">
        <v>60</v>
      </c>
      <c r="I14" s="65" t="s">
        <v>65</v>
      </c>
      <c r="J14" s="54"/>
      <c r="K14" s="54"/>
      <c r="L14" s="54"/>
      <c r="M14" s="54"/>
      <c r="N14" s="54"/>
      <c r="O14" s="54"/>
      <c r="P14" s="54"/>
      <c r="Q14" s="54"/>
    </row>
    <row r="15" spans="1:22" ht="37.5" hidden="1" customHeight="1" x14ac:dyDescent="0.5">
      <c r="A15" s="66" t="s">
        <v>13</v>
      </c>
      <c r="B15" s="66"/>
      <c r="C15" s="67">
        <f>+รายจ่ายจริง!G80</f>
        <v>695026000</v>
      </c>
      <c r="D15" s="68">
        <v>0</v>
      </c>
      <c r="E15" s="67">
        <f>SUM(C15:D15)</f>
        <v>695026000</v>
      </c>
      <c r="F15" s="67">
        <f>+รายจ่ายจริง!G81</f>
        <v>0</v>
      </c>
      <c r="G15" s="67">
        <f>+รายจ่ายจริง!G82</f>
        <v>455978224.26999998</v>
      </c>
      <c r="H15" s="67">
        <f>+E15-F15-G15</f>
        <v>239047775.73000002</v>
      </c>
      <c r="I15" s="69">
        <f t="shared" ref="I15:I23" si="2">+G15*100/E15</f>
        <v>65.605923270496362</v>
      </c>
    </row>
    <row r="16" spans="1:22" ht="37.5" hidden="1" customHeight="1" x14ac:dyDescent="0.5">
      <c r="A16" s="66" t="s">
        <v>14</v>
      </c>
      <c r="B16" s="66"/>
      <c r="C16" s="67">
        <f>+รายจ่ายจริง!J80</f>
        <v>216270500</v>
      </c>
      <c r="D16" s="68">
        <v>0</v>
      </c>
      <c r="E16" s="67">
        <f>SUM(C16:D16)</f>
        <v>216270500</v>
      </c>
      <c r="F16" s="67">
        <f>+รายจ่ายจริง!J81</f>
        <v>44861334.840000004</v>
      </c>
      <c r="G16" s="67">
        <f>+รายจ่ายจริง!J82</f>
        <v>108116326.24000001</v>
      </c>
      <c r="H16" s="67">
        <f>+E16-F16-G16</f>
        <v>63292838.919999987</v>
      </c>
      <c r="I16" s="69">
        <f t="shared" si="2"/>
        <v>49.991249957807469</v>
      </c>
    </row>
    <row r="17" spans="1:17" s="57" customFormat="1" ht="37.5" hidden="1" customHeight="1" x14ac:dyDescent="0.5">
      <c r="A17" s="70" t="s">
        <v>15</v>
      </c>
      <c r="B17" s="70"/>
      <c r="C17" s="71">
        <f t="shared" ref="C17:H17" si="3">SUM(C18:C19)</f>
        <v>68223500</v>
      </c>
      <c r="D17" s="71">
        <f t="shared" si="3"/>
        <v>0</v>
      </c>
      <c r="E17" s="71">
        <f t="shared" si="3"/>
        <v>68223500</v>
      </c>
      <c r="F17" s="71">
        <f t="shared" si="3"/>
        <v>22444868</v>
      </c>
      <c r="G17" s="71">
        <f t="shared" si="3"/>
        <v>18036707.699999999</v>
      </c>
      <c r="H17" s="71">
        <f t="shared" si="3"/>
        <v>27741924.299999997</v>
      </c>
      <c r="I17" s="72">
        <f t="shared" si="2"/>
        <v>26.437675727571879</v>
      </c>
      <c r="J17" s="56"/>
      <c r="K17" s="56"/>
      <c r="L17" s="56"/>
      <c r="M17" s="56"/>
      <c r="N17" s="56"/>
      <c r="O17" s="56"/>
      <c r="P17" s="56"/>
      <c r="Q17" s="56"/>
    </row>
    <row r="18" spans="1:17" ht="37.5" hidden="1" customHeight="1" x14ac:dyDescent="0.5">
      <c r="A18" s="66" t="s">
        <v>203</v>
      </c>
      <c r="B18" s="66"/>
      <c r="C18" s="67">
        <f>+รายจ่ายจริง!K80</f>
        <v>20425685</v>
      </c>
      <c r="D18" s="68">
        <v>0</v>
      </c>
      <c r="E18" s="67">
        <f>SUM(C18:D18)</f>
        <v>20425685</v>
      </c>
      <c r="F18" s="67">
        <f>+รายจ่ายจริง!K81</f>
        <v>746218</v>
      </c>
      <c r="G18" s="67">
        <f>+รายจ่ายจริง!K82</f>
        <v>15059134.779999999</v>
      </c>
      <c r="H18" s="67">
        <f>+E18-F18-G18</f>
        <v>4620332.2200000007</v>
      </c>
      <c r="I18" s="69">
        <f t="shared" si="2"/>
        <v>73.726461462614353</v>
      </c>
    </row>
    <row r="19" spans="1:17" ht="37.5" hidden="1" customHeight="1" x14ac:dyDescent="0.5">
      <c r="A19" s="73" t="s">
        <v>205</v>
      </c>
      <c r="B19" s="73"/>
      <c r="C19" s="67">
        <f>+รายจ่ายจริง!L80</f>
        <v>47797815</v>
      </c>
      <c r="D19" s="68">
        <v>0</v>
      </c>
      <c r="E19" s="67">
        <f>SUM(C19:D19)</f>
        <v>47797815</v>
      </c>
      <c r="F19" s="67">
        <f>+รายจ่ายจริง!L81</f>
        <v>21698650</v>
      </c>
      <c r="G19" s="67">
        <f>+รายจ่ายจริง!L82</f>
        <v>2977572.92</v>
      </c>
      <c r="H19" s="67">
        <f>+E19-F19-G19</f>
        <v>23121592.079999998</v>
      </c>
      <c r="I19" s="69">
        <f t="shared" si="2"/>
        <v>6.2295168095026936</v>
      </c>
    </row>
    <row r="20" spans="1:17" ht="37.5" hidden="1" customHeight="1" x14ac:dyDescent="0.5">
      <c r="A20" s="66" t="s">
        <v>16</v>
      </c>
      <c r="B20" s="66"/>
      <c r="C20" s="67">
        <f>+รายจ่ายจริง!O80</f>
        <v>14396800</v>
      </c>
      <c r="D20" s="68">
        <v>0</v>
      </c>
      <c r="E20" s="67">
        <f>SUM(C20:D20)</f>
        <v>14396800</v>
      </c>
      <c r="F20" s="67">
        <f>+รายจ่ายจริง!O81</f>
        <v>2611120</v>
      </c>
      <c r="G20" s="67">
        <f>+รายจ่ายจริง!O82</f>
        <v>1250719.4200000002</v>
      </c>
      <c r="H20" s="67">
        <f>+E20-F20-G20</f>
        <v>10534960.58</v>
      </c>
      <c r="I20" s="69">
        <f t="shared" si="2"/>
        <v>8.6874820793509677</v>
      </c>
      <c r="M20" s="58"/>
    </row>
    <row r="21" spans="1:17" s="59" customFormat="1" ht="37.5" hidden="1" customHeight="1" x14ac:dyDescent="0.5">
      <c r="A21" s="88" t="s">
        <v>74</v>
      </c>
      <c r="B21" s="88"/>
      <c r="C21" s="74">
        <f t="shared" ref="C21:H21" si="4">+C15+C16+C17+C20</f>
        <v>993916800</v>
      </c>
      <c r="D21" s="74">
        <f t="shared" si="4"/>
        <v>0</v>
      </c>
      <c r="E21" s="74">
        <f t="shared" si="4"/>
        <v>993916800</v>
      </c>
      <c r="F21" s="74">
        <f t="shared" si="4"/>
        <v>69917322.840000004</v>
      </c>
      <c r="G21" s="74">
        <f t="shared" si="4"/>
        <v>583381977.63</v>
      </c>
      <c r="H21" s="74">
        <f t="shared" si="4"/>
        <v>340617499.52999997</v>
      </c>
      <c r="I21" s="75">
        <f t="shared" si="2"/>
        <v>58.695252724372907</v>
      </c>
      <c r="J21" s="50"/>
      <c r="K21" s="50"/>
      <c r="L21" s="50"/>
      <c r="M21" s="78"/>
      <c r="N21" s="50"/>
      <c r="O21" s="50"/>
      <c r="P21" s="50"/>
      <c r="Q21" s="50"/>
    </row>
    <row r="22" spans="1:17" s="59" customFormat="1" ht="32.25" customHeight="1" x14ac:dyDescent="0.5">
      <c r="A22" s="136" t="s">
        <v>269</v>
      </c>
      <c r="B22" s="74">
        <f t="shared" ref="B22:H22" si="5">+B12-B8</f>
        <v>1982503200</v>
      </c>
      <c r="C22" s="74">
        <f t="shared" si="5"/>
        <v>1851387600</v>
      </c>
      <c r="D22" s="74">
        <f t="shared" si="5"/>
        <v>-925694300</v>
      </c>
      <c r="E22" s="74">
        <f t="shared" si="5"/>
        <v>925693300</v>
      </c>
      <c r="F22" s="74">
        <f t="shared" si="5"/>
        <v>47472454.840000004</v>
      </c>
      <c r="G22" s="74">
        <f t="shared" si="5"/>
        <v>565345269.92999995</v>
      </c>
      <c r="H22" s="74">
        <f t="shared" si="5"/>
        <v>312875575.22999996</v>
      </c>
      <c r="I22" s="134">
        <f t="shared" si="2"/>
        <v>61.072632796413231</v>
      </c>
      <c r="J22" s="50"/>
      <c r="K22" s="50"/>
      <c r="L22" s="50"/>
      <c r="M22" s="78"/>
      <c r="N22" s="50"/>
      <c r="O22" s="50"/>
      <c r="P22" s="50"/>
      <c r="Q22" s="50"/>
    </row>
    <row r="23" spans="1:17" s="59" customFormat="1" ht="32.25" customHeight="1" x14ac:dyDescent="0.5">
      <c r="A23" s="136" t="s">
        <v>270</v>
      </c>
      <c r="B23" s="74">
        <f t="shared" ref="B23:H23" si="6">+B8</f>
        <v>212436800</v>
      </c>
      <c r="C23" s="74">
        <f t="shared" si="6"/>
        <v>118294300</v>
      </c>
      <c r="D23" s="74">
        <f t="shared" si="6"/>
        <v>-50070800</v>
      </c>
      <c r="E23" s="74">
        <f t="shared" si="6"/>
        <v>68223500</v>
      </c>
      <c r="F23" s="74">
        <f t="shared" si="6"/>
        <v>22444868</v>
      </c>
      <c r="G23" s="74">
        <f t="shared" si="6"/>
        <v>18036707.699999999</v>
      </c>
      <c r="H23" s="74">
        <f t="shared" si="6"/>
        <v>27741924.299999997</v>
      </c>
      <c r="I23" s="134">
        <f t="shared" si="2"/>
        <v>26.437675727571879</v>
      </c>
      <c r="J23" s="50"/>
      <c r="K23" s="50"/>
      <c r="L23" s="50"/>
      <c r="M23" s="78"/>
      <c r="N23" s="50"/>
      <c r="O23" s="50"/>
      <c r="P23" s="50"/>
      <c r="Q23" s="50"/>
    </row>
    <row r="24" spans="1:17" s="59" customFormat="1" ht="34.5" customHeight="1" x14ac:dyDescent="0.5">
      <c r="A24" s="1433" t="s">
        <v>295</v>
      </c>
      <c r="B24" s="1433"/>
      <c r="C24" s="1433"/>
      <c r="D24" s="1433"/>
      <c r="E24" s="1433"/>
      <c r="F24" s="1433"/>
      <c r="G24" s="1433"/>
      <c r="H24" s="1433"/>
      <c r="I24" s="1433"/>
      <c r="J24" s="50"/>
      <c r="K24" s="50"/>
      <c r="L24" s="50"/>
      <c r="M24" s="78"/>
      <c r="N24" s="50"/>
      <c r="O24" s="50"/>
      <c r="P24" s="50"/>
      <c r="Q24" s="50"/>
    </row>
    <row r="25" spans="1:17" s="59" customFormat="1" ht="48" customHeight="1" x14ac:dyDescent="0.5">
      <c r="A25" s="1434" t="s">
        <v>246</v>
      </c>
      <c r="B25" s="1434"/>
      <c r="C25" s="1434"/>
      <c r="D25" s="1434"/>
      <c r="E25" s="144" t="s">
        <v>166</v>
      </c>
      <c r="F25" s="153" t="s">
        <v>167</v>
      </c>
      <c r="G25" s="152" t="s">
        <v>168</v>
      </c>
      <c r="H25" s="184" t="s">
        <v>169</v>
      </c>
      <c r="I25" s="145" t="s">
        <v>273</v>
      </c>
      <c r="J25" s="50"/>
      <c r="K25" s="50"/>
      <c r="L25" s="50"/>
      <c r="M25" s="78"/>
      <c r="N25" s="50"/>
      <c r="O25" s="50"/>
      <c r="P25" s="50"/>
      <c r="Q25" s="50"/>
    </row>
    <row r="26" spans="1:17" s="59" customFormat="1" ht="24.75" customHeight="1" x14ac:dyDescent="0.5">
      <c r="A26" s="132" t="s">
        <v>268</v>
      </c>
      <c r="B26" s="189"/>
      <c r="C26" s="133" t="s">
        <v>272</v>
      </c>
      <c r="D26" s="128" t="s">
        <v>81</v>
      </c>
      <c r="E26" s="163">
        <v>32</v>
      </c>
      <c r="F26" s="185">
        <v>54</v>
      </c>
      <c r="G26" s="163">
        <v>77</v>
      </c>
      <c r="H26" s="163">
        <v>100</v>
      </c>
      <c r="I26" s="164">
        <f>+I12-F26</f>
        <v>4.6952527243729065</v>
      </c>
      <c r="J26" s="50"/>
      <c r="K26" s="50"/>
      <c r="L26" s="50"/>
      <c r="M26" s="78"/>
      <c r="N26" s="50"/>
      <c r="O26" s="50"/>
      <c r="P26" s="50"/>
      <c r="Q26" s="50"/>
    </row>
    <row r="27" spans="1:17" s="59" customFormat="1" ht="24.75" customHeight="1" x14ac:dyDescent="0.5">
      <c r="A27" s="132" t="s">
        <v>269</v>
      </c>
      <c r="B27" s="189"/>
      <c r="C27" s="133" t="s">
        <v>272</v>
      </c>
      <c r="D27" s="128" t="s">
        <v>81</v>
      </c>
      <c r="E27" s="163">
        <v>36</v>
      </c>
      <c r="F27" s="185">
        <v>57</v>
      </c>
      <c r="G27" s="163">
        <v>80</v>
      </c>
      <c r="H27" s="163">
        <v>100</v>
      </c>
      <c r="I27" s="164">
        <f>+I22-F27</f>
        <v>4.0726327964132309</v>
      </c>
      <c r="J27" s="50"/>
      <c r="K27" s="50"/>
      <c r="L27" s="50"/>
      <c r="M27" s="78"/>
      <c r="N27" s="50"/>
      <c r="O27" s="50"/>
      <c r="P27" s="50"/>
      <c r="Q27" s="50"/>
    </row>
    <row r="28" spans="1:17" s="59" customFormat="1" ht="24.75" customHeight="1" x14ac:dyDescent="0.5">
      <c r="A28" s="132" t="s">
        <v>270</v>
      </c>
      <c r="B28" s="189"/>
      <c r="C28" s="133" t="s">
        <v>272</v>
      </c>
      <c r="D28" s="128" t="s">
        <v>81</v>
      </c>
      <c r="E28" s="163">
        <v>20</v>
      </c>
      <c r="F28" s="185">
        <v>45</v>
      </c>
      <c r="G28" s="163">
        <v>65</v>
      </c>
      <c r="H28" s="163">
        <v>100</v>
      </c>
      <c r="I28" s="164">
        <f>+I23-F28</f>
        <v>-18.562324272428121</v>
      </c>
      <c r="J28" s="50"/>
      <c r="K28" s="50"/>
      <c r="L28" s="50"/>
      <c r="M28" s="78"/>
      <c r="N28" s="50"/>
      <c r="O28" s="50"/>
      <c r="P28" s="50"/>
      <c r="Q28" s="50"/>
    </row>
    <row r="29" spans="1:17" s="125" customFormat="1" ht="30.75" hidden="1" x14ac:dyDescent="0.5">
      <c r="A29" s="123" t="s">
        <v>234</v>
      </c>
      <c r="B29" s="123"/>
      <c r="C29" s="130" t="s">
        <v>244</v>
      </c>
      <c r="D29" s="131"/>
      <c r="E29" s="131"/>
      <c r="F29" s="131"/>
      <c r="G29" s="131"/>
      <c r="H29" s="131"/>
      <c r="I29" s="131"/>
      <c r="M29" s="126"/>
      <c r="N29" s="127"/>
    </row>
    <row r="30" spans="1:17" s="92" customFormat="1" hidden="1" x14ac:dyDescent="0.5">
      <c r="A30" s="89"/>
      <c r="B30" s="89"/>
      <c r="C30" s="90" t="s">
        <v>240</v>
      </c>
      <c r="D30" s="91"/>
      <c r="E30" s="91"/>
      <c r="F30" s="91"/>
      <c r="G30" s="91"/>
      <c r="H30" s="91"/>
      <c r="I30" s="91"/>
      <c r="M30" s="93"/>
      <c r="N30" s="94"/>
    </row>
    <row r="31" spans="1:17" ht="36" hidden="1" x14ac:dyDescent="0.45">
      <c r="A31" s="1435" t="str">
        <f>+A1</f>
        <v>กรมพินิจและคุ้มครองเด็กและเยาวชน   กระทรวงยุติธรรม</v>
      </c>
      <c r="B31" s="1435"/>
      <c r="C31" s="1435"/>
      <c r="D31" s="1435"/>
      <c r="E31" s="1435"/>
      <c r="F31" s="1435"/>
      <c r="G31" s="1435"/>
      <c r="H31" s="1435"/>
      <c r="I31" s="1435"/>
      <c r="J31" s="63"/>
      <c r="K31" s="63"/>
      <c r="L31" s="63"/>
    </row>
    <row r="32" spans="1:17" ht="33" hidden="1" x14ac:dyDescent="0.45">
      <c r="A32" s="1430" t="s">
        <v>255</v>
      </c>
      <c r="B32" s="1430"/>
      <c r="C32" s="1430"/>
      <c r="D32" s="1430"/>
      <c r="E32" s="1430"/>
      <c r="F32" s="1430"/>
      <c r="G32" s="1430"/>
      <c r="H32" s="1430"/>
      <c r="I32" s="1430"/>
      <c r="J32" s="63"/>
      <c r="K32" s="63"/>
      <c r="L32" s="63"/>
    </row>
    <row r="33" spans="1:12" s="110" customFormat="1" ht="30.75" hidden="1" x14ac:dyDescent="0.45">
      <c r="A33" s="1440" t="s">
        <v>246</v>
      </c>
      <c r="B33" s="1440"/>
      <c r="C33" s="1440"/>
      <c r="D33" s="1440"/>
      <c r="E33" s="1439" t="s">
        <v>247</v>
      </c>
      <c r="F33" s="1439"/>
      <c r="G33" s="1439"/>
      <c r="H33" s="1439"/>
      <c r="I33" s="108"/>
      <c r="J33" s="109"/>
      <c r="K33" s="109"/>
      <c r="L33" s="109"/>
    </row>
    <row r="34" spans="1:12" s="110" customFormat="1" ht="30.75" hidden="1" x14ac:dyDescent="0.45">
      <c r="A34" s="1440"/>
      <c r="B34" s="1440"/>
      <c r="C34" s="1440"/>
      <c r="D34" s="1440"/>
      <c r="E34" s="114" t="s">
        <v>248</v>
      </c>
      <c r="F34" s="114" t="s">
        <v>249</v>
      </c>
      <c r="G34" s="114" t="s">
        <v>250</v>
      </c>
      <c r="H34" s="114" t="s">
        <v>251</v>
      </c>
      <c r="I34" s="108"/>
      <c r="J34" s="109"/>
      <c r="K34" s="109"/>
      <c r="L34" s="109"/>
    </row>
    <row r="35" spans="1:12" s="116" customFormat="1" ht="27.75" hidden="1" x14ac:dyDescent="0.5">
      <c r="A35" s="1436" t="s">
        <v>252</v>
      </c>
      <c r="B35" s="1437"/>
      <c r="C35" s="1437"/>
      <c r="D35" s="1438"/>
      <c r="E35" s="118">
        <v>0.32</v>
      </c>
      <c r="F35" s="118">
        <v>0.54</v>
      </c>
      <c r="G35" s="118">
        <v>0.77</v>
      </c>
      <c r="H35" s="118">
        <v>1</v>
      </c>
      <c r="I35" s="115"/>
    </row>
    <row r="36" spans="1:12" s="116" customFormat="1" ht="27.75" hidden="1" x14ac:dyDescent="0.5">
      <c r="A36" s="119" t="s">
        <v>256</v>
      </c>
      <c r="B36" s="119"/>
      <c r="C36" s="1431">
        <f>+E12</f>
        <v>993916800</v>
      </c>
      <c r="D36" s="1432"/>
      <c r="E36" s="120">
        <f>+C36*0.32</f>
        <v>318053376</v>
      </c>
      <c r="F36" s="120">
        <f>+C36*0.54</f>
        <v>536715072.00000006</v>
      </c>
      <c r="G36" s="120">
        <f>+C36*0.77</f>
        <v>765315936</v>
      </c>
      <c r="H36" s="120">
        <f>+C36*1</f>
        <v>993916800</v>
      </c>
      <c r="I36" s="115"/>
    </row>
    <row r="37" spans="1:12" s="117" customFormat="1" ht="27.75" hidden="1" x14ac:dyDescent="0.5">
      <c r="A37" s="1436" t="s">
        <v>253</v>
      </c>
      <c r="B37" s="1437"/>
      <c r="C37" s="1437"/>
      <c r="D37" s="1438"/>
      <c r="E37" s="118">
        <v>0.36</v>
      </c>
      <c r="F37" s="118">
        <v>0.56999999999999995</v>
      </c>
      <c r="G37" s="118">
        <v>0.8</v>
      </c>
      <c r="H37" s="118">
        <v>1</v>
      </c>
      <c r="I37" s="115"/>
    </row>
    <row r="38" spans="1:12" s="116" customFormat="1" ht="27.75" hidden="1" x14ac:dyDescent="0.5">
      <c r="A38" s="119" t="s">
        <v>256</v>
      </c>
      <c r="B38" s="119"/>
      <c r="C38" s="1431">
        <f>+E6+E7+E11</f>
        <v>925693300</v>
      </c>
      <c r="D38" s="1432"/>
      <c r="E38" s="120">
        <f>+C38*0.36</f>
        <v>333249588</v>
      </c>
      <c r="F38" s="120">
        <f>+C38*0.57</f>
        <v>527645180.99999994</v>
      </c>
      <c r="G38" s="120">
        <f>+C38*0.8</f>
        <v>740554640</v>
      </c>
      <c r="H38" s="120">
        <f>+C38*1</f>
        <v>925693300</v>
      </c>
      <c r="I38" s="115"/>
    </row>
    <row r="39" spans="1:12" s="116" customFormat="1" ht="27.75" hidden="1" x14ac:dyDescent="0.5">
      <c r="A39" s="1436" t="s">
        <v>254</v>
      </c>
      <c r="B39" s="1437"/>
      <c r="C39" s="1437"/>
      <c r="D39" s="1438"/>
      <c r="E39" s="118">
        <v>0.2</v>
      </c>
      <c r="F39" s="118">
        <v>0.45</v>
      </c>
      <c r="G39" s="118">
        <v>0.65</v>
      </c>
      <c r="H39" s="118">
        <v>1</v>
      </c>
      <c r="I39" s="115"/>
    </row>
    <row r="40" spans="1:12" s="116" customFormat="1" ht="27.75" hidden="1" x14ac:dyDescent="0.5">
      <c r="A40" s="119" t="s">
        <v>256</v>
      </c>
      <c r="B40" s="119"/>
      <c r="C40" s="1431">
        <f>+E8</f>
        <v>68223500</v>
      </c>
      <c r="D40" s="1432"/>
      <c r="E40" s="120">
        <f>+C40*0.2</f>
        <v>13644700</v>
      </c>
      <c r="F40" s="120">
        <f>+C40*0.45</f>
        <v>30700575</v>
      </c>
      <c r="G40" s="120">
        <f>+C40*0.65</f>
        <v>44345275</v>
      </c>
      <c r="H40" s="120">
        <f>+C40*1</f>
        <v>68223500</v>
      </c>
      <c r="I40" s="115"/>
    </row>
    <row r="41" spans="1:12" s="112" customFormat="1" ht="21" hidden="1" customHeight="1" x14ac:dyDescent="0.5">
      <c r="A41" s="1441" t="s">
        <v>257</v>
      </c>
      <c r="B41" s="1441"/>
      <c r="C41" s="1441"/>
      <c r="D41" s="1441"/>
      <c r="E41" s="1441"/>
      <c r="F41" s="1441"/>
      <c r="G41" s="1441"/>
      <c r="H41" s="1441"/>
      <c r="I41" s="1441"/>
    </row>
    <row r="42" spans="1:12" s="111" customFormat="1" ht="21" hidden="1" customHeight="1" x14ac:dyDescent="0.5">
      <c r="A42" s="106" t="s">
        <v>252</v>
      </c>
      <c r="B42" s="106"/>
      <c r="C42" s="107" t="s">
        <v>258</v>
      </c>
      <c r="D42" s="108"/>
      <c r="E42" s="108" t="s">
        <v>259</v>
      </c>
      <c r="F42" s="108" t="s">
        <v>260</v>
      </c>
      <c r="G42" s="108"/>
      <c r="H42" s="108"/>
      <c r="I42" s="108"/>
    </row>
    <row r="43" spans="1:12" s="112" customFormat="1" ht="21" hidden="1" customHeight="1" x14ac:dyDescent="0.5">
      <c r="A43" s="106"/>
      <c r="B43" s="106"/>
      <c r="C43" s="107"/>
      <c r="D43" s="108"/>
      <c r="E43" s="108"/>
      <c r="F43" s="108" t="s">
        <v>261</v>
      </c>
      <c r="G43" s="113"/>
      <c r="H43" s="121"/>
      <c r="I43" s="108"/>
    </row>
    <row r="44" spans="1:12" s="112" customFormat="1" ht="21" hidden="1" customHeight="1" x14ac:dyDescent="0.5">
      <c r="A44" s="106"/>
      <c r="B44" s="106"/>
      <c r="C44" s="107"/>
      <c r="D44" s="108"/>
      <c r="E44" s="108"/>
      <c r="F44" s="108" t="s">
        <v>262</v>
      </c>
      <c r="G44" s="108"/>
      <c r="H44" s="108"/>
      <c r="I44" s="108"/>
    </row>
    <row r="45" spans="1:12" s="112" customFormat="1" ht="21" hidden="1" customHeight="1" x14ac:dyDescent="0.5">
      <c r="A45" s="106"/>
      <c r="B45" s="106"/>
      <c r="C45" s="107"/>
      <c r="D45" s="108"/>
      <c r="E45" s="108"/>
      <c r="F45" s="108"/>
      <c r="G45" s="108"/>
      <c r="H45" s="108"/>
      <c r="I45" s="108"/>
    </row>
    <row r="46" spans="1:12" s="112" customFormat="1" ht="21" hidden="1" customHeight="1" x14ac:dyDescent="0.5">
      <c r="A46" s="106"/>
      <c r="B46" s="106"/>
      <c r="C46" s="107"/>
      <c r="D46" s="108"/>
      <c r="E46" s="108"/>
      <c r="F46" s="108"/>
      <c r="G46" s="108"/>
      <c r="H46" s="108"/>
      <c r="I46" s="108"/>
    </row>
    <row r="47" spans="1:12" s="112" customFormat="1" ht="21" hidden="1" customHeight="1" x14ac:dyDescent="0.5">
      <c r="A47" s="106"/>
      <c r="B47" s="106"/>
      <c r="C47" s="107"/>
      <c r="D47" s="108"/>
      <c r="E47" s="108"/>
      <c r="F47" s="108"/>
      <c r="G47" s="108"/>
      <c r="H47" s="108"/>
      <c r="I47" s="108"/>
    </row>
    <row r="48" spans="1:12" s="112" customFormat="1" ht="21" hidden="1" customHeight="1" x14ac:dyDescent="0.5">
      <c r="A48" s="106"/>
      <c r="B48" s="106"/>
      <c r="C48" s="107"/>
      <c r="D48" s="108"/>
      <c r="E48" s="108"/>
      <c r="F48" s="108"/>
      <c r="G48" s="108"/>
      <c r="H48" s="108"/>
      <c r="I48" s="108"/>
    </row>
    <row r="49" spans="1:17" s="112" customFormat="1" ht="21" hidden="1" customHeight="1" x14ac:dyDescent="0.5">
      <c r="A49" s="106"/>
      <c r="B49" s="106"/>
      <c r="C49" s="107"/>
      <c r="D49" s="108"/>
      <c r="E49" s="108"/>
      <c r="F49" s="108"/>
      <c r="G49" s="108"/>
      <c r="H49" s="108"/>
      <c r="I49" s="108"/>
    </row>
    <row r="50" spans="1:17" s="112" customFormat="1" ht="21" hidden="1" customHeight="1" x14ac:dyDescent="0.5">
      <c r="A50" s="106"/>
      <c r="B50" s="106"/>
      <c r="C50" s="107"/>
      <c r="D50" s="108"/>
      <c r="E50" s="108"/>
      <c r="F50" s="108"/>
      <c r="G50" s="108"/>
      <c r="H50" s="108"/>
      <c r="I50" s="108"/>
    </row>
    <row r="51" spans="1:17" s="112" customFormat="1" ht="21" hidden="1" customHeight="1" x14ac:dyDescent="0.5">
      <c r="A51" s="106"/>
      <c r="B51" s="106"/>
      <c r="C51" s="107"/>
      <c r="D51" s="108"/>
      <c r="E51" s="108"/>
      <c r="F51" s="108"/>
      <c r="G51" s="108"/>
      <c r="H51" s="108"/>
      <c r="I51" s="108"/>
    </row>
    <row r="52" spans="1:17" s="112" customFormat="1" ht="21" hidden="1" customHeight="1" x14ac:dyDescent="0.5">
      <c r="A52" s="106"/>
      <c r="B52" s="106"/>
      <c r="C52" s="107"/>
      <c r="D52" s="108"/>
      <c r="E52" s="108"/>
      <c r="F52" s="108"/>
      <c r="G52" s="108"/>
      <c r="H52" s="108"/>
      <c r="I52" s="108"/>
    </row>
    <row r="53" spans="1:17" s="111" customFormat="1" ht="21" hidden="1" customHeight="1" x14ac:dyDescent="0.5">
      <c r="A53" s="106"/>
      <c r="B53" s="106"/>
      <c r="C53" s="107"/>
      <c r="D53" s="108"/>
      <c r="E53" s="108"/>
      <c r="F53" s="108"/>
      <c r="G53" s="108"/>
      <c r="H53" s="108"/>
      <c r="I53" s="108"/>
    </row>
    <row r="54" spans="1:17" s="111" customFormat="1" ht="21" hidden="1" customHeight="1" x14ac:dyDescent="0.5">
      <c r="A54" s="106"/>
      <c r="B54" s="106"/>
      <c r="C54" s="107"/>
      <c r="D54" s="108"/>
      <c r="E54" s="108"/>
      <c r="F54" s="108"/>
      <c r="G54" s="108"/>
      <c r="H54" s="108"/>
      <c r="I54" s="108"/>
    </row>
    <row r="55" spans="1:17" s="111" customFormat="1" ht="21" hidden="1" customHeight="1" x14ac:dyDescent="0.5">
      <c r="A55" s="106"/>
      <c r="B55" s="106"/>
      <c r="C55" s="107"/>
      <c r="D55" s="108"/>
      <c r="E55" s="108"/>
      <c r="F55" s="108"/>
      <c r="G55" s="108"/>
      <c r="H55" s="108"/>
      <c r="I55" s="108"/>
    </row>
    <row r="56" spans="1:17" s="110" customFormat="1" hidden="1" x14ac:dyDescent="0.5">
      <c r="A56" s="106"/>
      <c r="B56" s="106"/>
      <c r="C56" s="107"/>
      <c r="D56" s="108"/>
      <c r="E56" s="108"/>
      <c r="F56" s="108"/>
      <c r="G56" s="108"/>
      <c r="H56" s="108"/>
      <c r="I56" s="108"/>
    </row>
    <row r="57" spans="1:17" ht="31.5" hidden="1" x14ac:dyDescent="0.65">
      <c r="A57" s="1410" t="s">
        <v>80</v>
      </c>
      <c r="B57" s="1410"/>
      <c r="C57" s="1410"/>
      <c r="D57" s="1410"/>
      <c r="E57" s="1410"/>
      <c r="F57" s="1410"/>
      <c r="G57" s="1410"/>
      <c r="H57" s="1410"/>
      <c r="I57" s="1410"/>
    </row>
    <row r="58" spans="1:17" ht="31.5" hidden="1" x14ac:dyDescent="0.65">
      <c r="A58" s="1410" t="s">
        <v>263</v>
      </c>
      <c r="B58" s="1410"/>
      <c r="C58" s="1410"/>
      <c r="D58" s="1410"/>
      <c r="E58" s="1410"/>
      <c r="F58" s="1410"/>
      <c r="G58" s="1410"/>
      <c r="H58" s="1410"/>
      <c r="I58" s="1410"/>
    </row>
    <row r="59" spans="1:17" ht="31.5" hidden="1" x14ac:dyDescent="0.65">
      <c r="A59" s="1409" t="s">
        <v>237</v>
      </c>
      <c r="B59" s="1409"/>
      <c r="C59" s="1409"/>
      <c r="D59" s="1409"/>
      <c r="E59" s="1409"/>
      <c r="F59" s="1409"/>
      <c r="G59" s="1409"/>
      <c r="H59" s="1409"/>
      <c r="I59" s="1409"/>
    </row>
    <row r="60" spans="1:17" ht="31.5" hidden="1" x14ac:dyDescent="0.65">
      <c r="A60" s="1409" t="str">
        <f>+A69</f>
        <v>ตั้งแต่วันที่ 1  ตุลาคม 2564 ถึงวันที่ 31 มกราคม 2565</v>
      </c>
      <c r="B60" s="1409"/>
      <c r="C60" s="1409"/>
      <c r="D60" s="1409"/>
      <c r="E60" s="1409"/>
      <c r="F60" s="1409"/>
      <c r="G60" s="1409"/>
      <c r="H60" s="1409"/>
      <c r="I60" s="1409"/>
    </row>
    <row r="61" spans="1:17" s="142" customFormat="1" ht="27.75" hidden="1" x14ac:dyDescent="0.5">
      <c r="A61" s="1418" t="s">
        <v>236</v>
      </c>
      <c r="B61" s="1418"/>
      <c r="C61" s="1418"/>
      <c r="D61" s="1418"/>
      <c r="E61" s="1418"/>
      <c r="F61" s="143" t="s">
        <v>66</v>
      </c>
      <c r="G61" s="143" t="s">
        <v>17</v>
      </c>
      <c r="H61" s="143" t="s">
        <v>60</v>
      </c>
      <c r="I61" s="144" t="s">
        <v>65</v>
      </c>
      <c r="J61" s="141"/>
      <c r="K61" s="141"/>
      <c r="L61" s="141"/>
      <c r="M61" s="141"/>
      <c r="N61" s="141"/>
      <c r="O61" s="141"/>
      <c r="P61" s="141"/>
      <c r="Q61" s="141"/>
    </row>
    <row r="62" spans="1:17" ht="28.5" hidden="1" customHeight="1" x14ac:dyDescent="0.5">
      <c r="A62" s="129"/>
      <c r="B62" s="129"/>
      <c r="C62" s="129"/>
      <c r="D62" s="129"/>
      <c r="E62" s="129"/>
      <c r="F62" s="129"/>
      <c r="G62" s="129"/>
      <c r="H62" s="129"/>
      <c r="I62" s="129"/>
    </row>
    <row r="63" spans="1:17" ht="28.5" hidden="1" customHeight="1" x14ac:dyDescent="0.5">
      <c r="A63" s="129"/>
      <c r="B63" s="129"/>
      <c r="C63" s="129"/>
      <c r="D63" s="129"/>
      <c r="E63" s="129"/>
      <c r="F63" s="129"/>
      <c r="G63" s="129"/>
      <c r="H63" s="129"/>
      <c r="I63" s="129"/>
    </row>
    <row r="64" spans="1:17" ht="28.5" hidden="1" customHeight="1" x14ac:dyDescent="0.5">
      <c r="A64" s="129"/>
      <c r="B64" s="129"/>
      <c r="C64" s="129"/>
      <c r="D64" s="129"/>
      <c r="E64" s="129"/>
      <c r="F64" s="129"/>
      <c r="G64" s="129"/>
      <c r="H64" s="129"/>
      <c r="I64" s="129"/>
    </row>
    <row r="65" spans="1:9" ht="28.5" hidden="1" customHeight="1" x14ac:dyDescent="0.5">
      <c r="A65" s="129"/>
      <c r="B65" s="129"/>
      <c r="C65" s="129"/>
      <c r="D65" s="129"/>
      <c r="E65" s="129"/>
      <c r="F65" s="129"/>
      <c r="G65" s="129"/>
      <c r="H65" s="129"/>
      <c r="I65" s="129"/>
    </row>
    <row r="66" spans="1:9" ht="30.75" hidden="1" x14ac:dyDescent="0.5">
      <c r="A66" s="1426" t="s">
        <v>57</v>
      </c>
      <c r="B66" s="1426"/>
      <c r="C66" s="1426"/>
      <c r="D66" s="1426"/>
      <c r="E66" s="1426"/>
      <c r="F66" s="1426"/>
      <c r="G66" s="1426"/>
      <c r="H66" s="1426"/>
      <c r="I66" s="1426"/>
    </row>
    <row r="67" spans="1:9" ht="30.75" hidden="1" x14ac:dyDescent="0.5">
      <c r="A67" s="1426" t="s">
        <v>231</v>
      </c>
      <c r="B67" s="1426"/>
      <c r="C67" s="1426"/>
      <c r="D67" s="1426"/>
      <c r="E67" s="1426"/>
      <c r="F67" s="1426"/>
      <c r="G67" s="1426"/>
      <c r="H67" s="1426"/>
      <c r="I67" s="1426"/>
    </row>
    <row r="68" spans="1:9" ht="30.75" hidden="1" x14ac:dyDescent="0.5">
      <c r="A68" s="1427" t="s">
        <v>235</v>
      </c>
      <c r="B68" s="1427"/>
      <c r="C68" s="1426"/>
      <c r="D68" s="1426"/>
      <c r="E68" s="1426"/>
      <c r="F68" s="1426"/>
      <c r="G68" s="1426"/>
      <c r="H68" s="1426"/>
      <c r="I68" s="1426"/>
    </row>
    <row r="69" spans="1:9" ht="30.75" hidden="1" x14ac:dyDescent="0.5">
      <c r="A69" s="1425" t="str">
        <f>+A3</f>
        <v>ตั้งแต่วันที่ 1  ตุลาคม 2564 ถึงวันที่ 31 มกราคม 2565</v>
      </c>
      <c r="B69" s="1425"/>
      <c r="C69" s="1425"/>
      <c r="D69" s="1425"/>
      <c r="E69" s="1425"/>
      <c r="F69" s="1425"/>
      <c r="G69" s="1425"/>
      <c r="H69" s="1425"/>
      <c r="I69" s="1425"/>
    </row>
    <row r="70" spans="1:9" ht="30.75" hidden="1" customHeight="1" x14ac:dyDescent="0.5">
      <c r="A70" s="1414" t="s">
        <v>236</v>
      </c>
      <c r="B70" s="1414"/>
      <c r="C70" s="1414"/>
      <c r="D70" s="1414"/>
      <c r="E70" s="1414"/>
      <c r="F70" s="146" t="s">
        <v>66</v>
      </c>
      <c r="G70" s="146" t="s">
        <v>17</v>
      </c>
      <c r="H70" s="146" t="s">
        <v>60</v>
      </c>
      <c r="I70" s="146" t="s">
        <v>65</v>
      </c>
    </row>
    <row r="71" spans="1:9" ht="30.75" hidden="1" customHeight="1" x14ac:dyDescent="0.5">
      <c r="A71" s="82" t="s">
        <v>170</v>
      </c>
      <c r="B71" s="156"/>
      <c r="C71" s="85"/>
      <c r="D71" s="83"/>
      <c r="E71" s="84"/>
      <c r="F71" s="71">
        <f>SUM(F72:F74)</f>
        <v>0</v>
      </c>
      <c r="G71" s="71">
        <f>SUM(G72:G74)</f>
        <v>0</v>
      </c>
      <c r="H71" s="71">
        <f>SUM(H72:H74)</f>
        <v>0</v>
      </c>
      <c r="I71" s="87" t="e">
        <f t="shared" ref="I71:I83" si="7">+G71*100/F71</f>
        <v>#DIV/0!</v>
      </c>
    </row>
    <row r="72" spans="1:9" ht="30.75" hidden="1" customHeight="1" x14ac:dyDescent="0.5">
      <c r="A72" s="66">
        <v>1</v>
      </c>
      <c r="B72" s="79"/>
      <c r="C72" s="82"/>
      <c r="D72" s="83"/>
      <c r="E72" s="86"/>
      <c r="F72" s="71">
        <v>0</v>
      </c>
      <c r="G72" s="72">
        <v>0</v>
      </c>
      <c r="H72" s="72">
        <f>+F72-G72</f>
        <v>0</v>
      </c>
      <c r="I72" s="87" t="e">
        <f t="shared" si="7"/>
        <v>#DIV/0!</v>
      </c>
    </row>
    <row r="73" spans="1:9" ht="30.75" hidden="1" customHeight="1" x14ac:dyDescent="0.5">
      <c r="A73" s="66">
        <v>2</v>
      </c>
      <c r="B73" s="79"/>
      <c r="C73" s="82"/>
      <c r="D73" s="83"/>
      <c r="E73" s="86"/>
      <c r="F73" s="71">
        <v>0</v>
      </c>
      <c r="G73" s="72">
        <v>0</v>
      </c>
      <c r="H73" s="72">
        <f>+F73-G73</f>
        <v>0</v>
      </c>
      <c r="I73" s="87" t="e">
        <f t="shared" si="7"/>
        <v>#DIV/0!</v>
      </c>
    </row>
    <row r="74" spans="1:9" ht="30.75" hidden="1" customHeight="1" x14ac:dyDescent="0.5">
      <c r="A74" s="66">
        <v>3</v>
      </c>
      <c r="B74" s="79"/>
      <c r="C74" s="82"/>
      <c r="D74" s="83"/>
      <c r="E74" s="86"/>
      <c r="F74" s="71">
        <v>0</v>
      </c>
      <c r="G74" s="72">
        <v>0</v>
      </c>
      <c r="H74" s="72">
        <f>+F74-G74</f>
        <v>0</v>
      </c>
      <c r="I74" s="87" t="e">
        <f t="shared" si="7"/>
        <v>#DIV/0!</v>
      </c>
    </row>
    <row r="75" spans="1:9" ht="30.75" hidden="1" customHeight="1" x14ac:dyDescent="0.5">
      <c r="A75" s="70" t="s">
        <v>171</v>
      </c>
      <c r="B75" s="82"/>
      <c r="C75" s="82"/>
      <c r="D75" s="83"/>
      <c r="E75" s="84"/>
      <c r="F75" s="71">
        <f>SUM(F76:F78)</f>
        <v>0</v>
      </c>
      <c r="G75" s="71">
        <f>SUM(G76:G78)</f>
        <v>0</v>
      </c>
      <c r="H75" s="71">
        <f>SUM(H76:H78)</f>
        <v>0</v>
      </c>
      <c r="I75" s="87" t="e">
        <f t="shared" si="7"/>
        <v>#DIV/0!</v>
      </c>
    </row>
    <row r="76" spans="1:9" ht="30.75" hidden="1" customHeight="1" x14ac:dyDescent="0.5">
      <c r="A76" s="66">
        <v>1</v>
      </c>
      <c r="B76" s="79"/>
      <c r="C76" s="79"/>
      <c r="D76" s="80"/>
      <c r="E76" s="81"/>
      <c r="F76" s="71">
        <v>0</v>
      </c>
      <c r="G76" s="72">
        <v>0</v>
      </c>
      <c r="H76" s="72">
        <f>+F76-G76</f>
        <v>0</v>
      </c>
      <c r="I76" s="87" t="e">
        <f t="shared" si="7"/>
        <v>#DIV/0!</v>
      </c>
    </row>
    <row r="77" spans="1:9" ht="30.75" hidden="1" customHeight="1" x14ac:dyDescent="0.5">
      <c r="A77" s="66">
        <v>2</v>
      </c>
      <c r="B77" s="79"/>
      <c r="C77" s="79"/>
      <c r="D77" s="80"/>
      <c r="E77" s="81"/>
      <c r="F77" s="71">
        <v>0</v>
      </c>
      <c r="G77" s="72">
        <v>0</v>
      </c>
      <c r="H77" s="72">
        <f>+F77-G77</f>
        <v>0</v>
      </c>
      <c r="I77" s="87" t="e">
        <f t="shared" si="7"/>
        <v>#DIV/0!</v>
      </c>
    </row>
    <row r="78" spans="1:9" ht="30.75" hidden="1" customHeight="1" x14ac:dyDescent="0.5">
      <c r="A78" s="66">
        <v>3</v>
      </c>
      <c r="B78" s="79"/>
      <c r="C78" s="79"/>
      <c r="D78" s="80"/>
      <c r="E78" s="81"/>
      <c r="F78" s="71">
        <v>0</v>
      </c>
      <c r="G78" s="72">
        <v>0</v>
      </c>
      <c r="H78" s="72">
        <f>+F78-G78</f>
        <v>0</v>
      </c>
      <c r="I78" s="87" t="e">
        <f t="shared" si="7"/>
        <v>#DIV/0!</v>
      </c>
    </row>
    <row r="79" spans="1:9" ht="35.25" hidden="1" customHeight="1" x14ac:dyDescent="0.5">
      <c r="A79" s="70" t="s">
        <v>245</v>
      </c>
      <c r="B79" s="82"/>
      <c r="C79" s="82"/>
      <c r="D79" s="83"/>
      <c r="E79" s="84"/>
      <c r="F79" s="71">
        <f>+F80</f>
        <v>2700000</v>
      </c>
      <c r="G79" s="71">
        <f>+G80</f>
        <v>556359.67999999993</v>
      </c>
      <c r="H79" s="71">
        <f>+H80</f>
        <v>2143640.3200000003</v>
      </c>
      <c r="I79" s="71">
        <f t="shared" si="7"/>
        <v>20.605914074074072</v>
      </c>
    </row>
    <row r="80" spans="1:9" ht="35.25" hidden="1" customHeight="1" x14ac:dyDescent="0.5">
      <c r="A80" s="79">
        <v>1</v>
      </c>
      <c r="B80" s="122"/>
      <c r="C80" s="122" t="s">
        <v>238</v>
      </c>
      <c r="D80" s="80"/>
      <c r="E80" s="81"/>
      <c r="F80" s="71">
        <f>SUM(F81:F82)</f>
        <v>2700000</v>
      </c>
      <c r="G80" s="71">
        <f>SUM(G81:G82)</f>
        <v>556359.67999999993</v>
      </c>
      <c r="H80" s="71">
        <f>SUM(H81:H82)</f>
        <v>2143640.3200000003</v>
      </c>
      <c r="I80" s="71">
        <f t="shared" si="7"/>
        <v>20.605914074074072</v>
      </c>
    </row>
    <row r="81" spans="1:17" ht="35.25" hidden="1" customHeight="1" x14ac:dyDescent="0.5">
      <c r="A81" s="79"/>
      <c r="B81" s="122"/>
      <c r="C81" s="1423" t="s">
        <v>274</v>
      </c>
      <c r="D81" s="1423"/>
      <c r="E81" s="1424"/>
      <c r="F81" s="135">
        <f>+'เบิกแทน กรมคุม'!D103</f>
        <v>2700000</v>
      </c>
      <c r="G81" s="72">
        <f>+'เบิกแทน กรมคุม'!E103</f>
        <v>556359.67999999993</v>
      </c>
      <c r="H81" s="72">
        <f>+F81-G81</f>
        <v>2143640.3200000003</v>
      </c>
      <c r="I81" s="71">
        <f t="shared" si="7"/>
        <v>20.605914074074072</v>
      </c>
    </row>
    <row r="82" spans="1:17" ht="42.75" hidden="1" customHeight="1" x14ac:dyDescent="0.5">
      <c r="A82" s="138"/>
      <c r="B82" s="190"/>
      <c r="C82" s="1421" t="s">
        <v>276</v>
      </c>
      <c r="D82" s="1421"/>
      <c r="E82" s="1422"/>
      <c r="F82" s="139">
        <f>+'เบิกแทน กรมคุม'!G103</f>
        <v>0</v>
      </c>
      <c r="G82" s="140">
        <f>+'เบิกแทน กรมคุม'!H103</f>
        <v>0</v>
      </c>
      <c r="H82" s="140">
        <f>+F82-G82</f>
        <v>0</v>
      </c>
      <c r="I82" s="140" t="e">
        <f t="shared" si="7"/>
        <v>#DIV/0!</v>
      </c>
    </row>
    <row r="83" spans="1:17" s="77" customFormat="1" ht="35.25" hidden="1" customHeight="1" x14ac:dyDescent="0.5">
      <c r="A83" s="1115" t="s">
        <v>74</v>
      </c>
      <c r="B83" s="1115"/>
      <c r="C83" s="1115"/>
      <c r="D83" s="1115"/>
      <c r="E83" s="1115"/>
      <c r="F83" s="137">
        <f>+F71+F75+F79</f>
        <v>2700000</v>
      </c>
      <c r="G83" s="137">
        <f>+G71+G75+G79</f>
        <v>556359.67999999993</v>
      </c>
      <c r="H83" s="137">
        <f>+H71+H75+H79</f>
        <v>2143640.3200000003</v>
      </c>
      <c r="I83" s="101">
        <f t="shared" si="7"/>
        <v>20.605914074074072</v>
      </c>
      <c r="J83" s="76"/>
      <c r="K83" s="76"/>
      <c r="L83" s="76"/>
      <c r="M83" s="76"/>
      <c r="N83" s="76"/>
      <c r="O83" s="76"/>
      <c r="P83" s="76"/>
      <c r="Q83" s="76"/>
    </row>
    <row r="84" spans="1:17" hidden="1" x14ac:dyDescent="0.5"/>
    <row r="85" spans="1:17" hidden="1" x14ac:dyDescent="0.5"/>
    <row r="86" spans="1:17" hidden="1" x14ac:dyDescent="0.5"/>
    <row r="87" spans="1:17" hidden="1" x14ac:dyDescent="0.5"/>
    <row r="88" spans="1:17" hidden="1" x14ac:dyDescent="0.5"/>
    <row r="89" spans="1:17" hidden="1" x14ac:dyDescent="0.5"/>
    <row r="90" spans="1:17" hidden="1" x14ac:dyDescent="0.5"/>
    <row r="91" spans="1:17" hidden="1" x14ac:dyDescent="0.5"/>
    <row r="92" spans="1:17" hidden="1" x14ac:dyDescent="0.5"/>
    <row r="93" spans="1:17" hidden="1" x14ac:dyDescent="0.5"/>
    <row r="94" spans="1:17" hidden="1" x14ac:dyDescent="0.5"/>
    <row r="95" spans="1:17" hidden="1" x14ac:dyDescent="0.5"/>
    <row r="96" spans="1:17" hidden="1" x14ac:dyDescent="0.5"/>
    <row r="97" hidden="1" x14ac:dyDescent="0.5"/>
    <row r="98" hidden="1" x14ac:dyDescent="0.5"/>
    <row r="99" hidden="1" x14ac:dyDescent="0.5"/>
    <row r="100" hidden="1" x14ac:dyDescent="0.5"/>
    <row r="101" hidden="1" x14ac:dyDescent="0.5"/>
    <row r="102" hidden="1" x14ac:dyDescent="0.5"/>
    <row r="103" hidden="1" x14ac:dyDescent="0.5"/>
    <row r="104" hidden="1" x14ac:dyDescent="0.5"/>
    <row r="105" hidden="1" x14ac:dyDescent="0.5"/>
    <row r="106" hidden="1" x14ac:dyDescent="0.5"/>
    <row r="107" hidden="1" x14ac:dyDescent="0.5"/>
    <row r="108" hidden="1" x14ac:dyDescent="0.5"/>
    <row r="109" hidden="1" x14ac:dyDescent="0.5"/>
    <row r="110" hidden="1" x14ac:dyDescent="0.5"/>
    <row r="111" hidden="1" x14ac:dyDescent="0.5"/>
    <row r="112" hidden="1" x14ac:dyDescent="0.5"/>
    <row r="113" hidden="1" x14ac:dyDescent="0.5"/>
    <row r="114" hidden="1" x14ac:dyDescent="0.5"/>
    <row r="115" hidden="1" x14ac:dyDescent="0.5"/>
    <row r="116" hidden="1" x14ac:dyDescent="0.5"/>
    <row r="117" hidden="1" x14ac:dyDescent="0.5"/>
    <row r="118" hidden="1" x14ac:dyDescent="0.5"/>
    <row r="119" hidden="1" x14ac:dyDescent="0.5"/>
    <row r="120" hidden="1" x14ac:dyDescent="0.5"/>
    <row r="121" hidden="1" x14ac:dyDescent="0.5"/>
    <row r="122" hidden="1" x14ac:dyDescent="0.5"/>
    <row r="123" hidden="1" x14ac:dyDescent="0.5"/>
    <row r="124" hidden="1" x14ac:dyDescent="0.5"/>
    <row r="125" hidden="1" x14ac:dyDescent="0.5"/>
    <row r="126" hidden="1" x14ac:dyDescent="0.5"/>
    <row r="127" hidden="1" x14ac:dyDescent="0.5"/>
    <row r="128" hidden="1" x14ac:dyDescent="0.5"/>
    <row r="129" hidden="1" x14ac:dyDescent="0.5"/>
    <row r="130" hidden="1" x14ac:dyDescent="0.5"/>
    <row r="131" hidden="1" x14ac:dyDescent="0.5"/>
    <row r="132" hidden="1" x14ac:dyDescent="0.5"/>
    <row r="133" hidden="1" x14ac:dyDescent="0.5"/>
    <row r="134" hidden="1" x14ac:dyDescent="0.5"/>
    <row r="135" hidden="1" x14ac:dyDescent="0.5"/>
    <row r="136" hidden="1" x14ac:dyDescent="0.5"/>
    <row r="137" hidden="1" x14ac:dyDescent="0.5"/>
    <row r="138" hidden="1" x14ac:dyDescent="0.5"/>
    <row r="139" hidden="1" x14ac:dyDescent="0.5"/>
    <row r="140" hidden="1" x14ac:dyDescent="0.5"/>
    <row r="141" hidden="1" x14ac:dyDescent="0.5"/>
    <row r="142" hidden="1" x14ac:dyDescent="0.5"/>
    <row r="143" hidden="1" x14ac:dyDescent="0.5"/>
    <row r="144" hidden="1" x14ac:dyDescent="0.5"/>
    <row r="145" hidden="1" x14ac:dyDescent="0.5"/>
    <row r="146" hidden="1" x14ac:dyDescent="0.5"/>
    <row r="147" hidden="1" x14ac:dyDescent="0.5"/>
    <row r="148" hidden="1" x14ac:dyDescent="0.5"/>
    <row r="149" hidden="1" x14ac:dyDescent="0.5"/>
    <row r="150" hidden="1" x14ac:dyDescent="0.5"/>
    <row r="151" hidden="1" x14ac:dyDescent="0.5"/>
    <row r="152" hidden="1" x14ac:dyDescent="0.5"/>
    <row r="153" hidden="1" x14ac:dyDescent="0.5"/>
    <row r="154" hidden="1" x14ac:dyDescent="0.5"/>
    <row r="155" hidden="1" x14ac:dyDescent="0.5"/>
    <row r="156" hidden="1" x14ac:dyDescent="0.5"/>
    <row r="157" hidden="1" x14ac:dyDescent="0.5"/>
    <row r="158" hidden="1" x14ac:dyDescent="0.5"/>
    <row r="159" hidden="1" x14ac:dyDescent="0.5"/>
    <row r="160" hidden="1" x14ac:dyDescent="0.5"/>
    <row r="161" hidden="1" x14ac:dyDescent="0.5"/>
    <row r="162" hidden="1" x14ac:dyDescent="0.5"/>
    <row r="163" hidden="1" x14ac:dyDescent="0.5"/>
    <row r="164" hidden="1" x14ac:dyDescent="0.5"/>
    <row r="165" hidden="1" x14ac:dyDescent="0.5"/>
    <row r="166" hidden="1" x14ac:dyDescent="0.5"/>
    <row r="167" hidden="1" x14ac:dyDescent="0.5"/>
    <row r="168" hidden="1" x14ac:dyDescent="0.5"/>
    <row r="169" hidden="1" x14ac:dyDescent="0.5"/>
    <row r="170" hidden="1" x14ac:dyDescent="0.5"/>
    <row r="171" hidden="1" x14ac:dyDescent="0.5"/>
    <row r="172" hidden="1" x14ac:dyDescent="0.5"/>
    <row r="173" hidden="1" x14ac:dyDescent="0.5"/>
    <row r="174" hidden="1" x14ac:dyDescent="0.5"/>
    <row r="175" hidden="1" x14ac:dyDescent="0.5"/>
    <row r="176" hidden="1" x14ac:dyDescent="0.5"/>
    <row r="177" hidden="1" x14ac:dyDescent="0.5"/>
    <row r="178" hidden="1" x14ac:dyDescent="0.5"/>
    <row r="179" hidden="1" x14ac:dyDescent="0.5"/>
    <row r="180" hidden="1" x14ac:dyDescent="0.5"/>
    <row r="181" hidden="1" x14ac:dyDescent="0.5"/>
    <row r="182" hidden="1" x14ac:dyDescent="0.5"/>
    <row r="183" hidden="1" x14ac:dyDescent="0.5"/>
    <row r="184" hidden="1" x14ac:dyDescent="0.5"/>
    <row r="185" hidden="1" x14ac:dyDescent="0.5"/>
    <row r="186" hidden="1" x14ac:dyDescent="0.5"/>
    <row r="187" hidden="1" x14ac:dyDescent="0.5"/>
    <row r="188" hidden="1" x14ac:dyDescent="0.5"/>
    <row r="189" hidden="1" x14ac:dyDescent="0.5"/>
    <row r="190" hidden="1" x14ac:dyDescent="0.5"/>
    <row r="191" hidden="1" x14ac:dyDescent="0.5"/>
    <row r="192" hidden="1" x14ac:dyDescent="0.5"/>
    <row r="193" hidden="1" x14ac:dyDescent="0.5"/>
    <row r="194" hidden="1" x14ac:dyDescent="0.5"/>
    <row r="195" hidden="1" x14ac:dyDescent="0.5"/>
    <row r="196" hidden="1" x14ac:dyDescent="0.5"/>
    <row r="197" hidden="1" x14ac:dyDescent="0.5"/>
    <row r="198" hidden="1" x14ac:dyDescent="0.5"/>
    <row r="199" hidden="1" x14ac:dyDescent="0.5"/>
    <row r="200" hidden="1" x14ac:dyDescent="0.5"/>
    <row r="201" hidden="1" x14ac:dyDescent="0.5"/>
    <row r="202" hidden="1" x14ac:dyDescent="0.5"/>
    <row r="203" hidden="1" x14ac:dyDescent="0.5"/>
    <row r="204" hidden="1" x14ac:dyDescent="0.5"/>
    <row r="205" hidden="1" x14ac:dyDescent="0.5"/>
    <row r="206" hidden="1" x14ac:dyDescent="0.5"/>
    <row r="207" hidden="1" x14ac:dyDescent="0.5"/>
    <row r="208" hidden="1" x14ac:dyDescent="0.5"/>
    <row r="209" hidden="1" x14ac:dyDescent="0.5"/>
    <row r="210" hidden="1" x14ac:dyDescent="0.5"/>
    <row r="211" hidden="1" x14ac:dyDescent="0.5"/>
    <row r="212" hidden="1" x14ac:dyDescent="0.5"/>
    <row r="213" hidden="1" x14ac:dyDescent="0.5"/>
    <row r="214" hidden="1" x14ac:dyDescent="0.5"/>
    <row r="215" hidden="1" x14ac:dyDescent="0.5"/>
    <row r="216" hidden="1" x14ac:dyDescent="0.5"/>
    <row r="217" hidden="1" x14ac:dyDescent="0.5"/>
    <row r="218" hidden="1" x14ac:dyDescent="0.5"/>
    <row r="219" hidden="1" x14ac:dyDescent="0.5"/>
    <row r="220" hidden="1" x14ac:dyDescent="0.5"/>
    <row r="221" hidden="1" x14ac:dyDescent="0.5"/>
    <row r="222" hidden="1" x14ac:dyDescent="0.5"/>
    <row r="223" hidden="1" x14ac:dyDescent="0.5"/>
    <row r="224" hidden="1" x14ac:dyDescent="0.5"/>
    <row r="225" hidden="1" x14ac:dyDescent="0.5"/>
    <row r="226" hidden="1" x14ac:dyDescent="0.5"/>
    <row r="227" hidden="1" x14ac:dyDescent="0.5"/>
    <row r="228" hidden="1" x14ac:dyDescent="0.5"/>
    <row r="229" hidden="1" x14ac:dyDescent="0.5"/>
    <row r="230" hidden="1" x14ac:dyDescent="0.5"/>
    <row r="231" hidden="1" x14ac:dyDescent="0.5"/>
    <row r="232" hidden="1" x14ac:dyDescent="0.5"/>
    <row r="233" hidden="1" x14ac:dyDescent="0.5"/>
    <row r="234" hidden="1" x14ac:dyDescent="0.5"/>
    <row r="235" hidden="1" x14ac:dyDescent="0.5"/>
    <row r="236" hidden="1" x14ac:dyDescent="0.5"/>
    <row r="237" hidden="1" x14ac:dyDescent="0.5"/>
    <row r="238" hidden="1" x14ac:dyDescent="0.5"/>
    <row r="239" hidden="1" x14ac:dyDescent="0.5"/>
    <row r="240" hidden="1" x14ac:dyDescent="0.5"/>
    <row r="241" hidden="1" x14ac:dyDescent="0.5"/>
    <row r="242" hidden="1" x14ac:dyDescent="0.5"/>
    <row r="243" hidden="1" x14ac:dyDescent="0.5"/>
    <row r="244" hidden="1" x14ac:dyDescent="0.5"/>
    <row r="245" hidden="1" x14ac:dyDescent="0.5"/>
    <row r="246" hidden="1" x14ac:dyDescent="0.5"/>
    <row r="247" hidden="1" x14ac:dyDescent="0.5"/>
    <row r="248" hidden="1" x14ac:dyDescent="0.5"/>
    <row r="249" hidden="1" x14ac:dyDescent="0.5"/>
    <row r="250" hidden="1" x14ac:dyDescent="0.5"/>
    <row r="251" hidden="1" x14ac:dyDescent="0.5"/>
    <row r="252" hidden="1" x14ac:dyDescent="0.5"/>
    <row r="253" hidden="1" x14ac:dyDescent="0.5"/>
    <row r="254" hidden="1" x14ac:dyDescent="0.5"/>
    <row r="255" hidden="1" x14ac:dyDescent="0.5"/>
    <row r="256" hidden="1" x14ac:dyDescent="0.5"/>
    <row r="257" hidden="1" x14ac:dyDescent="0.5"/>
    <row r="258" hidden="1" x14ac:dyDescent="0.5"/>
    <row r="259" hidden="1" x14ac:dyDescent="0.5"/>
    <row r="260" hidden="1" x14ac:dyDescent="0.5"/>
    <row r="261" hidden="1" x14ac:dyDescent="0.5"/>
    <row r="262" hidden="1" x14ac:dyDescent="0.5"/>
    <row r="263" hidden="1" x14ac:dyDescent="0.5"/>
    <row r="264" hidden="1" x14ac:dyDescent="0.5"/>
    <row r="265" hidden="1" x14ac:dyDescent="0.5"/>
    <row r="266" hidden="1" x14ac:dyDescent="0.5"/>
    <row r="267" hidden="1" x14ac:dyDescent="0.5"/>
    <row r="268" hidden="1" x14ac:dyDescent="0.5"/>
    <row r="269" hidden="1" x14ac:dyDescent="0.5"/>
    <row r="270" hidden="1" x14ac:dyDescent="0.5"/>
    <row r="271" hidden="1" x14ac:dyDescent="0.5"/>
    <row r="272" hidden="1" x14ac:dyDescent="0.5"/>
    <row r="273" hidden="1" x14ac:dyDescent="0.5"/>
    <row r="274" hidden="1" x14ac:dyDescent="0.5"/>
    <row r="275" hidden="1" x14ac:dyDescent="0.5"/>
    <row r="276" hidden="1" x14ac:dyDescent="0.5"/>
    <row r="277" hidden="1" x14ac:dyDescent="0.5"/>
    <row r="278" hidden="1" x14ac:dyDescent="0.5"/>
    <row r="279" hidden="1" x14ac:dyDescent="0.5"/>
    <row r="280" hidden="1" x14ac:dyDescent="0.5"/>
    <row r="281" hidden="1" x14ac:dyDescent="0.5"/>
    <row r="282" hidden="1" x14ac:dyDescent="0.5"/>
    <row r="283" hidden="1" x14ac:dyDescent="0.5"/>
    <row r="284" hidden="1" x14ac:dyDescent="0.5"/>
    <row r="285" hidden="1" x14ac:dyDescent="0.5"/>
    <row r="286" hidden="1" x14ac:dyDescent="0.5"/>
    <row r="287" hidden="1" x14ac:dyDescent="0.5"/>
    <row r="288" hidden="1" x14ac:dyDescent="0.5"/>
    <row r="289" hidden="1" x14ac:dyDescent="0.5"/>
    <row r="290" hidden="1" x14ac:dyDescent="0.5"/>
    <row r="291" hidden="1" x14ac:dyDescent="0.5"/>
    <row r="292" hidden="1" x14ac:dyDescent="0.5"/>
    <row r="293" hidden="1" x14ac:dyDescent="0.5"/>
    <row r="294" hidden="1" x14ac:dyDescent="0.5"/>
    <row r="295" hidden="1" x14ac:dyDescent="0.5"/>
    <row r="296" hidden="1" x14ac:dyDescent="0.5"/>
    <row r="297" hidden="1" x14ac:dyDescent="0.5"/>
    <row r="298" hidden="1" x14ac:dyDescent="0.5"/>
    <row r="299" hidden="1" x14ac:dyDescent="0.5"/>
    <row r="300" hidden="1" x14ac:dyDescent="0.5"/>
    <row r="301" hidden="1" x14ac:dyDescent="0.5"/>
    <row r="302" hidden="1" x14ac:dyDescent="0.5"/>
    <row r="303" hidden="1" x14ac:dyDescent="0.5"/>
    <row r="304" hidden="1" x14ac:dyDescent="0.5"/>
    <row r="305" hidden="1" x14ac:dyDescent="0.5"/>
    <row r="306" hidden="1" x14ac:dyDescent="0.5"/>
    <row r="307" hidden="1" x14ac:dyDescent="0.5"/>
    <row r="308" hidden="1" x14ac:dyDescent="0.5"/>
    <row r="309" hidden="1" x14ac:dyDescent="0.5"/>
    <row r="310" hidden="1" x14ac:dyDescent="0.5"/>
    <row r="311" hidden="1" x14ac:dyDescent="0.5"/>
    <row r="312" hidden="1" x14ac:dyDescent="0.5"/>
    <row r="313" hidden="1" x14ac:dyDescent="0.5"/>
    <row r="314" hidden="1" x14ac:dyDescent="0.5"/>
    <row r="315" hidden="1" x14ac:dyDescent="0.5"/>
    <row r="316" hidden="1" x14ac:dyDescent="0.5"/>
    <row r="317" hidden="1" x14ac:dyDescent="0.5"/>
    <row r="318" hidden="1" x14ac:dyDescent="0.5"/>
    <row r="319" hidden="1" x14ac:dyDescent="0.5"/>
    <row r="320" hidden="1" x14ac:dyDescent="0.5"/>
    <row r="321" hidden="1" x14ac:dyDescent="0.5"/>
    <row r="322" hidden="1" x14ac:dyDescent="0.5"/>
    <row r="323" hidden="1" x14ac:dyDescent="0.5"/>
    <row r="324" hidden="1" x14ac:dyDescent="0.5"/>
    <row r="325" hidden="1" x14ac:dyDescent="0.5"/>
    <row r="326" hidden="1" x14ac:dyDescent="0.5"/>
    <row r="327" hidden="1" x14ac:dyDescent="0.5"/>
    <row r="328" hidden="1" x14ac:dyDescent="0.5"/>
    <row r="329" hidden="1" x14ac:dyDescent="0.5"/>
    <row r="330" hidden="1" x14ac:dyDescent="0.5"/>
    <row r="331" hidden="1" x14ac:dyDescent="0.5"/>
    <row r="332" hidden="1" x14ac:dyDescent="0.5"/>
    <row r="333" hidden="1" x14ac:dyDescent="0.5"/>
    <row r="334" hidden="1" x14ac:dyDescent="0.5"/>
    <row r="335" hidden="1" x14ac:dyDescent="0.5"/>
    <row r="336" hidden="1" x14ac:dyDescent="0.5"/>
    <row r="337" hidden="1" x14ac:dyDescent="0.5"/>
    <row r="338" hidden="1" x14ac:dyDescent="0.5"/>
    <row r="339" hidden="1" x14ac:dyDescent="0.5"/>
    <row r="340" hidden="1" x14ac:dyDescent="0.5"/>
    <row r="341" hidden="1" x14ac:dyDescent="0.5"/>
    <row r="342" hidden="1" x14ac:dyDescent="0.5"/>
    <row r="343" hidden="1" x14ac:dyDescent="0.5"/>
    <row r="344" hidden="1" x14ac:dyDescent="0.5"/>
    <row r="345" hidden="1" x14ac:dyDescent="0.5"/>
    <row r="346" hidden="1" x14ac:dyDescent="0.5"/>
    <row r="347" hidden="1" x14ac:dyDescent="0.5"/>
    <row r="348" hidden="1" x14ac:dyDescent="0.5"/>
    <row r="349" hidden="1" x14ac:dyDescent="0.5"/>
    <row r="350" hidden="1" x14ac:dyDescent="0.5"/>
    <row r="351" hidden="1" x14ac:dyDescent="0.5"/>
    <row r="352" hidden="1" x14ac:dyDescent="0.5"/>
    <row r="353" hidden="1" x14ac:dyDescent="0.5"/>
    <row r="354" hidden="1" x14ac:dyDescent="0.5"/>
    <row r="355" hidden="1" x14ac:dyDescent="0.5"/>
    <row r="356" hidden="1" x14ac:dyDescent="0.5"/>
    <row r="357" hidden="1" x14ac:dyDescent="0.5"/>
    <row r="358" hidden="1" x14ac:dyDescent="0.5"/>
    <row r="359" hidden="1" x14ac:dyDescent="0.5"/>
    <row r="360" hidden="1" x14ac:dyDescent="0.5"/>
    <row r="361" hidden="1" x14ac:dyDescent="0.5"/>
    <row r="362" hidden="1" x14ac:dyDescent="0.5"/>
    <row r="363" hidden="1" x14ac:dyDescent="0.5"/>
    <row r="364" hidden="1" x14ac:dyDescent="0.5"/>
    <row r="365" hidden="1" x14ac:dyDescent="0.5"/>
    <row r="366" hidden="1" x14ac:dyDescent="0.5"/>
    <row r="367" hidden="1" x14ac:dyDescent="0.5"/>
    <row r="368" hidden="1" x14ac:dyDescent="0.5"/>
    <row r="369" spans="1:17" hidden="1" x14ac:dyDescent="0.5">
      <c r="H369" s="151"/>
    </row>
    <row r="370" spans="1:17" hidden="1" x14ac:dyDescent="0.5"/>
    <row r="371" spans="1:17" hidden="1" x14ac:dyDescent="0.5"/>
    <row r="372" spans="1:17" s="57" customFormat="1" x14ac:dyDescent="0.5">
      <c r="A372" s="57" t="s">
        <v>302</v>
      </c>
      <c r="D372" s="59"/>
      <c r="J372" s="56"/>
      <c r="K372" s="56"/>
      <c r="L372" s="56"/>
      <c r="M372" s="56"/>
      <c r="N372" s="56"/>
      <c r="O372" s="56"/>
      <c r="P372" s="56"/>
      <c r="Q372" s="56"/>
    </row>
    <row r="373" spans="1:17" ht="33.75" customHeight="1" x14ac:dyDescent="0.75">
      <c r="A373" s="1413" t="s">
        <v>286</v>
      </c>
      <c r="B373" s="1413"/>
      <c r="C373" s="1413"/>
      <c r="D373" s="1413"/>
      <c r="E373" s="1413"/>
      <c r="F373" s="1413"/>
      <c r="G373" s="1413"/>
      <c r="H373" s="1413"/>
      <c r="I373" s="1413"/>
    </row>
    <row r="374" spans="1:17" s="142" customFormat="1" ht="30.75" customHeight="1" x14ac:dyDescent="0.5">
      <c r="A374" s="1418" t="s">
        <v>236</v>
      </c>
      <c r="B374" s="1418"/>
      <c r="C374" s="1418"/>
      <c r="D374" s="1418"/>
      <c r="E374" s="1418"/>
      <c r="F374" s="155" t="s">
        <v>275</v>
      </c>
      <c r="G374" s="155" t="s">
        <v>17</v>
      </c>
      <c r="H374" s="155" t="s">
        <v>60</v>
      </c>
      <c r="I374" s="154" t="s">
        <v>65</v>
      </c>
      <c r="J374" s="141"/>
      <c r="K374" s="141"/>
      <c r="L374" s="141"/>
      <c r="M374" s="141"/>
      <c r="N374" s="141"/>
      <c r="O374" s="141"/>
      <c r="P374" s="141"/>
      <c r="Q374" s="141"/>
    </row>
    <row r="375" spans="1:17" ht="26.25" customHeight="1" x14ac:dyDescent="0.5">
      <c r="A375" s="82" t="s">
        <v>287</v>
      </c>
      <c r="B375" s="156"/>
      <c r="C375" s="156"/>
      <c r="D375" s="83"/>
      <c r="E375" s="84"/>
      <c r="F375" s="72" t="e">
        <f>SUM(F376:F377)</f>
        <v>#REF!</v>
      </c>
      <c r="G375" s="72" t="e">
        <f>SUM(G376:G377)</f>
        <v>#REF!</v>
      </c>
      <c r="H375" s="72" t="e">
        <f>SUM(H376:H377)</f>
        <v>#REF!</v>
      </c>
      <c r="I375" s="75" t="e">
        <f t="shared" ref="I375:I384" si="8">+G375*100/F375</f>
        <v>#REF!</v>
      </c>
    </row>
    <row r="376" spans="1:17" s="57" customFormat="1" ht="26.25" customHeight="1" x14ac:dyDescent="0.5">
      <c r="A376" s="79">
        <v>1</v>
      </c>
      <c r="B376" s="122"/>
      <c r="C376" s="1419" t="s">
        <v>288</v>
      </c>
      <c r="D376" s="1419"/>
      <c r="E376" s="1420"/>
      <c r="F376" s="69" t="e">
        <f>+#REF!</f>
        <v>#REF!</v>
      </c>
      <c r="G376" s="69" t="e">
        <f>+#REF!</f>
        <v>#REF!</v>
      </c>
      <c r="H376" s="69" t="e">
        <f>+F376-G376</f>
        <v>#REF!</v>
      </c>
      <c r="I376" s="157" t="e">
        <f t="shared" si="8"/>
        <v>#REF!</v>
      </c>
      <c r="J376" s="56"/>
      <c r="K376" s="56"/>
      <c r="L376" s="56"/>
      <c r="M376" s="56"/>
      <c r="N376" s="56"/>
      <c r="O376" s="56"/>
      <c r="P376" s="56"/>
      <c r="Q376" s="56"/>
    </row>
    <row r="377" spans="1:17" ht="26.25" customHeight="1" x14ac:dyDescent="0.5">
      <c r="A377" s="79">
        <v>2</v>
      </c>
      <c r="B377" s="122"/>
      <c r="C377" s="1419" t="s">
        <v>289</v>
      </c>
      <c r="D377" s="1419"/>
      <c r="E377" s="1420"/>
      <c r="F377" s="69" t="e">
        <f>+#REF!</f>
        <v>#REF!</v>
      </c>
      <c r="G377" s="69" t="e">
        <f>+#REF!</f>
        <v>#REF!</v>
      </c>
      <c r="H377" s="69" t="e">
        <f>+F377-G377</f>
        <v>#REF!</v>
      </c>
      <c r="I377" s="157" t="e">
        <f t="shared" si="8"/>
        <v>#REF!</v>
      </c>
    </row>
    <row r="378" spans="1:17" ht="26.25" customHeight="1" x14ac:dyDescent="0.5">
      <c r="A378" s="82" t="s">
        <v>290</v>
      </c>
      <c r="B378" s="156"/>
      <c r="C378" s="156"/>
      <c r="D378" s="83"/>
      <c r="E378" s="84"/>
      <c r="F378" s="72" t="e">
        <f>+F379+F380+F383</f>
        <v>#REF!</v>
      </c>
      <c r="G378" s="72" t="e">
        <f>SUM(G379+G380+G383)</f>
        <v>#REF!</v>
      </c>
      <c r="H378" s="72" t="e">
        <f>SUM(H379+H380+H383)</f>
        <v>#REF!</v>
      </c>
      <c r="I378" s="75" t="e">
        <f t="shared" si="8"/>
        <v>#REF!</v>
      </c>
    </row>
    <row r="379" spans="1:17" s="57" customFormat="1" ht="26.25" customHeight="1" x14ac:dyDescent="0.5">
      <c r="A379" s="79">
        <v>1</v>
      </c>
      <c r="B379" s="122"/>
      <c r="C379" s="1419" t="s">
        <v>14</v>
      </c>
      <c r="D379" s="1419"/>
      <c r="E379" s="1420"/>
      <c r="F379" s="69" t="e">
        <f>+#REF!</f>
        <v>#REF!</v>
      </c>
      <c r="G379" s="69" t="e">
        <f>+#REF!</f>
        <v>#REF!</v>
      </c>
      <c r="H379" s="69" t="e">
        <f>+F379-G379</f>
        <v>#REF!</v>
      </c>
      <c r="I379" s="157" t="e">
        <f t="shared" si="8"/>
        <v>#REF!</v>
      </c>
      <c r="J379" s="56"/>
      <c r="K379" s="56"/>
      <c r="L379" s="56"/>
      <c r="M379" s="56"/>
      <c r="N379" s="56"/>
      <c r="O379" s="56"/>
      <c r="P379" s="56"/>
      <c r="Q379" s="56"/>
    </row>
    <row r="380" spans="1:17" s="57" customFormat="1" ht="26.25" customHeight="1" x14ac:dyDescent="0.5">
      <c r="A380" s="79">
        <v>2</v>
      </c>
      <c r="B380" s="122"/>
      <c r="C380" s="158" t="s">
        <v>15</v>
      </c>
      <c r="D380" s="159"/>
      <c r="E380" s="160"/>
      <c r="F380" s="72" t="e">
        <f>SUM(F381:F382)</f>
        <v>#REF!</v>
      </c>
      <c r="G380" s="72" t="e">
        <f>SUM(G381:G382)</f>
        <v>#REF!</v>
      </c>
      <c r="H380" s="72" t="e">
        <f>SUM(H381:H382)</f>
        <v>#REF!</v>
      </c>
      <c r="I380" s="75" t="e">
        <f t="shared" si="8"/>
        <v>#REF!</v>
      </c>
      <c r="J380" s="56"/>
      <c r="K380" s="56"/>
      <c r="L380" s="56"/>
      <c r="M380" s="56"/>
      <c r="N380" s="56"/>
      <c r="O380" s="56"/>
      <c r="P380" s="56"/>
      <c r="Q380" s="56"/>
    </row>
    <row r="381" spans="1:17" s="57" customFormat="1" ht="26.25" customHeight="1" x14ac:dyDescent="0.5">
      <c r="A381" s="79"/>
      <c r="B381" s="122"/>
      <c r="C381" s="161">
        <v>2.1</v>
      </c>
      <c r="D381" s="158" t="s">
        <v>291</v>
      </c>
      <c r="E381" s="162"/>
      <c r="F381" s="69" t="e">
        <f>+#REF!</f>
        <v>#REF!</v>
      </c>
      <c r="G381" s="69" t="e">
        <f>+#REF!</f>
        <v>#REF!</v>
      </c>
      <c r="H381" s="69" t="e">
        <f>+#REF!</f>
        <v>#REF!</v>
      </c>
      <c r="I381" s="157" t="e">
        <f t="shared" si="8"/>
        <v>#REF!</v>
      </c>
      <c r="J381" s="56"/>
      <c r="K381" s="56"/>
      <c r="L381" s="56"/>
      <c r="M381" s="56"/>
      <c r="N381" s="56"/>
      <c r="O381" s="56"/>
      <c r="P381" s="56"/>
      <c r="Q381" s="56"/>
    </row>
    <row r="382" spans="1:17" s="57" customFormat="1" ht="26.25" customHeight="1" x14ac:dyDescent="0.5">
      <c r="A382" s="79"/>
      <c r="B382" s="122"/>
      <c r="C382" s="161">
        <v>2.2000000000000002</v>
      </c>
      <c r="D382" s="1419" t="s">
        <v>292</v>
      </c>
      <c r="E382" s="1420"/>
      <c r="F382" s="69" t="e">
        <f>+#REF!</f>
        <v>#REF!</v>
      </c>
      <c r="G382" s="69" t="e">
        <f>+#REF!</f>
        <v>#REF!</v>
      </c>
      <c r="H382" s="69" t="e">
        <f>+F382-G382</f>
        <v>#REF!</v>
      </c>
      <c r="I382" s="157" t="e">
        <f t="shared" si="8"/>
        <v>#REF!</v>
      </c>
      <c r="J382" s="56"/>
      <c r="K382" s="56"/>
      <c r="L382" s="56"/>
      <c r="M382" s="56"/>
      <c r="N382" s="56"/>
      <c r="O382" s="56"/>
      <c r="P382" s="56"/>
      <c r="Q382" s="56"/>
    </row>
    <row r="383" spans="1:17" s="57" customFormat="1" ht="26.25" customHeight="1" x14ac:dyDescent="0.5">
      <c r="A383" s="79">
        <v>3</v>
      </c>
      <c r="B383" s="122"/>
      <c r="C383" s="158" t="s">
        <v>16</v>
      </c>
      <c r="D383" s="158"/>
      <c r="E383" s="162"/>
      <c r="F383" s="69" t="e">
        <f>+#REF!</f>
        <v>#REF!</v>
      </c>
      <c r="G383" s="69" t="e">
        <f>+#REF!</f>
        <v>#REF!</v>
      </c>
      <c r="H383" s="69" t="e">
        <f>+F383-G383</f>
        <v>#REF!</v>
      </c>
      <c r="I383" s="157" t="e">
        <f t="shared" si="8"/>
        <v>#REF!</v>
      </c>
      <c r="J383" s="56"/>
      <c r="K383" s="56"/>
      <c r="L383" s="56"/>
      <c r="M383" s="56"/>
      <c r="N383" s="56"/>
      <c r="O383" s="56"/>
      <c r="P383" s="56"/>
      <c r="Q383" s="56"/>
    </row>
    <row r="384" spans="1:17" ht="30.75" customHeight="1" x14ac:dyDescent="0.5">
      <c r="A384" s="1415" t="s">
        <v>293</v>
      </c>
      <c r="B384" s="1416"/>
      <c r="C384" s="1416"/>
      <c r="D384" s="1416"/>
      <c r="E384" s="1417"/>
      <c r="F384" s="186" t="e">
        <f>+F375+F378</f>
        <v>#REF!</v>
      </c>
      <c r="G384" s="186" t="e">
        <f>+G375+G378</f>
        <v>#REF!</v>
      </c>
      <c r="H384" s="186" t="e">
        <f>+H375+H378</f>
        <v>#REF!</v>
      </c>
      <c r="I384" s="187" t="e">
        <f t="shared" si="8"/>
        <v>#REF!</v>
      </c>
    </row>
    <row r="385" spans="1:17" ht="27.75" x14ac:dyDescent="0.5">
      <c r="A385" s="53" t="s">
        <v>311</v>
      </c>
    </row>
    <row r="386" spans="1:17" x14ac:dyDescent="0.5">
      <c r="A386" s="53" t="s">
        <v>312</v>
      </c>
    </row>
    <row r="387" spans="1:17" x14ac:dyDescent="0.5">
      <c r="A387" s="53" t="s">
        <v>296</v>
      </c>
      <c r="I387" s="151"/>
    </row>
    <row r="388" spans="1:17" ht="32.25" customHeight="1" x14ac:dyDescent="0.5">
      <c r="A388" s="1411" t="s">
        <v>297</v>
      </c>
      <c r="B388" s="1411"/>
      <c r="C388" s="1411"/>
      <c r="D388" s="1411"/>
      <c r="E388" s="1411"/>
      <c r="F388" s="1411"/>
      <c r="G388" s="1411"/>
      <c r="H388" s="1411"/>
      <c r="I388" s="1411"/>
    </row>
    <row r="389" spans="1:17" ht="83.25" x14ac:dyDescent="0.5">
      <c r="A389" s="1412" t="s">
        <v>236</v>
      </c>
      <c r="B389" s="1412"/>
      <c r="C389" s="1412"/>
      <c r="D389" s="174" t="s">
        <v>161</v>
      </c>
      <c r="E389" s="174" t="s">
        <v>17</v>
      </c>
      <c r="F389" s="174" t="s">
        <v>60</v>
      </c>
      <c r="G389" s="174" t="s">
        <v>298</v>
      </c>
      <c r="H389" s="174" t="s">
        <v>299</v>
      </c>
      <c r="I389" s="174" t="s">
        <v>160</v>
      </c>
    </row>
    <row r="390" spans="1:17" s="57" customFormat="1" x14ac:dyDescent="0.5">
      <c r="A390" s="165" t="s">
        <v>300</v>
      </c>
      <c r="B390" s="191"/>
      <c r="C390" s="166" t="s">
        <v>301</v>
      </c>
      <c r="D390" s="167"/>
      <c r="E390" s="168"/>
      <c r="F390" s="168"/>
      <c r="G390" s="168"/>
      <c r="H390" s="168"/>
      <c r="I390" s="168"/>
      <c r="J390" s="56"/>
      <c r="K390" s="56"/>
      <c r="L390" s="56"/>
      <c r="M390" s="56"/>
      <c r="N390" s="56"/>
      <c r="O390" s="56"/>
      <c r="P390" s="56"/>
      <c r="Q390" s="56"/>
    </row>
    <row r="391" spans="1:17" s="57" customFormat="1" x14ac:dyDescent="0.5">
      <c r="A391" s="169"/>
      <c r="B391" s="192"/>
      <c r="C391" s="170">
        <f>+'เบิกแทน กรมคุม'!J103</f>
        <v>2700000</v>
      </c>
      <c r="D391" s="171">
        <v>0</v>
      </c>
      <c r="E391" s="172">
        <f>+'เบิกแทน กรมคุม'!K103</f>
        <v>556359.67999999993</v>
      </c>
      <c r="F391" s="172">
        <f>+C391-D391-E391</f>
        <v>2143640.3200000003</v>
      </c>
      <c r="G391" s="172">
        <f>+E391*100/C391</f>
        <v>20.605914074074072</v>
      </c>
      <c r="H391" s="173">
        <f>+D391+E391*100/C391</f>
        <v>20.605914074074072</v>
      </c>
      <c r="I391" s="175"/>
      <c r="J391" s="56"/>
      <c r="K391" s="56"/>
      <c r="L391" s="56"/>
      <c r="M391" s="56"/>
      <c r="N391" s="56"/>
      <c r="O391" s="56"/>
      <c r="P391" s="56"/>
      <c r="Q391" s="56"/>
    </row>
  </sheetData>
  <mergeCells count="40">
    <mergeCell ref="C38:D38"/>
    <mergeCell ref="A13:I13"/>
    <mergeCell ref="A24:I24"/>
    <mergeCell ref="A25:D25"/>
    <mergeCell ref="A57:I57"/>
    <mergeCell ref="A31:I31"/>
    <mergeCell ref="A35:D35"/>
    <mergeCell ref="C36:D36"/>
    <mergeCell ref="A37:D37"/>
    <mergeCell ref="E33:H33"/>
    <mergeCell ref="A33:D34"/>
    <mergeCell ref="A39:D39"/>
    <mergeCell ref="C40:D40"/>
    <mergeCell ref="A41:I41"/>
    <mergeCell ref="A4:I4"/>
    <mergeCell ref="A1:I1"/>
    <mergeCell ref="A2:I2"/>
    <mergeCell ref="A3:I3"/>
    <mergeCell ref="A32:I32"/>
    <mergeCell ref="A69:I69"/>
    <mergeCell ref="A66:I66"/>
    <mergeCell ref="A67:I67"/>
    <mergeCell ref="A61:E61"/>
    <mergeCell ref="A68:I68"/>
    <mergeCell ref="A60:I60"/>
    <mergeCell ref="A58:I58"/>
    <mergeCell ref="A59:I59"/>
    <mergeCell ref="A388:I388"/>
    <mergeCell ref="A389:C389"/>
    <mergeCell ref="A373:I373"/>
    <mergeCell ref="A70:E70"/>
    <mergeCell ref="A384:E384"/>
    <mergeCell ref="A374:E374"/>
    <mergeCell ref="C376:E376"/>
    <mergeCell ref="C377:E377"/>
    <mergeCell ref="C379:E379"/>
    <mergeCell ref="D382:E382"/>
    <mergeCell ref="A83:E83"/>
    <mergeCell ref="C82:E82"/>
    <mergeCell ref="C81:E81"/>
  </mergeCells>
  <pageMargins left="0.45" right="0.35433070866141736" top="0.38" bottom="0.39" header="0.15748031496062992" footer="0.16"/>
  <pageSetup paperSize="9" orientation="landscape" r:id="rId1"/>
  <headerFooter>
    <oddFooter>หน้าที่ &amp;P จาก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6126-8DEE-4780-B449-16F5D8948C79}">
  <sheetPr>
    <tabColor rgb="FF00B050"/>
  </sheetPr>
  <dimension ref="A1:M38"/>
  <sheetViews>
    <sheetView topLeftCell="D1" workbookViewId="0">
      <selection activeCell="K14" sqref="K14"/>
    </sheetView>
  </sheetViews>
  <sheetFormatPr defaultRowHeight="24" x14ac:dyDescent="0.55000000000000004"/>
  <cols>
    <col min="1" max="1" width="2.5703125" style="221" bestFit="1" customWidth="1"/>
    <col min="2" max="2" width="5" style="221" customWidth="1"/>
    <col min="3" max="3" width="25.140625" style="219" bestFit="1" customWidth="1"/>
    <col min="4" max="4" width="22.28515625" style="219" customWidth="1"/>
    <col min="5" max="6" width="20.140625" style="219" customWidth="1"/>
    <col min="7" max="7" width="17.5703125" style="219" customWidth="1"/>
    <col min="8" max="8" width="18.42578125" style="219" customWidth="1"/>
    <col min="9" max="9" width="20.140625" style="219" customWidth="1"/>
    <col min="10" max="10" width="17.5703125" style="219" customWidth="1"/>
    <col min="11" max="11" width="22.28515625" style="219" customWidth="1"/>
    <col min="12" max="12" width="17.5703125" style="219" customWidth="1"/>
    <col min="13" max="16384" width="9.140625" style="219"/>
  </cols>
  <sheetData>
    <row r="1" spans="1:13" ht="30.75" x14ac:dyDescent="0.7">
      <c r="A1" s="1194" t="str">
        <f>+รายงานผู้บริหาร!A1</f>
        <v>กรมพินิจและคุ้มครองเด็กและเยาวชน กระทรวงยุติธรรม</v>
      </c>
      <c r="B1" s="1194"/>
      <c r="C1" s="1194"/>
      <c r="D1" s="1194"/>
      <c r="E1" s="1194"/>
      <c r="F1" s="1194"/>
      <c r="G1" s="1194"/>
      <c r="H1" s="1194"/>
      <c r="I1" s="1194"/>
      <c r="J1" s="1194"/>
      <c r="K1" s="1194"/>
      <c r="L1" s="1194"/>
      <c r="M1" s="477"/>
    </row>
    <row r="2" spans="1:13" ht="30.75" x14ac:dyDescent="0.7">
      <c r="A2" s="1194" t="str">
        <f>+รายงานผู้บริหาร!A2</f>
        <v>สรุปรายละเอียดการเบิกจ่ายเงินงบประมาณประจำปีงบประมาณ พ.ศ. 2565</v>
      </c>
      <c r="B2" s="1194"/>
      <c r="C2" s="1194"/>
      <c r="D2" s="1194"/>
      <c r="E2" s="1194"/>
      <c r="F2" s="1194"/>
      <c r="G2" s="1194"/>
      <c r="H2" s="1194"/>
      <c r="I2" s="1194"/>
      <c r="J2" s="1194"/>
      <c r="K2" s="1194"/>
      <c r="L2" s="1194"/>
      <c r="M2" s="839"/>
    </row>
    <row r="3" spans="1:13" ht="30.75" x14ac:dyDescent="0.7">
      <c r="A3" s="1195" t="str">
        <f>+รายงานผู้บริหาร!A3</f>
        <v>ตั้งแต่วันที่ 1  ตุลาคม 2564 ถึงวันที่ 31 มกราคม 2565</v>
      </c>
      <c r="B3" s="1196"/>
      <c r="C3" s="1196"/>
      <c r="D3" s="1196"/>
      <c r="E3" s="1196"/>
      <c r="F3" s="1196"/>
      <c r="G3" s="1196"/>
      <c r="H3" s="1196"/>
      <c r="I3" s="1196"/>
      <c r="J3" s="1196"/>
      <c r="K3" s="1196"/>
      <c r="L3" s="1196"/>
      <c r="M3" s="477"/>
    </row>
    <row r="4" spans="1:13" s="215" customFormat="1" x14ac:dyDescent="0.55000000000000004">
      <c r="A4" s="1157" t="s">
        <v>58</v>
      </c>
      <c r="B4" s="1157"/>
      <c r="C4" s="1157"/>
      <c r="D4" s="1160" t="s">
        <v>961</v>
      </c>
      <c r="E4" s="1160"/>
      <c r="F4" s="1157" t="s">
        <v>105</v>
      </c>
      <c r="G4" s="906" t="s">
        <v>625</v>
      </c>
      <c r="H4" s="907" t="s">
        <v>161</v>
      </c>
      <c r="I4" s="1160" t="s">
        <v>967</v>
      </c>
      <c r="J4" s="1161"/>
      <c r="K4" s="907" t="s">
        <v>60</v>
      </c>
      <c r="L4" s="908" t="s">
        <v>934</v>
      </c>
    </row>
    <row r="5" spans="1:13" s="215" customFormat="1" x14ac:dyDescent="0.55000000000000004">
      <c r="A5" s="1158"/>
      <c r="B5" s="1158"/>
      <c r="C5" s="1158"/>
      <c r="D5" s="908" t="s">
        <v>624</v>
      </c>
      <c r="E5" s="908" t="s">
        <v>602</v>
      </c>
      <c r="F5" s="1158"/>
      <c r="G5" s="909" t="s">
        <v>935</v>
      </c>
      <c r="H5" s="910" t="s">
        <v>873</v>
      </c>
      <c r="I5" s="908" t="s">
        <v>377</v>
      </c>
      <c r="J5" s="906" t="s">
        <v>81</v>
      </c>
      <c r="K5" s="910" t="s">
        <v>933</v>
      </c>
      <c r="L5" s="911" t="s">
        <v>935</v>
      </c>
    </row>
    <row r="6" spans="1:13" s="215" customFormat="1" x14ac:dyDescent="0.55000000000000004">
      <c r="A6" s="1159"/>
      <c r="B6" s="1159"/>
      <c r="C6" s="1159"/>
      <c r="D6" s="912" t="s">
        <v>937</v>
      </c>
      <c r="E6" s="912" t="s">
        <v>938</v>
      </c>
      <c r="F6" s="912" t="s">
        <v>939</v>
      </c>
      <c r="G6" s="919" t="s">
        <v>940</v>
      </c>
      <c r="H6" s="920" t="s">
        <v>941</v>
      </c>
      <c r="I6" s="918" t="s">
        <v>963</v>
      </c>
      <c r="J6" s="919" t="s">
        <v>964</v>
      </c>
      <c r="K6" s="920" t="s">
        <v>965</v>
      </c>
      <c r="L6" s="918" t="s">
        <v>966</v>
      </c>
    </row>
    <row r="7" spans="1:13" s="477" customFormat="1" ht="31.5" customHeight="1" x14ac:dyDescent="0.65">
      <c r="A7" s="843" t="s">
        <v>980</v>
      </c>
      <c r="B7" s="844"/>
      <c r="C7" s="845"/>
      <c r="D7" s="846"/>
      <c r="E7" s="846"/>
      <c r="F7" s="846"/>
      <c r="G7" s="846"/>
      <c r="H7" s="846"/>
      <c r="I7" s="847"/>
      <c r="J7" s="846"/>
      <c r="K7" s="846"/>
      <c r="L7" s="848"/>
    </row>
    <row r="8" spans="1:13" s="484" customFormat="1" ht="31.5" customHeight="1" x14ac:dyDescent="0.65">
      <c r="A8" s="849"/>
      <c r="B8" s="850">
        <v>1.1000000000000001</v>
      </c>
      <c r="C8" s="851" t="s">
        <v>13</v>
      </c>
      <c r="D8" s="852">
        <f>+รายจ่ายจริง!G79</f>
        <v>1390052000</v>
      </c>
      <c r="E8" s="852">
        <f>+รายจ่ายจริง!G80</f>
        <v>695026000</v>
      </c>
      <c r="F8" s="852">
        <f>+รายจ่ายจริง!G82</f>
        <v>455978224.26999998</v>
      </c>
      <c r="G8" s="881">
        <f>+F8*100/D8</f>
        <v>32.802961635248181</v>
      </c>
      <c r="H8" s="869">
        <f>+รายจ่ายจริง!G81</f>
        <v>0</v>
      </c>
      <c r="I8" s="852">
        <f>+F8+H8</f>
        <v>455978224.26999998</v>
      </c>
      <c r="J8" s="881">
        <f>+I8*100/D8</f>
        <v>32.802961635248181</v>
      </c>
      <c r="K8" s="869">
        <f>+D8-F8</f>
        <v>934073775.73000002</v>
      </c>
      <c r="L8" s="852">
        <f>+K8*100/D8</f>
        <v>67.197038364751819</v>
      </c>
    </row>
    <row r="9" spans="1:13" s="484" customFormat="1" ht="31.5" customHeight="1" x14ac:dyDescent="0.65">
      <c r="A9" s="849"/>
      <c r="B9" s="850">
        <v>1.2</v>
      </c>
      <c r="C9" s="851" t="s">
        <v>14</v>
      </c>
      <c r="D9" s="852">
        <f>+รายจ่ายจริง!J79</f>
        <v>432541700</v>
      </c>
      <c r="E9" s="852">
        <f>+รายจ่ายจริง!J80</f>
        <v>216270500</v>
      </c>
      <c r="F9" s="852">
        <f>+รายจ่ายจริง!J82</f>
        <v>108116326.24000001</v>
      </c>
      <c r="G9" s="881">
        <f t="shared" ref="G9:G25" si="0">+F9*100/D9</f>
        <v>24.995584527457122</v>
      </c>
      <c r="H9" s="869">
        <f>+รายจ่ายจริง!J81</f>
        <v>44861334.840000004</v>
      </c>
      <c r="I9" s="852">
        <f t="shared" ref="I9:I11" si="1">+F9+H9</f>
        <v>152977661.08000001</v>
      </c>
      <c r="J9" s="881">
        <f t="shared" ref="J9:J14" si="2">+I9*100/D9</f>
        <v>35.367147509708317</v>
      </c>
      <c r="K9" s="869">
        <f t="shared" ref="K9:K11" si="3">+D9-F9</f>
        <v>324425373.75999999</v>
      </c>
      <c r="L9" s="852">
        <f t="shared" ref="L9:L22" si="4">+K9*100/D9</f>
        <v>75.004415472542874</v>
      </c>
    </row>
    <row r="10" spans="1:13" s="484" customFormat="1" ht="31.5" customHeight="1" x14ac:dyDescent="0.65">
      <c r="A10" s="849"/>
      <c r="B10" s="850">
        <v>1.3</v>
      </c>
      <c r="C10" s="851" t="s">
        <v>15</v>
      </c>
      <c r="D10" s="852">
        <f>+รายจ่ายจริง!M79</f>
        <v>118294300</v>
      </c>
      <c r="E10" s="852">
        <f>+รายจ่ายจริง!M80</f>
        <v>68223500</v>
      </c>
      <c r="F10" s="852">
        <f>+รายจ่ายจริง!M82</f>
        <v>18036707.699999999</v>
      </c>
      <c r="G10" s="881">
        <f t="shared" si="0"/>
        <v>15.247317664502855</v>
      </c>
      <c r="H10" s="869">
        <f>+รายจ่ายจริง!M81</f>
        <v>22444868</v>
      </c>
      <c r="I10" s="852">
        <f t="shared" si="1"/>
        <v>40481575.700000003</v>
      </c>
      <c r="J10" s="881">
        <f t="shared" si="2"/>
        <v>34.221070415058044</v>
      </c>
      <c r="K10" s="869">
        <f t="shared" si="3"/>
        <v>100257592.3</v>
      </c>
      <c r="L10" s="852">
        <f t="shared" si="4"/>
        <v>84.752682335497141</v>
      </c>
    </row>
    <row r="11" spans="1:13" s="484" customFormat="1" ht="31.5" customHeight="1" x14ac:dyDescent="0.65">
      <c r="A11" s="849"/>
      <c r="B11" s="850">
        <v>1.4</v>
      </c>
      <c r="C11" s="851" t="s">
        <v>16</v>
      </c>
      <c r="D11" s="852">
        <f>+รายจ่ายจริง!O79</f>
        <v>28793900</v>
      </c>
      <c r="E11" s="852">
        <f>+รายจ่ายจริง!O80</f>
        <v>14396800</v>
      </c>
      <c r="F11" s="852">
        <f>+รายจ่ายจริง!O82</f>
        <v>1250719.4200000002</v>
      </c>
      <c r="G11" s="881">
        <f t="shared" si="0"/>
        <v>4.3436957827873268</v>
      </c>
      <c r="H11" s="869">
        <f>+รายจ่ายจริง!O81</f>
        <v>2611120</v>
      </c>
      <c r="I11" s="852">
        <f t="shared" si="1"/>
        <v>3861839.42</v>
      </c>
      <c r="J11" s="881">
        <f t="shared" si="2"/>
        <v>13.412005390030528</v>
      </c>
      <c r="K11" s="869">
        <f t="shared" si="3"/>
        <v>27543180.579999998</v>
      </c>
      <c r="L11" s="852">
        <f t="shared" si="4"/>
        <v>95.656304217212679</v>
      </c>
    </row>
    <row r="12" spans="1:13" s="477" customFormat="1" ht="31.5" customHeight="1" x14ac:dyDescent="0.65">
      <c r="A12" s="1179" t="s">
        <v>74</v>
      </c>
      <c r="B12" s="1179"/>
      <c r="C12" s="1179"/>
      <c r="D12" s="853">
        <f>SUM(D8:D11)</f>
        <v>1969681900</v>
      </c>
      <c r="E12" s="853">
        <f t="shared" ref="E12:H12" si="5">SUM(E8:E11)</f>
        <v>993916800</v>
      </c>
      <c r="F12" s="853">
        <f t="shared" si="5"/>
        <v>583381977.63</v>
      </c>
      <c r="G12" s="882">
        <f t="shared" si="0"/>
        <v>29.618080850009335</v>
      </c>
      <c r="H12" s="872">
        <f t="shared" si="5"/>
        <v>69917322.840000004</v>
      </c>
      <c r="I12" s="853">
        <f t="shared" ref="I12" si="6">SUM(I8:I11)</f>
        <v>653299300.47000003</v>
      </c>
      <c r="J12" s="882">
        <f t="shared" si="2"/>
        <v>33.167756705790922</v>
      </c>
      <c r="K12" s="872">
        <f t="shared" ref="K12" si="7">SUM(K8:K11)</f>
        <v>1386299922.3699999</v>
      </c>
      <c r="L12" s="853">
        <f t="shared" si="4"/>
        <v>70.381919149990665</v>
      </c>
    </row>
    <row r="13" spans="1:13" s="484" customFormat="1" ht="31.5" customHeight="1" x14ac:dyDescent="0.65">
      <c r="A13" s="1180" t="s">
        <v>948</v>
      </c>
      <c r="B13" s="1180"/>
      <c r="C13" s="1180"/>
      <c r="D13" s="852">
        <f>SUM(D8:D9)+D11</f>
        <v>1851387600</v>
      </c>
      <c r="E13" s="852">
        <f t="shared" ref="E13:K13" si="8">SUM(E8:E9)+E11</f>
        <v>925693300</v>
      </c>
      <c r="F13" s="852">
        <f t="shared" si="8"/>
        <v>565345269.92999995</v>
      </c>
      <c r="G13" s="881">
        <f t="shared" si="0"/>
        <v>30.536299904460844</v>
      </c>
      <c r="H13" s="869">
        <f t="shared" ref="H13" si="9">SUM(H8:H9)+H11</f>
        <v>47472454.840000004</v>
      </c>
      <c r="I13" s="852">
        <f t="shared" si="8"/>
        <v>612817724.76999998</v>
      </c>
      <c r="J13" s="881">
        <f t="shared" si="2"/>
        <v>33.100455289319214</v>
      </c>
      <c r="K13" s="869">
        <f t="shared" si="8"/>
        <v>1286042330.0699999</v>
      </c>
      <c r="L13" s="852">
        <f t="shared" si="4"/>
        <v>69.463700095539153</v>
      </c>
    </row>
    <row r="14" spans="1:13" s="484" customFormat="1" ht="31.5" customHeight="1" x14ac:dyDescent="0.65">
      <c r="A14" s="1180" t="s">
        <v>949</v>
      </c>
      <c r="B14" s="1180"/>
      <c r="C14" s="1180"/>
      <c r="D14" s="852">
        <f>+D10</f>
        <v>118294300</v>
      </c>
      <c r="E14" s="852">
        <f t="shared" ref="E14:K14" si="10">+E10</f>
        <v>68223500</v>
      </c>
      <c r="F14" s="852">
        <f t="shared" si="10"/>
        <v>18036707.699999999</v>
      </c>
      <c r="G14" s="881">
        <f t="shared" si="0"/>
        <v>15.247317664502855</v>
      </c>
      <c r="H14" s="869">
        <f t="shared" ref="H14" si="11">+H10</f>
        <v>22444868</v>
      </c>
      <c r="I14" s="852">
        <f t="shared" si="10"/>
        <v>40481575.700000003</v>
      </c>
      <c r="J14" s="881">
        <f t="shared" si="2"/>
        <v>34.221070415058044</v>
      </c>
      <c r="K14" s="869">
        <f t="shared" si="10"/>
        <v>100257592.3</v>
      </c>
      <c r="L14" s="852">
        <f t="shared" si="4"/>
        <v>84.752682335497141</v>
      </c>
    </row>
    <row r="15" spans="1:13" s="484" customFormat="1" ht="31.5" customHeight="1" x14ac:dyDescent="0.65">
      <c r="A15" s="938"/>
      <c r="B15" s="939"/>
      <c r="C15" s="939"/>
      <c r="D15" s="940"/>
      <c r="E15" s="940"/>
      <c r="F15" s="940"/>
      <c r="G15" s="940"/>
      <c r="H15" s="940"/>
      <c r="I15" s="940"/>
      <c r="J15" s="940"/>
      <c r="K15" s="940"/>
      <c r="L15" s="869"/>
    </row>
    <row r="16" spans="1:13" s="484" customFormat="1" ht="31.5" customHeight="1" x14ac:dyDescent="0.65">
      <c r="A16" s="938"/>
      <c r="B16" s="939"/>
      <c r="C16" s="939"/>
      <c r="D16" s="940"/>
      <c r="E16" s="940"/>
      <c r="F16" s="940"/>
      <c r="G16" s="940"/>
      <c r="H16" s="940"/>
      <c r="I16" s="940"/>
      <c r="J16" s="940"/>
      <c r="K16" s="940"/>
      <c r="L16" s="869"/>
    </row>
    <row r="17" spans="1:12" s="484" customFormat="1" ht="31.5" customHeight="1" x14ac:dyDescent="0.65">
      <c r="A17" s="938"/>
      <c r="B17" s="939"/>
      <c r="C17" s="939"/>
      <c r="D17" s="940"/>
      <c r="E17" s="940"/>
      <c r="F17" s="940"/>
      <c r="G17" s="940"/>
      <c r="H17" s="940"/>
      <c r="I17" s="940"/>
      <c r="J17" s="940"/>
      <c r="K17" s="940"/>
      <c r="L17" s="869"/>
    </row>
    <row r="18" spans="1:12" s="484" customFormat="1" ht="31.5" customHeight="1" x14ac:dyDescent="0.65">
      <c r="A18" s="938"/>
      <c r="B18" s="939"/>
      <c r="C18" s="939"/>
      <c r="D18" s="940"/>
      <c r="E18" s="940"/>
      <c r="F18" s="940"/>
      <c r="G18" s="940"/>
      <c r="H18" s="940"/>
      <c r="I18" s="940"/>
      <c r="J18" s="940"/>
      <c r="K18" s="940"/>
      <c r="L18" s="869"/>
    </row>
    <row r="19" spans="1:12" s="477" customFormat="1" ht="31.5" customHeight="1" x14ac:dyDescent="0.65">
      <c r="A19" s="854" t="s">
        <v>959</v>
      </c>
      <c r="B19" s="855"/>
      <c r="C19" s="855"/>
      <c r="D19" s="855"/>
      <c r="E19" s="855"/>
      <c r="F19" s="855"/>
      <c r="G19" s="855"/>
      <c r="H19" s="855"/>
      <c r="I19" s="855"/>
      <c r="J19" s="855"/>
      <c r="K19" s="855"/>
      <c r="L19" s="856"/>
    </row>
    <row r="20" spans="1:12" s="484" customFormat="1" ht="31.5" customHeight="1" x14ac:dyDescent="0.65">
      <c r="A20" s="849"/>
      <c r="B20" s="850">
        <v>2.1</v>
      </c>
      <c r="C20" s="851" t="s">
        <v>946</v>
      </c>
      <c r="D20" s="857">
        <f>+เงินกันปี64!H65-เงินกันปี64!H63</f>
        <v>136444872.72</v>
      </c>
      <c r="E20" s="858"/>
      <c r="F20" s="857">
        <f>+เงินกันปี64!I65-เงินกันปี64!I63</f>
        <v>28502931.82</v>
      </c>
      <c r="G20" s="881">
        <f t="shared" si="0"/>
        <v>20.889705308671566</v>
      </c>
      <c r="H20" s="869"/>
      <c r="I20" s="859"/>
      <c r="J20" s="885"/>
      <c r="K20" s="883">
        <f>+D20-F20</f>
        <v>107941940.90000001</v>
      </c>
      <c r="L20" s="852">
        <f t="shared" si="4"/>
        <v>79.110294691328434</v>
      </c>
    </row>
    <row r="21" spans="1:12" s="484" customFormat="1" ht="31.5" customHeight="1" x14ac:dyDescent="0.65">
      <c r="A21" s="849"/>
      <c r="B21" s="850">
        <v>2.2000000000000002</v>
      </c>
      <c r="C21" s="851" t="s">
        <v>945</v>
      </c>
      <c r="D21" s="857">
        <f>+เงินกันปี64!H63</f>
        <v>5000000</v>
      </c>
      <c r="E21" s="858"/>
      <c r="F21" s="857">
        <f>+เงินกันปี64!I63</f>
        <v>5000000</v>
      </c>
      <c r="G21" s="881">
        <f t="shared" si="0"/>
        <v>100</v>
      </c>
      <c r="H21" s="869"/>
      <c r="I21" s="859"/>
      <c r="J21" s="885"/>
      <c r="K21" s="883">
        <f>+D21-F21</f>
        <v>0</v>
      </c>
      <c r="L21" s="852">
        <f t="shared" si="4"/>
        <v>0</v>
      </c>
    </row>
    <row r="22" spans="1:12" s="477" customFormat="1" ht="31.5" customHeight="1" x14ac:dyDescent="0.65">
      <c r="A22" s="1179" t="s">
        <v>74</v>
      </c>
      <c r="B22" s="1179"/>
      <c r="C22" s="1179"/>
      <c r="D22" s="860">
        <f>SUM(D20:D21)</f>
        <v>141444872.72</v>
      </c>
      <c r="E22" s="861"/>
      <c r="F22" s="860">
        <f t="shared" ref="F22:K22" si="12">SUM(F20:F21)</f>
        <v>33502931.82</v>
      </c>
      <c r="G22" s="882">
        <f t="shared" si="0"/>
        <v>23.686211578924741</v>
      </c>
      <c r="H22" s="872"/>
      <c r="I22" s="861"/>
      <c r="J22" s="886"/>
      <c r="K22" s="884">
        <f t="shared" si="12"/>
        <v>107941940.90000001</v>
      </c>
      <c r="L22" s="853">
        <f t="shared" si="4"/>
        <v>76.313788421075259</v>
      </c>
    </row>
    <row r="23" spans="1:12" s="484" customFormat="1" ht="28.5" customHeight="1" x14ac:dyDescent="0.65">
      <c r="A23" s="1181" t="s">
        <v>951</v>
      </c>
      <c r="B23" s="1181"/>
      <c r="C23" s="1181"/>
      <c r="D23" s="1181"/>
      <c r="E23" s="1181"/>
      <c r="F23" s="1181"/>
      <c r="G23" s="1181"/>
      <c r="H23" s="1181"/>
      <c r="I23" s="1181"/>
      <c r="J23" s="1181"/>
      <c r="K23" s="1181"/>
      <c r="L23" s="1181"/>
    </row>
    <row r="24" spans="1:12" s="484" customFormat="1" ht="28.5" customHeight="1" x14ac:dyDescent="0.65">
      <c r="A24" s="866"/>
      <c r="B24" s="850" t="s">
        <v>621</v>
      </c>
      <c r="C24" s="865"/>
      <c r="D24" s="852">
        <f>+'เบิกแทน กรมคุม'!D103</f>
        <v>2700000</v>
      </c>
      <c r="E24" s="858"/>
      <c r="F24" s="867">
        <f>+'เบิกแทน กรมคุม'!E103</f>
        <v>556359.67999999993</v>
      </c>
      <c r="G24" s="881">
        <f t="shared" si="0"/>
        <v>20.605914074074072</v>
      </c>
      <c r="H24" s="869"/>
      <c r="I24" s="858"/>
      <c r="J24" s="887"/>
      <c r="K24" s="883">
        <f>+D24-F24</f>
        <v>2143640.3200000003</v>
      </c>
      <c r="L24" s="852">
        <f t="shared" ref="L24:L25" si="13">+K24*100/D24</f>
        <v>79.394085925925935</v>
      </c>
    </row>
    <row r="25" spans="1:12" s="477" customFormat="1" ht="28.5" customHeight="1" x14ac:dyDescent="0.65">
      <c r="A25" s="1179" t="s">
        <v>74</v>
      </c>
      <c r="B25" s="1179"/>
      <c r="C25" s="1179"/>
      <c r="D25" s="860">
        <f>+D24</f>
        <v>2700000</v>
      </c>
      <c r="E25" s="861"/>
      <c r="F25" s="864">
        <f>+F24</f>
        <v>556359.67999999993</v>
      </c>
      <c r="G25" s="882">
        <f t="shared" si="0"/>
        <v>20.605914074074072</v>
      </c>
      <c r="H25" s="872"/>
      <c r="I25" s="861"/>
      <c r="J25" s="886"/>
      <c r="K25" s="884">
        <f t="shared" ref="K25" si="14">SUM(K23:K24)</f>
        <v>2143640.3200000003</v>
      </c>
      <c r="L25" s="853">
        <f t="shared" si="13"/>
        <v>79.394085925925935</v>
      </c>
    </row>
    <row r="26" spans="1:12" s="837" customFormat="1" ht="27.75" x14ac:dyDescent="0.65">
      <c r="A26" s="879" t="s">
        <v>947</v>
      </c>
      <c r="B26" s="879"/>
    </row>
    <row r="27" spans="1:12" s="837" customFormat="1" ht="27.75" x14ac:dyDescent="0.65">
      <c r="A27" s="862" t="s">
        <v>969</v>
      </c>
      <c r="B27" s="879"/>
    </row>
    <row r="28" spans="1:12" s="477" customFormat="1" ht="27.75" x14ac:dyDescent="0.65">
      <c r="A28" s="862" t="s">
        <v>968</v>
      </c>
      <c r="B28" s="862"/>
    </row>
    <row r="29" spans="1:12" s="477" customFormat="1" ht="33.75" customHeight="1" x14ac:dyDescent="0.65">
      <c r="A29" s="1189" t="s">
        <v>905</v>
      </c>
      <c r="B29" s="1189"/>
      <c r="C29" s="1189"/>
      <c r="D29" s="1189"/>
      <c r="E29" s="1189"/>
      <c r="F29" s="1189"/>
      <c r="G29" s="1189"/>
      <c r="H29" s="1189"/>
      <c r="I29" s="1189"/>
      <c r="J29" s="1189"/>
      <c r="K29" s="1189"/>
      <c r="L29" s="1189"/>
    </row>
    <row r="30" spans="1:12" s="914" customFormat="1" ht="33" customHeight="1" x14ac:dyDescent="0.5">
      <c r="A30" s="1108" t="s">
        <v>58</v>
      </c>
      <c r="B30" s="1108"/>
      <c r="C30" s="1108"/>
      <c r="D30" s="1108"/>
      <c r="E30" s="1108"/>
      <c r="F30" s="1108"/>
      <c r="G30" s="1108"/>
      <c r="H30" s="1108"/>
      <c r="I30" s="1108"/>
      <c r="J30" s="1108" t="s">
        <v>957</v>
      </c>
      <c r="K30" s="1108"/>
      <c r="L30" s="913" t="s">
        <v>160</v>
      </c>
    </row>
    <row r="31" spans="1:12" s="477" customFormat="1" ht="33" customHeight="1" x14ac:dyDescent="0.65">
      <c r="A31" s="866">
        <v>1</v>
      </c>
      <c r="B31" s="870" t="s">
        <v>14</v>
      </c>
      <c r="C31" s="870"/>
      <c r="D31" s="870"/>
      <c r="E31" s="870"/>
      <c r="F31" s="870"/>
      <c r="G31" s="870"/>
      <c r="H31" s="870"/>
      <c r="I31" s="865"/>
      <c r="J31" s="866"/>
      <c r="K31" s="872">
        <f>+J32</f>
        <v>721233.5</v>
      </c>
      <c r="L31" s="863"/>
    </row>
    <row r="32" spans="1:12" s="878" customFormat="1" ht="84" customHeight="1" x14ac:dyDescent="0.5">
      <c r="A32" s="876"/>
      <c r="B32" s="877"/>
      <c r="C32" s="1175" t="s">
        <v>952</v>
      </c>
      <c r="D32" s="1175"/>
      <c r="E32" s="1175"/>
      <c r="F32" s="1175"/>
      <c r="G32" s="1175"/>
      <c r="H32" s="1175"/>
      <c r="I32" s="1176"/>
      <c r="J32" s="1172">
        <v>721233.5</v>
      </c>
      <c r="K32" s="1173"/>
      <c r="L32" s="917" t="s">
        <v>972</v>
      </c>
    </row>
    <row r="33" spans="1:12" s="477" customFormat="1" ht="37.5" customHeight="1" x14ac:dyDescent="0.65">
      <c r="A33" s="866">
        <v>2</v>
      </c>
      <c r="B33" s="870" t="s">
        <v>15</v>
      </c>
      <c r="C33" s="870"/>
      <c r="D33" s="870"/>
      <c r="E33" s="870"/>
      <c r="F33" s="870"/>
      <c r="G33" s="870"/>
      <c r="H33" s="870"/>
      <c r="I33" s="865"/>
      <c r="J33" s="873"/>
      <c r="K33" s="874">
        <f>SUM(J34:K37)</f>
        <v>20862347.390000001</v>
      </c>
      <c r="L33" s="863"/>
    </row>
    <row r="34" spans="1:12" s="484" customFormat="1" ht="37.5" customHeight="1" x14ac:dyDescent="0.65">
      <c r="A34" s="849"/>
      <c r="B34" s="850">
        <v>2.1</v>
      </c>
      <c r="C34" s="850" t="s">
        <v>953</v>
      </c>
      <c r="D34" s="850"/>
      <c r="E34" s="850"/>
      <c r="F34" s="850"/>
      <c r="G34" s="850"/>
      <c r="H34" s="850"/>
      <c r="I34" s="851"/>
      <c r="J34" s="1174">
        <v>11135650</v>
      </c>
      <c r="K34" s="1174"/>
      <c r="L34" s="868"/>
    </row>
    <row r="35" spans="1:12" s="484" customFormat="1" ht="37.5" customHeight="1" x14ac:dyDescent="0.65">
      <c r="A35" s="849"/>
      <c r="B35" s="871">
        <v>2.2000000000000002</v>
      </c>
      <c r="C35" s="850" t="s">
        <v>954</v>
      </c>
      <c r="D35" s="850"/>
      <c r="E35" s="850"/>
      <c r="F35" s="850"/>
      <c r="G35" s="850"/>
      <c r="H35" s="850"/>
      <c r="I35" s="851"/>
      <c r="J35" s="1174">
        <v>2339940.84</v>
      </c>
      <c r="K35" s="1174"/>
      <c r="L35" s="868"/>
    </row>
    <row r="36" spans="1:12" s="484" customFormat="1" ht="37.5" customHeight="1" x14ac:dyDescent="0.65">
      <c r="A36" s="849"/>
      <c r="B36" s="871">
        <v>2.2999999999999998</v>
      </c>
      <c r="C36" s="850" t="s">
        <v>955</v>
      </c>
      <c r="D36" s="850"/>
      <c r="E36" s="850"/>
      <c r="F36" s="850"/>
      <c r="G36" s="850"/>
      <c r="H36" s="850"/>
      <c r="I36" s="851"/>
      <c r="J36" s="1174">
        <v>4231617.55</v>
      </c>
      <c r="K36" s="1174"/>
      <c r="L36" s="868"/>
    </row>
    <row r="37" spans="1:12" s="484" customFormat="1" ht="37.5" customHeight="1" x14ac:dyDescent="0.65">
      <c r="A37" s="849"/>
      <c r="B37" s="871">
        <v>2.4</v>
      </c>
      <c r="C37" s="850" t="s">
        <v>956</v>
      </c>
      <c r="D37" s="850"/>
      <c r="E37" s="850"/>
      <c r="F37" s="850"/>
      <c r="G37" s="850"/>
      <c r="H37" s="850"/>
      <c r="I37" s="851"/>
      <c r="J37" s="1174">
        <v>3155139</v>
      </c>
      <c r="K37" s="1174"/>
      <c r="L37" s="863" t="s">
        <v>848</v>
      </c>
    </row>
    <row r="38" spans="1:12" s="914" customFormat="1" ht="37.5" customHeight="1" x14ac:dyDescent="0.5">
      <c r="A38" s="1177" t="s">
        <v>367</v>
      </c>
      <c r="B38" s="1177"/>
      <c r="C38" s="1177"/>
      <c r="D38" s="1177"/>
      <c r="E38" s="1177"/>
      <c r="F38" s="1177"/>
      <c r="G38" s="1177"/>
      <c r="H38" s="1177"/>
      <c r="I38" s="1177"/>
      <c r="J38" s="1178">
        <f>SUM(J31:K37)/2</f>
        <v>21583580.890000001</v>
      </c>
      <c r="K38" s="1178"/>
      <c r="L38" s="915"/>
    </row>
  </sheetData>
  <mergeCells count="24">
    <mergeCell ref="J35:K35"/>
    <mergeCell ref="J36:K36"/>
    <mergeCell ref="J37:K37"/>
    <mergeCell ref="A38:I38"/>
    <mergeCell ref="J38:K38"/>
    <mergeCell ref="J34:K34"/>
    <mergeCell ref="A12:C12"/>
    <mergeCell ref="A13:C13"/>
    <mergeCell ref="A14:C14"/>
    <mergeCell ref="A22:C22"/>
    <mergeCell ref="A23:L23"/>
    <mergeCell ref="A25:C25"/>
    <mergeCell ref="A29:L29"/>
    <mergeCell ref="A30:I30"/>
    <mergeCell ref="J30:K30"/>
    <mergeCell ref="C32:I32"/>
    <mergeCell ref="J32:K32"/>
    <mergeCell ref="A1:L1"/>
    <mergeCell ref="A2:L2"/>
    <mergeCell ref="A3:L3"/>
    <mergeCell ref="A4:C6"/>
    <mergeCell ref="D4:E4"/>
    <mergeCell ref="F4:F5"/>
    <mergeCell ref="I4:J4"/>
  </mergeCells>
  <pageMargins left="0.39370078740157483" right="0.11811023622047245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E127A-56DB-41E8-8BC6-C6031834DDCF}">
  <sheetPr>
    <tabColor theme="5" tint="-0.249977111117893"/>
  </sheetPr>
  <dimension ref="A1:M30"/>
  <sheetViews>
    <sheetView topLeftCell="D21" zoomScale="90" zoomScaleNormal="90" workbookViewId="0">
      <selection activeCell="L8" sqref="L8"/>
    </sheetView>
  </sheetViews>
  <sheetFormatPr defaultRowHeight="24" x14ac:dyDescent="0.5"/>
  <cols>
    <col min="1" max="1" width="8" style="728" bestFit="1" customWidth="1"/>
    <col min="2" max="2" width="28.140625" style="716" bestFit="1" customWidth="1"/>
    <col min="3" max="3" width="12.7109375" style="728" bestFit="1" customWidth="1"/>
    <col min="4" max="4" width="11.85546875" style="728" bestFit="1" customWidth="1"/>
    <col min="5" max="5" width="21.42578125" style="790" bestFit="1" customWidth="1"/>
    <col min="6" max="6" width="12.42578125" style="728" bestFit="1" customWidth="1"/>
    <col min="7" max="7" width="36.140625" style="729" customWidth="1"/>
    <col min="8" max="8" width="18.85546875" style="716" customWidth="1"/>
    <col min="9" max="9" width="18.140625" style="716" customWidth="1"/>
    <col min="10" max="10" width="18.85546875" style="730" bestFit="1" customWidth="1"/>
    <col min="11" max="11" width="8.85546875" style="718" bestFit="1" customWidth="1"/>
    <col min="12" max="12" width="16.5703125" style="792" customWidth="1"/>
    <col min="13" max="13" width="20.5703125" style="718" customWidth="1"/>
    <col min="14" max="79" width="9.140625" style="716"/>
    <col min="80" max="80" width="6.42578125" style="716" bestFit="1" customWidth="1"/>
    <col min="81" max="81" width="32" style="716" bestFit="1" customWidth="1"/>
    <col min="82" max="82" width="14.5703125" style="716" bestFit="1" customWidth="1"/>
    <col min="83" max="83" width="12.42578125" style="716" bestFit="1" customWidth="1"/>
    <col min="84" max="84" width="51.28515625" style="716" bestFit="1" customWidth="1"/>
    <col min="85" max="85" width="14.85546875" style="716" bestFit="1" customWidth="1"/>
    <col min="86" max="86" width="25" style="716" bestFit="1" customWidth="1"/>
    <col min="87" max="88" width="12.28515625" style="716" bestFit="1" customWidth="1"/>
    <col min="89" max="89" width="24.7109375" style="716" bestFit="1" customWidth="1"/>
    <col min="90" max="90" width="15" style="716" bestFit="1" customWidth="1"/>
    <col min="91" max="335" width="9.140625" style="716"/>
    <col min="336" max="336" width="6.42578125" style="716" bestFit="1" customWidth="1"/>
    <col min="337" max="337" width="32" style="716" bestFit="1" customWidth="1"/>
    <col min="338" max="338" width="14.5703125" style="716" bestFit="1" customWidth="1"/>
    <col min="339" max="339" width="12.42578125" style="716" bestFit="1" customWidth="1"/>
    <col min="340" max="340" width="51.28515625" style="716" bestFit="1" customWidth="1"/>
    <col min="341" max="341" width="14.85546875" style="716" bestFit="1" customWidth="1"/>
    <col min="342" max="342" width="25" style="716" bestFit="1" customWidth="1"/>
    <col min="343" max="344" width="12.28515625" style="716" bestFit="1" customWidth="1"/>
    <col min="345" max="345" width="24.7109375" style="716" bestFit="1" customWidth="1"/>
    <col min="346" max="346" width="15" style="716" bestFit="1" customWidth="1"/>
    <col min="347" max="591" width="9.140625" style="716"/>
    <col min="592" max="592" width="6.42578125" style="716" bestFit="1" customWidth="1"/>
    <col min="593" max="593" width="32" style="716" bestFit="1" customWidth="1"/>
    <col min="594" max="594" width="14.5703125" style="716" bestFit="1" customWidth="1"/>
    <col min="595" max="595" width="12.42578125" style="716" bestFit="1" customWidth="1"/>
    <col min="596" max="596" width="51.28515625" style="716" bestFit="1" customWidth="1"/>
    <col min="597" max="597" width="14.85546875" style="716" bestFit="1" customWidth="1"/>
    <col min="598" max="598" width="25" style="716" bestFit="1" customWidth="1"/>
    <col min="599" max="600" width="12.28515625" style="716" bestFit="1" customWidth="1"/>
    <col min="601" max="601" width="24.7109375" style="716" bestFit="1" customWidth="1"/>
    <col min="602" max="602" width="15" style="716" bestFit="1" customWidth="1"/>
    <col min="603" max="847" width="9.140625" style="716"/>
    <col min="848" max="848" width="6.42578125" style="716" bestFit="1" customWidth="1"/>
    <col min="849" max="849" width="32" style="716" bestFit="1" customWidth="1"/>
    <col min="850" max="850" width="14.5703125" style="716" bestFit="1" customWidth="1"/>
    <col min="851" max="851" width="12.42578125" style="716" bestFit="1" customWidth="1"/>
    <col min="852" max="852" width="51.28515625" style="716" bestFit="1" customWidth="1"/>
    <col min="853" max="853" width="14.85546875" style="716" bestFit="1" customWidth="1"/>
    <col min="854" max="854" width="25" style="716" bestFit="1" customWidth="1"/>
    <col min="855" max="856" width="12.28515625" style="716" bestFit="1" customWidth="1"/>
    <col min="857" max="857" width="24.7109375" style="716" bestFit="1" customWidth="1"/>
    <col min="858" max="858" width="15" style="716" bestFit="1" customWidth="1"/>
    <col min="859" max="1103" width="9.140625" style="716"/>
    <col min="1104" max="1104" width="6.42578125" style="716" bestFit="1" customWidth="1"/>
    <col min="1105" max="1105" width="32" style="716" bestFit="1" customWidth="1"/>
    <col min="1106" max="1106" width="14.5703125" style="716" bestFit="1" customWidth="1"/>
    <col min="1107" max="1107" width="12.42578125" style="716" bestFit="1" customWidth="1"/>
    <col min="1108" max="1108" width="51.28515625" style="716" bestFit="1" customWidth="1"/>
    <col min="1109" max="1109" width="14.85546875" style="716" bestFit="1" customWidth="1"/>
    <col min="1110" max="1110" width="25" style="716" bestFit="1" customWidth="1"/>
    <col min="1111" max="1112" width="12.28515625" style="716" bestFit="1" customWidth="1"/>
    <col min="1113" max="1113" width="24.7109375" style="716" bestFit="1" customWidth="1"/>
    <col min="1114" max="1114" width="15" style="716" bestFit="1" customWidth="1"/>
    <col min="1115" max="1359" width="9.140625" style="716"/>
    <col min="1360" max="1360" width="6.42578125" style="716" bestFit="1" customWidth="1"/>
    <col min="1361" max="1361" width="32" style="716" bestFit="1" customWidth="1"/>
    <col min="1362" max="1362" width="14.5703125" style="716" bestFit="1" customWidth="1"/>
    <col min="1363" max="1363" width="12.42578125" style="716" bestFit="1" customWidth="1"/>
    <col min="1364" max="1364" width="51.28515625" style="716" bestFit="1" customWidth="1"/>
    <col min="1365" max="1365" width="14.85546875" style="716" bestFit="1" customWidth="1"/>
    <col min="1366" max="1366" width="25" style="716" bestFit="1" customWidth="1"/>
    <col min="1367" max="1368" width="12.28515625" style="716" bestFit="1" customWidth="1"/>
    <col min="1369" max="1369" width="24.7109375" style="716" bestFit="1" customWidth="1"/>
    <col min="1370" max="1370" width="15" style="716" bestFit="1" customWidth="1"/>
    <col min="1371" max="1615" width="9.140625" style="716"/>
    <col min="1616" max="1616" width="6.42578125" style="716" bestFit="1" customWidth="1"/>
    <col min="1617" max="1617" width="32" style="716" bestFit="1" customWidth="1"/>
    <col min="1618" max="1618" width="14.5703125" style="716" bestFit="1" customWidth="1"/>
    <col min="1619" max="1619" width="12.42578125" style="716" bestFit="1" customWidth="1"/>
    <col min="1620" max="1620" width="51.28515625" style="716" bestFit="1" customWidth="1"/>
    <col min="1621" max="1621" width="14.85546875" style="716" bestFit="1" customWidth="1"/>
    <col min="1622" max="1622" width="25" style="716" bestFit="1" customWidth="1"/>
    <col min="1623" max="1624" width="12.28515625" style="716" bestFit="1" customWidth="1"/>
    <col min="1625" max="1625" width="24.7109375" style="716" bestFit="1" customWidth="1"/>
    <col min="1626" max="1626" width="15" style="716" bestFit="1" customWidth="1"/>
    <col min="1627" max="1871" width="9.140625" style="716"/>
    <col min="1872" max="1872" width="6.42578125" style="716" bestFit="1" customWidth="1"/>
    <col min="1873" max="1873" width="32" style="716" bestFit="1" customWidth="1"/>
    <col min="1874" max="1874" width="14.5703125" style="716" bestFit="1" customWidth="1"/>
    <col min="1875" max="1875" width="12.42578125" style="716" bestFit="1" customWidth="1"/>
    <col min="1876" max="1876" width="51.28515625" style="716" bestFit="1" customWidth="1"/>
    <col min="1877" max="1877" width="14.85546875" style="716" bestFit="1" customWidth="1"/>
    <col min="1878" max="1878" width="25" style="716" bestFit="1" customWidth="1"/>
    <col min="1879" max="1880" width="12.28515625" style="716" bestFit="1" customWidth="1"/>
    <col min="1881" max="1881" width="24.7109375" style="716" bestFit="1" customWidth="1"/>
    <col min="1882" max="1882" width="15" style="716" bestFit="1" customWidth="1"/>
    <col min="1883" max="2127" width="9.140625" style="716"/>
    <col min="2128" max="2128" width="6.42578125" style="716" bestFit="1" customWidth="1"/>
    <col min="2129" max="2129" width="32" style="716" bestFit="1" customWidth="1"/>
    <col min="2130" max="2130" width="14.5703125" style="716" bestFit="1" customWidth="1"/>
    <col min="2131" max="2131" width="12.42578125" style="716" bestFit="1" customWidth="1"/>
    <col min="2132" max="2132" width="51.28515625" style="716" bestFit="1" customWidth="1"/>
    <col min="2133" max="2133" width="14.85546875" style="716" bestFit="1" customWidth="1"/>
    <col min="2134" max="2134" width="25" style="716" bestFit="1" customWidth="1"/>
    <col min="2135" max="2136" width="12.28515625" style="716" bestFit="1" customWidth="1"/>
    <col min="2137" max="2137" width="24.7109375" style="716" bestFit="1" customWidth="1"/>
    <col min="2138" max="2138" width="15" style="716" bestFit="1" customWidth="1"/>
    <col min="2139" max="2383" width="9.140625" style="716"/>
    <col min="2384" max="2384" width="6.42578125" style="716" bestFit="1" customWidth="1"/>
    <col min="2385" max="2385" width="32" style="716" bestFit="1" customWidth="1"/>
    <col min="2386" max="2386" width="14.5703125" style="716" bestFit="1" customWidth="1"/>
    <col min="2387" max="2387" width="12.42578125" style="716" bestFit="1" customWidth="1"/>
    <col min="2388" max="2388" width="51.28515625" style="716" bestFit="1" customWidth="1"/>
    <col min="2389" max="2389" width="14.85546875" style="716" bestFit="1" customWidth="1"/>
    <col min="2390" max="2390" width="25" style="716" bestFit="1" customWidth="1"/>
    <col min="2391" max="2392" width="12.28515625" style="716" bestFit="1" customWidth="1"/>
    <col min="2393" max="2393" width="24.7109375" style="716" bestFit="1" customWidth="1"/>
    <col min="2394" max="2394" width="15" style="716" bestFit="1" customWidth="1"/>
    <col min="2395" max="2639" width="9.140625" style="716"/>
    <col min="2640" max="2640" width="6.42578125" style="716" bestFit="1" customWidth="1"/>
    <col min="2641" max="2641" width="32" style="716" bestFit="1" customWidth="1"/>
    <col min="2642" max="2642" width="14.5703125" style="716" bestFit="1" customWidth="1"/>
    <col min="2643" max="2643" width="12.42578125" style="716" bestFit="1" customWidth="1"/>
    <col min="2644" max="2644" width="51.28515625" style="716" bestFit="1" customWidth="1"/>
    <col min="2645" max="2645" width="14.85546875" style="716" bestFit="1" customWidth="1"/>
    <col min="2646" max="2646" width="25" style="716" bestFit="1" customWidth="1"/>
    <col min="2647" max="2648" width="12.28515625" style="716" bestFit="1" customWidth="1"/>
    <col min="2649" max="2649" width="24.7109375" style="716" bestFit="1" customWidth="1"/>
    <col min="2650" max="2650" width="15" style="716" bestFit="1" customWidth="1"/>
    <col min="2651" max="2895" width="9.140625" style="716"/>
    <col min="2896" max="2896" width="6.42578125" style="716" bestFit="1" customWidth="1"/>
    <col min="2897" max="2897" width="32" style="716" bestFit="1" customWidth="1"/>
    <col min="2898" max="2898" width="14.5703125" style="716" bestFit="1" customWidth="1"/>
    <col min="2899" max="2899" width="12.42578125" style="716" bestFit="1" customWidth="1"/>
    <col min="2900" max="2900" width="51.28515625" style="716" bestFit="1" customWidth="1"/>
    <col min="2901" max="2901" width="14.85546875" style="716" bestFit="1" customWidth="1"/>
    <col min="2902" max="2902" width="25" style="716" bestFit="1" customWidth="1"/>
    <col min="2903" max="2904" width="12.28515625" style="716" bestFit="1" customWidth="1"/>
    <col min="2905" max="2905" width="24.7109375" style="716" bestFit="1" customWidth="1"/>
    <col min="2906" max="2906" width="15" style="716" bestFit="1" customWidth="1"/>
    <col min="2907" max="3151" width="9.140625" style="716"/>
    <col min="3152" max="3152" width="6.42578125" style="716" bestFit="1" customWidth="1"/>
    <col min="3153" max="3153" width="32" style="716" bestFit="1" customWidth="1"/>
    <col min="3154" max="3154" width="14.5703125" style="716" bestFit="1" customWidth="1"/>
    <col min="3155" max="3155" width="12.42578125" style="716" bestFit="1" customWidth="1"/>
    <col min="3156" max="3156" width="51.28515625" style="716" bestFit="1" customWidth="1"/>
    <col min="3157" max="3157" width="14.85546875" style="716" bestFit="1" customWidth="1"/>
    <col min="3158" max="3158" width="25" style="716" bestFit="1" customWidth="1"/>
    <col min="3159" max="3160" width="12.28515625" style="716" bestFit="1" customWidth="1"/>
    <col min="3161" max="3161" width="24.7109375" style="716" bestFit="1" customWidth="1"/>
    <col min="3162" max="3162" width="15" style="716" bestFit="1" customWidth="1"/>
    <col min="3163" max="3407" width="9.140625" style="716"/>
    <col min="3408" max="3408" width="6.42578125" style="716" bestFit="1" customWidth="1"/>
    <col min="3409" max="3409" width="32" style="716" bestFit="1" customWidth="1"/>
    <col min="3410" max="3410" width="14.5703125" style="716" bestFit="1" customWidth="1"/>
    <col min="3411" max="3411" width="12.42578125" style="716" bestFit="1" customWidth="1"/>
    <col min="3412" max="3412" width="51.28515625" style="716" bestFit="1" customWidth="1"/>
    <col min="3413" max="3413" width="14.85546875" style="716" bestFit="1" customWidth="1"/>
    <col min="3414" max="3414" width="25" style="716" bestFit="1" customWidth="1"/>
    <col min="3415" max="3416" width="12.28515625" style="716" bestFit="1" customWidth="1"/>
    <col min="3417" max="3417" width="24.7109375" style="716" bestFit="1" customWidth="1"/>
    <col min="3418" max="3418" width="15" style="716" bestFit="1" customWidth="1"/>
    <col min="3419" max="3663" width="9.140625" style="716"/>
    <col min="3664" max="3664" width="6.42578125" style="716" bestFit="1" customWidth="1"/>
    <col min="3665" max="3665" width="32" style="716" bestFit="1" customWidth="1"/>
    <col min="3666" max="3666" width="14.5703125" style="716" bestFit="1" customWidth="1"/>
    <col min="3667" max="3667" width="12.42578125" style="716" bestFit="1" customWidth="1"/>
    <col min="3668" max="3668" width="51.28515625" style="716" bestFit="1" customWidth="1"/>
    <col min="3669" max="3669" width="14.85546875" style="716" bestFit="1" customWidth="1"/>
    <col min="3670" max="3670" width="25" style="716" bestFit="1" customWidth="1"/>
    <col min="3671" max="3672" width="12.28515625" style="716" bestFit="1" customWidth="1"/>
    <col min="3673" max="3673" width="24.7109375" style="716" bestFit="1" customWidth="1"/>
    <col min="3674" max="3674" width="15" style="716" bestFit="1" customWidth="1"/>
    <col min="3675" max="3919" width="9.140625" style="716"/>
    <col min="3920" max="3920" width="6.42578125" style="716" bestFit="1" customWidth="1"/>
    <col min="3921" max="3921" width="32" style="716" bestFit="1" customWidth="1"/>
    <col min="3922" max="3922" width="14.5703125" style="716" bestFit="1" customWidth="1"/>
    <col min="3923" max="3923" width="12.42578125" style="716" bestFit="1" customWidth="1"/>
    <col min="3924" max="3924" width="51.28515625" style="716" bestFit="1" customWidth="1"/>
    <col min="3925" max="3925" width="14.85546875" style="716" bestFit="1" customWidth="1"/>
    <col min="3926" max="3926" width="25" style="716" bestFit="1" customWidth="1"/>
    <col min="3927" max="3928" width="12.28515625" style="716" bestFit="1" customWidth="1"/>
    <col min="3929" max="3929" width="24.7109375" style="716" bestFit="1" customWidth="1"/>
    <col min="3930" max="3930" width="15" style="716" bestFit="1" customWidth="1"/>
    <col min="3931" max="4175" width="9.140625" style="716"/>
    <col min="4176" max="4176" width="6.42578125" style="716" bestFit="1" customWidth="1"/>
    <col min="4177" max="4177" width="32" style="716" bestFit="1" customWidth="1"/>
    <col min="4178" max="4178" width="14.5703125" style="716" bestFit="1" customWidth="1"/>
    <col min="4179" max="4179" width="12.42578125" style="716" bestFit="1" customWidth="1"/>
    <col min="4180" max="4180" width="51.28515625" style="716" bestFit="1" customWidth="1"/>
    <col min="4181" max="4181" width="14.85546875" style="716" bestFit="1" customWidth="1"/>
    <col min="4182" max="4182" width="25" style="716" bestFit="1" customWidth="1"/>
    <col min="4183" max="4184" width="12.28515625" style="716" bestFit="1" customWidth="1"/>
    <col min="4185" max="4185" width="24.7109375" style="716" bestFit="1" customWidth="1"/>
    <col min="4186" max="4186" width="15" style="716" bestFit="1" customWidth="1"/>
    <col min="4187" max="4431" width="9.140625" style="716"/>
    <col min="4432" max="4432" width="6.42578125" style="716" bestFit="1" customWidth="1"/>
    <col min="4433" max="4433" width="32" style="716" bestFit="1" customWidth="1"/>
    <col min="4434" max="4434" width="14.5703125" style="716" bestFit="1" customWidth="1"/>
    <col min="4435" max="4435" width="12.42578125" style="716" bestFit="1" customWidth="1"/>
    <col min="4436" max="4436" width="51.28515625" style="716" bestFit="1" customWidth="1"/>
    <col min="4437" max="4437" width="14.85546875" style="716" bestFit="1" customWidth="1"/>
    <col min="4438" max="4438" width="25" style="716" bestFit="1" customWidth="1"/>
    <col min="4439" max="4440" width="12.28515625" style="716" bestFit="1" customWidth="1"/>
    <col min="4441" max="4441" width="24.7109375" style="716" bestFit="1" customWidth="1"/>
    <col min="4442" max="4442" width="15" style="716" bestFit="1" customWidth="1"/>
    <col min="4443" max="4687" width="9.140625" style="716"/>
    <col min="4688" max="4688" width="6.42578125" style="716" bestFit="1" customWidth="1"/>
    <col min="4689" max="4689" width="32" style="716" bestFit="1" customWidth="1"/>
    <col min="4690" max="4690" width="14.5703125" style="716" bestFit="1" customWidth="1"/>
    <col min="4691" max="4691" width="12.42578125" style="716" bestFit="1" customWidth="1"/>
    <col min="4692" max="4692" width="51.28515625" style="716" bestFit="1" customWidth="1"/>
    <col min="4693" max="4693" width="14.85546875" style="716" bestFit="1" customWidth="1"/>
    <col min="4694" max="4694" width="25" style="716" bestFit="1" customWidth="1"/>
    <col min="4695" max="4696" width="12.28515625" style="716" bestFit="1" customWidth="1"/>
    <col min="4697" max="4697" width="24.7109375" style="716" bestFit="1" customWidth="1"/>
    <col min="4698" max="4698" width="15" style="716" bestFit="1" customWidth="1"/>
    <col min="4699" max="4943" width="9.140625" style="716"/>
    <col min="4944" max="4944" width="6.42578125" style="716" bestFit="1" customWidth="1"/>
    <col min="4945" max="4945" width="32" style="716" bestFit="1" customWidth="1"/>
    <col min="4946" max="4946" width="14.5703125" style="716" bestFit="1" customWidth="1"/>
    <col min="4947" max="4947" width="12.42578125" style="716" bestFit="1" customWidth="1"/>
    <col min="4948" max="4948" width="51.28515625" style="716" bestFit="1" customWidth="1"/>
    <col min="4949" max="4949" width="14.85546875" style="716" bestFit="1" customWidth="1"/>
    <col min="4950" max="4950" width="25" style="716" bestFit="1" customWidth="1"/>
    <col min="4951" max="4952" width="12.28515625" style="716" bestFit="1" customWidth="1"/>
    <col min="4953" max="4953" width="24.7109375" style="716" bestFit="1" customWidth="1"/>
    <col min="4954" max="4954" width="15" style="716" bestFit="1" customWidth="1"/>
    <col min="4955" max="5199" width="9.140625" style="716"/>
    <col min="5200" max="5200" width="6.42578125" style="716" bestFit="1" customWidth="1"/>
    <col min="5201" max="5201" width="32" style="716" bestFit="1" customWidth="1"/>
    <col min="5202" max="5202" width="14.5703125" style="716" bestFit="1" customWidth="1"/>
    <col min="5203" max="5203" width="12.42578125" style="716" bestFit="1" customWidth="1"/>
    <col min="5204" max="5204" width="51.28515625" style="716" bestFit="1" customWidth="1"/>
    <col min="5205" max="5205" width="14.85546875" style="716" bestFit="1" customWidth="1"/>
    <col min="5206" max="5206" width="25" style="716" bestFit="1" customWidth="1"/>
    <col min="5207" max="5208" width="12.28515625" style="716" bestFit="1" customWidth="1"/>
    <col min="5209" max="5209" width="24.7109375" style="716" bestFit="1" customWidth="1"/>
    <col min="5210" max="5210" width="15" style="716" bestFit="1" customWidth="1"/>
    <col min="5211" max="5455" width="9.140625" style="716"/>
    <col min="5456" max="5456" width="6.42578125" style="716" bestFit="1" customWidth="1"/>
    <col min="5457" max="5457" width="32" style="716" bestFit="1" customWidth="1"/>
    <col min="5458" max="5458" width="14.5703125" style="716" bestFit="1" customWidth="1"/>
    <col min="5459" max="5459" width="12.42578125" style="716" bestFit="1" customWidth="1"/>
    <col min="5460" max="5460" width="51.28515625" style="716" bestFit="1" customWidth="1"/>
    <col min="5461" max="5461" width="14.85546875" style="716" bestFit="1" customWidth="1"/>
    <col min="5462" max="5462" width="25" style="716" bestFit="1" customWidth="1"/>
    <col min="5463" max="5464" width="12.28515625" style="716" bestFit="1" customWidth="1"/>
    <col min="5465" max="5465" width="24.7109375" style="716" bestFit="1" customWidth="1"/>
    <col min="5466" max="5466" width="15" style="716" bestFit="1" customWidth="1"/>
    <col min="5467" max="5711" width="9.140625" style="716"/>
    <col min="5712" max="5712" width="6.42578125" style="716" bestFit="1" customWidth="1"/>
    <col min="5713" max="5713" width="32" style="716" bestFit="1" customWidth="1"/>
    <col min="5714" max="5714" width="14.5703125" style="716" bestFit="1" customWidth="1"/>
    <col min="5715" max="5715" width="12.42578125" style="716" bestFit="1" customWidth="1"/>
    <col min="5716" max="5716" width="51.28515625" style="716" bestFit="1" customWidth="1"/>
    <col min="5717" max="5717" width="14.85546875" style="716" bestFit="1" customWidth="1"/>
    <col min="5718" max="5718" width="25" style="716" bestFit="1" customWidth="1"/>
    <col min="5719" max="5720" width="12.28515625" style="716" bestFit="1" customWidth="1"/>
    <col min="5721" max="5721" width="24.7109375" style="716" bestFit="1" customWidth="1"/>
    <col min="5722" max="5722" width="15" style="716" bestFit="1" customWidth="1"/>
    <col min="5723" max="5967" width="9.140625" style="716"/>
    <col min="5968" max="5968" width="6.42578125" style="716" bestFit="1" customWidth="1"/>
    <col min="5969" max="5969" width="32" style="716" bestFit="1" customWidth="1"/>
    <col min="5970" max="5970" width="14.5703125" style="716" bestFit="1" customWidth="1"/>
    <col min="5971" max="5971" width="12.42578125" style="716" bestFit="1" customWidth="1"/>
    <col min="5972" max="5972" width="51.28515625" style="716" bestFit="1" customWidth="1"/>
    <col min="5973" max="5973" width="14.85546875" style="716" bestFit="1" customWidth="1"/>
    <col min="5974" max="5974" width="25" style="716" bestFit="1" customWidth="1"/>
    <col min="5975" max="5976" width="12.28515625" style="716" bestFit="1" customWidth="1"/>
    <col min="5977" max="5977" width="24.7109375" style="716" bestFit="1" customWidth="1"/>
    <col min="5978" max="5978" width="15" style="716" bestFit="1" customWidth="1"/>
    <col min="5979" max="6223" width="9.140625" style="716"/>
    <col min="6224" max="6224" width="6.42578125" style="716" bestFit="1" customWidth="1"/>
    <col min="6225" max="6225" width="32" style="716" bestFit="1" customWidth="1"/>
    <col min="6226" max="6226" width="14.5703125" style="716" bestFit="1" customWidth="1"/>
    <col min="6227" max="6227" width="12.42578125" style="716" bestFit="1" customWidth="1"/>
    <col min="6228" max="6228" width="51.28515625" style="716" bestFit="1" customWidth="1"/>
    <col min="6229" max="6229" width="14.85546875" style="716" bestFit="1" customWidth="1"/>
    <col min="6230" max="6230" width="25" style="716" bestFit="1" customWidth="1"/>
    <col min="6231" max="6232" width="12.28515625" style="716" bestFit="1" customWidth="1"/>
    <col min="6233" max="6233" width="24.7109375" style="716" bestFit="1" customWidth="1"/>
    <col min="6234" max="6234" width="15" style="716" bestFit="1" customWidth="1"/>
    <col min="6235" max="6479" width="9.140625" style="716"/>
    <col min="6480" max="6480" width="6.42578125" style="716" bestFit="1" customWidth="1"/>
    <col min="6481" max="6481" width="32" style="716" bestFit="1" customWidth="1"/>
    <col min="6482" max="6482" width="14.5703125" style="716" bestFit="1" customWidth="1"/>
    <col min="6483" max="6483" width="12.42578125" style="716" bestFit="1" customWidth="1"/>
    <col min="6484" max="6484" width="51.28515625" style="716" bestFit="1" customWidth="1"/>
    <col min="6485" max="6485" width="14.85546875" style="716" bestFit="1" customWidth="1"/>
    <col min="6486" max="6486" width="25" style="716" bestFit="1" customWidth="1"/>
    <col min="6487" max="6488" width="12.28515625" style="716" bestFit="1" customWidth="1"/>
    <col min="6489" max="6489" width="24.7109375" style="716" bestFit="1" customWidth="1"/>
    <col min="6490" max="6490" width="15" style="716" bestFit="1" customWidth="1"/>
    <col min="6491" max="6735" width="9.140625" style="716"/>
    <col min="6736" max="6736" width="6.42578125" style="716" bestFit="1" customWidth="1"/>
    <col min="6737" max="6737" width="32" style="716" bestFit="1" customWidth="1"/>
    <col min="6738" max="6738" width="14.5703125" style="716" bestFit="1" customWidth="1"/>
    <col min="6739" max="6739" width="12.42578125" style="716" bestFit="1" customWidth="1"/>
    <col min="6740" max="6740" width="51.28515625" style="716" bestFit="1" customWidth="1"/>
    <col min="6741" max="6741" width="14.85546875" style="716" bestFit="1" customWidth="1"/>
    <col min="6742" max="6742" width="25" style="716" bestFit="1" customWidth="1"/>
    <col min="6743" max="6744" width="12.28515625" style="716" bestFit="1" customWidth="1"/>
    <col min="6745" max="6745" width="24.7109375" style="716" bestFit="1" customWidth="1"/>
    <col min="6746" max="6746" width="15" style="716" bestFit="1" customWidth="1"/>
    <col min="6747" max="6991" width="9.140625" style="716"/>
    <col min="6992" max="6992" width="6.42578125" style="716" bestFit="1" customWidth="1"/>
    <col min="6993" max="6993" width="32" style="716" bestFit="1" customWidth="1"/>
    <col min="6994" max="6994" width="14.5703125" style="716" bestFit="1" customWidth="1"/>
    <col min="6995" max="6995" width="12.42578125" style="716" bestFit="1" customWidth="1"/>
    <col min="6996" max="6996" width="51.28515625" style="716" bestFit="1" customWidth="1"/>
    <col min="6997" max="6997" width="14.85546875" style="716" bestFit="1" customWidth="1"/>
    <col min="6998" max="6998" width="25" style="716" bestFit="1" customWidth="1"/>
    <col min="6999" max="7000" width="12.28515625" style="716" bestFit="1" customWidth="1"/>
    <col min="7001" max="7001" width="24.7109375" style="716" bestFit="1" customWidth="1"/>
    <col min="7002" max="7002" width="15" style="716" bestFit="1" customWidth="1"/>
    <col min="7003" max="7247" width="9.140625" style="716"/>
    <col min="7248" max="7248" width="6.42578125" style="716" bestFit="1" customWidth="1"/>
    <col min="7249" max="7249" width="32" style="716" bestFit="1" customWidth="1"/>
    <col min="7250" max="7250" width="14.5703125" style="716" bestFit="1" customWidth="1"/>
    <col min="7251" max="7251" width="12.42578125" style="716" bestFit="1" customWidth="1"/>
    <col min="7252" max="7252" width="51.28515625" style="716" bestFit="1" customWidth="1"/>
    <col min="7253" max="7253" width="14.85546875" style="716" bestFit="1" customWidth="1"/>
    <col min="7254" max="7254" width="25" style="716" bestFit="1" customWidth="1"/>
    <col min="7255" max="7256" width="12.28515625" style="716" bestFit="1" customWidth="1"/>
    <col min="7257" max="7257" width="24.7109375" style="716" bestFit="1" customWidth="1"/>
    <col min="7258" max="7258" width="15" style="716" bestFit="1" customWidth="1"/>
    <col min="7259" max="7503" width="9.140625" style="716"/>
    <col min="7504" max="7504" width="6.42578125" style="716" bestFit="1" customWidth="1"/>
    <col min="7505" max="7505" width="32" style="716" bestFit="1" customWidth="1"/>
    <col min="7506" max="7506" width="14.5703125" style="716" bestFit="1" customWidth="1"/>
    <col min="7507" max="7507" width="12.42578125" style="716" bestFit="1" customWidth="1"/>
    <col min="7508" max="7508" width="51.28515625" style="716" bestFit="1" customWidth="1"/>
    <col min="7509" max="7509" width="14.85546875" style="716" bestFit="1" customWidth="1"/>
    <col min="7510" max="7510" width="25" style="716" bestFit="1" customWidth="1"/>
    <col min="7511" max="7512" width="12.28515625" style="716" bestFit="1" customWidth="1"/>
    <col min="7513" max="7513" width="24.7109375" style="716" bestFit="1" customWidth="1"/>
    <col min="7514" max="7514" width="15" style="716" bestFit="1" customWidth="1"/>
    <col min="7515" max="7759" width="9.140625" style="716"/>
    <col min="7760" max="7760" width="6.42578125" style="716" bestFit="1" customWidth="1"/>
    <col min="7761" max="7761" width="32" style="716" bestFit="1" customWidth="1"/>
    <col min="7762" max="7762" width="14.5703125" style="716" bestFit="1" customWidth="1"/>
    <col min="7763" max="7763" width="12.42578125" style="716" bestFit="1" customWidth="1"/>
    <col min="7764" max="7764" width="51.28515625" style="716" bestFit="1" customWidth="1"/>
    <col min="7765" max="7765" width="14.85546875" style="716" bestFit="1" customWidth="1"/>
    <col min="7766" max="7766" width="25" style="716" bestFit="1" customWidth="1"/>
    <col min="7767" max="7768" width="12.28515625" style="716" bestFit="1" customWidth="1"/>
    <col min="7769" max="7769" width="24.7109375" style="716" bestFit="1" customWidth="1"/>
    <col min="7770" max="7770" width="15" style="716" bestFit="1" customWidth="1"/>
    <col min="7771" max="8015" width="9.140625" style="716"/>
    <col min="8016" max="8016" width="6.42578125" style="716" bestFit="1" customWidth="1"/>
    <col min="8017" max="8017" width="32" style="716" bestFit="1" customWidth="1"/>
    <col min="8018" max="8018" width="14.5703125" style="716" bestFit="1" customWidth="1"/>
    <col min="8019" max="8019" width="12.42578125" style="716" bestFit="1" customWidth="1"/>
    <col min="8020" max="8020" width="51.28515625" style="716" bestFit="1" customWidth="1"/>
    <col min="8021" max="8021" width="14.85546875" style="716" bestFit="1" customWidth="1"/>
    <col min="8022" max="8022" width="25" style="716" bestFit="1" customWidth="1"/>
    <col min="8023" max="8024" width="12.28515625" style="716" bestFit="1" customWidth="1"/>
    <col min="8025" max="8025" width="24.7109375" style="716" bestFit="1" customWidth="1"/>
    <col min="8026" max="8026" width="15" style="716" bestFit="1" customWidth="1"/>
    <col min="8027" max="8271" width="9.140625" style="716"/>
    <col min="8272" max="8272" width="6.42578125" style="716" bestFit="1" customWidth="1"/>
    <col min="8273" max="8273" width="32" style="716" bestFit="1" customWidth="1"/>
    <col min="8274" max="8274" width="14.5703125" style="716" bestFit="1" customWidth="1"/>
    <col min="8275" max="8275" width="12.42578125" style="716" bestFit="1" customWidth="1"/>
    <col min="8276" max="8276" width="51.28515625" style="716" bestFit="1" customWidth="1"/>
    <col min="8277" max="8277" width="14.85546875" style="716" bestFit="1" customWidth="1"/>
    <col min="8278" max="8278" width="25" style="716" bestFit="1" customWidth="1"/>
    <col min="8279" max="8280" width="12.28515625" style="716" bestFit="1" customWidth="1"/>
    <col min="8281" max="8281" width="24.7109375" style="716" bestFit="1" customWidth="1"/>
    <col min="8282" max="8282" width="15" style="716" bestFit="1" customWidth="1"/>
    <col min="8283" max="8527" width="9.140625" style="716"/>
    <col min="8528" max="8528" width="6.42578125" style="716" bestFit="1" customWidth="1"/>
    <col min="8529" max="8529" width="32" style="716" bestFit="1" customWidth="1"/>
    <col min="8530" max="8530" width="14.5703125" style="716" bestFit="1" customWidth="1"/>
    <col min="8531" max="8531" width="12.42578125" style="716" bestFit="1" customWidth="1"/>
    <col min="8532" max="8532" width="51.28515625" style="716" bestFit="1" customWidth="1"/>
    <col min="8533" max="8533" width="14.85546875" style="716" bestFit="1" customWidth="1"/>
    <col min="8534" max="8534" width="25" style="716" bestFit="1" customWidth="1"/>
    <col min="8535" max="8536" width="12.28515625" style="716" bestFit="1" customWidth="1"/>
    <col min="8537" max="8537" width="24.7109375" style="716" bestFit="1" customWidth="1"/>
    <col min="8538" max="8538" width="15" style="716" bestFit="1" customWidth="1"/>
    <col min="8539" max="8783" width="9.140625" style="716"/>
    <col min="8784" max="8784" width="6.42578125" style="716" bestFit="1" customWidth="1"/>
    <col min="8785" max="8785" width="32" style="716" bestFit="1" customWidth="1"/>
    <col min="8786" max="8786" width="14.5703125" style="716" bestFit="1" customWidth="1"/>
    <col min="8787" max="8787" width="12.42578125" style="716" bestFit="1" customWidth="1"/>
    <col min="8788" max="8788" width="51.28515625" style="716" bestFit="1" customWidth="1"/>
    <col min="8789" max="8789" width="14.85546875" style="716" bestFit="1" customWidth="1"/>
    <col min="8790" max="8790" width="25" style="716" bestFit="1" customWidth="1"/>
    <col min="8791" max="8792" width="12.28515625" style="716" bestFit="1" customWidth="1"/>
    <col min="8793" max="8793" width="24.7109375" style="716" bestFit="1" customWidth="1"/>
    <col min="8794" max="8794" width="15" style="716" bestFit="1" customWidth="1"/>
    <col min="8795" max="9039" width="9.140625" style="716"/>
    <col min="9040" max="9040" width="6.42578125" style="716" bestFit="1" customWidth="1"/>
    <col min="9041" max="9041" width="32" style="716" bestFit="1" customWidth="1"/>
    <col min="9042" max="9042" width="14.5703125" style="716" bestFit="1" customWidth="1"/>
    <col min="9043" max="9043" width="12.42578125" style="716" bestFit="1" customWidth="1"/>
    <col min="9044" max="9044" width="51.28515625" style="716" bestFit="1" customWidth="1"/>
    <col min="9045" max="9045" width="14.85546875" style="716" bestFit="1" customWidth="1"/>
    <col min="9046" max="9046" width="25" style="716" bestFit="1" customWidth="1"/>
    <col min="9047" max="9048" width="12.28515625" style="716" bestFit="1" customWidth="1"/>
    <col min="9049" max="9049" width="24.7109375" style="716" bestFit="1" customWidth="1"/>
    <col min="9050" max="9050" width="15" style="716" bestFit="1" customWidth="1"/>
    <col min="9051" max="9295" width="9.140625" style="716"/>
    <col min="9296" max="9296" width="6.42578125" style="716" bestFit="1" customWidth="1"/>
    <col min="9297" max="9297" width="32" style="716" bestFit="1" customWidth="1"/>
    <col min="9298" max="9298" width="14.5703125" style="716" bestFit="1" customWidth="1"/>
    <col min="9299" max="9299" width="12.42578125" style="716" bestFit="1" customWidth="1"/>
    <col min="9300" max="9300" width="51.28515625" style="716" bestFit="1" customWidth="1"/>
    <col min="9301" max="9301" width="14.85546875" style="716" bestFit="1" customWidth="1"/>
    <col min="9302" max="9302" width="25" style="716" bestFit="1" customWidth="1"/>
    <col min="9303" max="9304" width="12.28515625" style="716" bestFit="1" customWidth="1"/>
    <col min="9305" max="9305" width="24.7109375" style="716" bestFit="1" customWidth="1"/>
    <col min="9306" max="9306" width="15" style="716" bestFit="1" customWidth="1"/>
    <col min="9307" max="9551" width="9.140625" style="716"/>
    <col min="9552" max="9552" width="6.42578125" style="716" bestFit="1" customWidth="1"/>
    <col min="9553" max="9553" width="32" style="716" bestFit="1" customWidth="1"/>
    <col min="9554" max="9554" width="14.5703125" style="716" bestFit="1" customWidth="1"/>
    <col min="9555" max="9555" width="12.42578125" style="716" bestFit="1" customWidth="1"/>
    <col min="9556" max="9556" width="51.28515625" style="716" bestFit="1" customWidth="1"/>
    <col min="9557" max="9557" width="14.85546875" style="716" bestFit="1" customWidth="1"/>
    <col min="9558" max="9558" width="25" style="716" bestFit="1" customWidth="1"/>
    <col min="9559" max="9560" width="12.28515625" style="716" bestFit="1" customWidth="1"/>
    <col min="9561" max="9561" width="24.7109375" style="716" bestFit="1" customWidth="1"/>
    <col min="9562" max="9562" width="15" style="716" bestFit="1" customWidth="1"/>
    <col min="9563" max="9807" width="9.140625" style="716"/>
    <col min="9808" max="9808" width="6.42578125" style="716" bestFit="1" customWidth="1"/>
    <col min="9809" max="9809" width="32" style="716" bestFit="1" customWidth="1"/>
    <col min="9810" max="9810" width="14.5703125" style="716" bestFit="1" customWidth="1"/>
    <col min="9811" max="9811" width="12.42578125" style="716" bestFit="1" customWidth="1"/>
    <col min="9812" max="9812" width="51.28515625" style="716" bestFit="1" customWidth="1"/>
    <col min="9813" max="9813" width="14.85546875" style="716" bestFit="1" customWidth="1"/>
    <col min="9814" max="9814" width="25" style="716" bestFit="1" customWidth="1"/>
    <col min="9815" max="9816" width="12.28515625" style="716" bestFit="1" customWidth="1"/>
    <col min="9817" max="9817" width="24.7109375" style="716" bestFit="1" customWidth="1"/>
    <col min="9818" max="9818" width="15" style="716" bestFit="1" customWidth="1"/>
    <col min="9819" max="10063" width="9.140625" style="716"/>
    <col min="10064" max="10064" width="6.42578125" style="716" bestFit="1" customWidth="1"/>
    <col min="10065" max="10065" width="32" style="716" bestFit="1" customWidth="1"/>
    <col min="10066" max="10066" width="14.5703125" style="716" bestFit="1" customWidth="1"/>
    <col min="10067" max="10067" width="12.42578125" style="716" bestFit="1" customWidth="1"/>
    <col min="10068" max="10068" width="51.28515625" style="716" bestFit="1" customWidth="1"/>
    <col min="10069" max="10069" width="14.85546875" style="716" bestFit="1" customWidth="1"/>
    <col min="10070" max="10070" width="25" style="716" bestFit="1" customWidth="1"/>
    <col min="10071" max="10072" width="12.28515625" style="716" bestFit="1" customWidth="1"/>
    <col min="10073" max="10073" width="24.7109375" style="716" bestFit="1" customWidth="1"/>
    <col min="10074" max="10074" width="15" style="716" bestFit="1" customWidth="1"/>
    <col min="10075" max="10319" width="9.140625" style="716"/>
    <col min="10320" max="10320" width="6.42578125" style="716" bestFit="1" customWidth="1"/>
    <col min="10321" max="10321" width="32" style="716" bestFit="1" customWidth="1"/>
    <col min="10322" max="10322" width="14.5703125" style="716" bestFit="1" customWidth="1"/>
    <col min="10323" max="10323" width="12.42578125" style="716" bestFit="1" customWidth="1"/>
    <col min="10324" max="10324" width="51.28515625" style="716" bestFit="1" customWidth="1"/>
    <col min="10325" max="10325" width="14.85546875" style="716" bestFit="1" customWidth="1"/>
    <col min="10326" max="10326" width="25" style="716" bestFit="1" customWidth="1"/>
    <col min="10327" max="10328" width="12.28515625" style="716" bestFit="1" customWidth="1"/>
    <col min="10329" max="10329" width="24.7109375" style="716" bestFit="1" customWidth="1"/>
    <col min="10330" max="10330" width="15" style="716" bestFit="1" customWidth="1"/>
    <col min="10331" max="10575" width="9.140625" style="716"/>
    <col min="10576" max="10576" width="6.42578125" style="716" bestFit="1" customWidth="1"/>
    <col min="10577" max="10577" width="32" style="716" bestFit="1" customWidth="1"/>
    <col min="10578" max="10578" width="14.5703125" style="716" bestFit="1" customWidth="1"/>
    <col min="10579" max="10579" width="12.42578125" style="716" bestFit="1" customWidth="1"/>
    <col min="10580" max="10580" width="51.28515625" style="716" bestFit="1" customWidth="1"/>
    <col min="10581" max="10581" width="14.85546875" style="716" bestFit="1" customWidth="1"/>
    <col min="10582" max="10582" width="25" style="716" bestFit="1" customWidth="1"/>
    <col min="10583" max="10584" width="12.28515625" style="716" bestFit="1" customWidth="1"/>
    <col min="10585" max="10585" width="24.7109375" style="716" bestFit="1" customWidth="1"/>
    <col min="10586" max="10586" width="15" style="716" bestFit="1" customWidth="1"/>
    <col min="10587" max="10831" width="9.140625" style="716"/>
    <col min="10832" max="10832" width="6.42578125" style="716" bestFit="1" customWidth="1"/>
    <col min="10833" max="10833" width="32" style="716" bestFit="1" customWidth="1"/>
    <col min="10834" max="10834" width="14.5703125" style="716" bestFit="1" customWidth="1"/>
    <col min="10835" max="10835" width="12.42578125" style="716" bestFit="1" customWidth="1"/>
    <col min="10836" max="10836" width="51.28515625" style="716" bestFit="1" customWidth="1"/>
    <col min="10837" max="10837" width="14.85546875" style="716" bestFit="1" customWidth="1"/>
    <col min="10838" max="10838" width="25" style="716" bestFit="1" customWidth="1"/>
    <col min="10839" max="10840" width="12.28515625" style="716" bestFit="1" customWidth="1"/>
    <col min="10841" max="10841" width="24.7109375" style="716" bestFit="1" customWidth="1"/>
    <col min="10842" max="10842" width="15" style="716" bestFit="1" customWidth="1"/>
    <col min="10843" max="11087" width="9.140625" style="716"/>
    <col min="11088" max="11088" width="6.42578125" style="716" bestFit="1" customWidth="1"/>
    <col min="11089" max="11089" width="32" style="716" bestFit="1" customWidth="1"/>
    <col min="11090" max="11090" width="14.5703125" style="716" bestFit="1" customWidth="1"/>
    <col min="11091" max="11091" width="12.42578125" style="716" bestFit="1" customWidth="1"/>
    <col min="11092" max="11092" width="51.28515625" style="716" bestFit="1" customWidth="1"/>
    <col min="11093" max="11093" width="14.85546875" style="716" bestFit="1" customWidth="1"/>
    <col min="11094" max="11094" width="25" style="716" bestFit="1" customWidth="1"/>
    <col min="11095" max="11096" width="12.28515625" style="716" bestFit="1" customWidth="1"/>
    <col min="11097" max="11097" width="24.7109375" style="716" bestFit="1" customWidth="1"/>
    <col min="11098" max="11098" width="15" style="716" bestFit="1" customWidth="1"/>
    <col min="11099" max="11343" width="9.140625" style="716"/>
    <col min="11344" max="11344" width="6.42578125" style="716" bestFit="1" customWidth="1"/>
    <col min="11345" max="11345" width="32" style="716" bestFit="1" customWidth="1"/>
    <col min="11346" max="11346" width="14.5703125" style="716" bestFit="1" customWidth="1"/>
    <col min="11347" max="11347" width="12.42578125" style="716" bestFit="1" customWidth="1"/>
    <col min="11348" max="11348" width="51.28515625" style="716" bestFit="1" customWidth="1"/>
    <col min="11349" max="11349" width="14.85546875" style="716" bestFit="1" customWidth="1"/>
    <col min="11350" max="11350" width="25" style="716" bestFit="1" customWidth="1"/>
    <col min="11351" max="11352" width="12.28515625" style="716" bestFit="1" customWidth="1"/>
    <col min="11353" max="11353" width="24.7109375" style="716" bestFit="1" customWidth="1"/>
    <col min="11354" max="11354" width="15" style="716" bestFit="1" customWidth="1"/>
    <col min="11355" max="11599" width="9.140625" style="716"/>
    <col min="11600" max="11600" width="6.42578125" style="716" bestFit="1" customWidth="1"/>
    <col min="11601" max="11601" width="32" style="716" bestFit="1" customWidth="1"/>
    <col min="11602" max="11602" width="14.5703125" style="716" bestFit="1" customWidth="1"/>
    <col min="11603" max="11603" width="12.42578125" style="716" bestFit="1" customWidth="1"/>
    <col min="11604" max="11604" width="51.28515625" style="716" bestFit="1" customWidth="1"/>
    <col min="11605" max="11605" width="14.85546875" style="716" bestFit="1" customWidth="1"/>
    <col min="11606" max="11606" width="25" style="716" bestFit="1" customWidth="1"/>
    <col min="11607" max="11608" width="12.28515625" style="716" bestFit="1" customWidth="1"/>
    <col min="11609" max="11609" width="24.7109375" style="716" bestFit="1" customWidth="1"/>
    <col min="11610" max="11610" width="15" style="716" bestFit="1" customWidth="1"/>
    <col min="11611" max="11855" width="9.140625" style="716"/>
    <col min="11856" max="11856" width="6.42578125" style="716" bestFit="1" customWidth="1"/>
    <col min="11857" max="11857" width="32" style="716" bestFit="1" customWidth="1"/>
    <col min="11858" max="11858" width="14.5703125" style="716" bestFit="1" customWidth="1"/>
    <col min="11859" max="11859" width="12.42578125" style="716" bestFit="1" customWidth="1"/>
    <col min="11860" max="11860" width="51.28515625" style="716" bestFit="1" customWidth="1"/>
    <col min="11861" max="11861" width="14.85546875" style="716" bestFit="1" customWidth="1"/>
    <col min="11862" max="11862" width="25" style="716" bestFit="1" customWidth="1"/>
    <col min="11863" max="11864" width="12.28515625" style="716" bestFit="1" customWidth="1"/>
    <col min="11865" max="11865" width="24.7109375" style="716" bestFit="1" customWidth="1"/>
    <col min="11866" max="11866" width="15" style="716" bestFit="1" customWidth="1"/>
    <col min="11867" max="12111" width="9.140625" style="716"/>
    <col min="12112" max="12112" width="6.42578125" style="716" bestFit="1" customWidth="1"/>
    <col min="12113" max="12113" width="32" style="716" bestFit="1" customWidth="1"/>
    <col min="12114" max="12114" width="14.5703125" style="716" bestFit="1" customWidth="1"/>
    <col min="12115" max="12115" width="12.42578125" style="716" bestFit="1" customWidth="1"/>
    <col min="12116" max="12116" width="51.28515625" style="716" bestFit="1" customWidth="1"/>
    <col min="12117" max="12117" width="14.85546875" style="716" bestFit="1" customWidth="1"/>
    <col min="12118" max="12118" width="25" style="716" bestFit="1" customWidth="1"/>
    <col min="12119" max="12120" width="12.28515625" style="716" bestFit="1" customWidth="1"/>
    <col min="12121" max="12121" width="24.7109375" style="716" bestFit="1" customWidth="1"/>
    <col min="12122" max="12122" width="15" style="716" bestFit="1" customWidth="1"/>
    <col min="12123" max="12367" width="9.140625" style="716"/>
    <col min="12368" max="12368" width="6.42578125" style="716" bestFit="1" customWidth="1"/>
    <col min="12369" max="12369" width="32" style="716" bestFit="1" customWidth="1"/>
    <col min="12370" max="12370" width="14.5703125" style="716" bestFit="1" customWidth="1"/>
    <col min="12371" max="12371" width="12.42578125" style="716" bestFit="1" customWidth="1"/>
    <col min="12372" max="12372" width="51.28515625" style="716" bestFit="1" customWidth="1"/>
    <col min="12373" max="12373" width="14.85546875" style="716" bestFit="1" customWidth="1"/>
    <col min="12374" max="12374" width="25" style="716" bestFit="1" customWidth="1"/>
    <col min="12375" max="12376" width="12.28515625" style="716" bestFit="1" customWidth="1"/>
    <col min="12377" max="12377" width="24.7109375" style="716" bestFit="1" customWidth="1"/>
    <col min="12378" max="12378" width="15" style="716" bestFit="1" customWidth="1"/>
    <col min="12379" max="12623" width="9.140625" style="716"/>
    <col min="12624" max="12624" width="6.42578125" style="716" bestFit="1" customWidth="1"/>
    <col min="12625" max="12625" width="32" style="716" bestFit="1" customWidth="1"/>
    <col min="12626" max="12626" width="14.5703125" style="716" bestFit="1" customWidth="1"/>
    <col min="12627" max="12627" width="12.42578125" style="716" bestFit="1" customWidth="1"/>
    <col min="12628" max="12628" width="51.28515625" style="716" bestFit="1" customWidth="1"/>
    <col min="12629" max="12629" width="14.85546875" style="716" bestFit="1" customWidth="1"/>
    <col min="12630" max="12630" width="25" style="716" bestFit="1" customWidth="1"/>
    <col min="12631" max="12632" width="12.28515625" style="716" bestFit="1" customWidth="1"/>
    <col min="12633" max="12633" width="24.7109375" style="716" bestFit="1" customWidth="1"/>
    <col min="12634" max="12634" width="15" style="716" bestFit="1" customWidth="1"/>
    <col min="12635" max="12879" width="9.140625" style="716"/>
    <col min="12880" max="12880" width="6.42578125" style="716" bestFit="1" customWidth="1"/>
    <col min="12881" max="12881" width="32" style="716" bestFit="1" customWidth="1"/>
    <col min="12882" max="12882" width="14.5703125" style="716" bestFit="1" customWidth="1"/>
    <col min="12883" max="12883" width="12.42578125" style="716" bestFit="1" customWidth="1"/>
    <col min="12884" max="12884" width="51.28515625" style="716" bestFit="1" customWidth="1"/>
    <col min="12885" max="12885" width="14.85546875" style="716" bestFit="1" customWidth="1"/>
    <col min="12886" max="12886" width="25" style="716" bestFit="1" customWidth="1"/>
    <col min="12887" max="12888" width="12.28515625" style="716" bestFit="1" customWidth="1"/>
    <col min="12889" max="12889" width="24.7109375" style="716" bestFit="1" customWidth="1"/>
    <col min="12890" max="12890" width="15" style="716" bestFit="1" customWidth="1"/>
    <col min="12891" max="13135" width="9.140625" style="716"/>
    <col min="13136" max="13136" width="6.42578125" style="716" bestFit="1" customWidth="1"/>
    <col min="13137" max="13137" width="32" style="716" bestFit="1" customWidth="1"/>
    <col min="13138" max="13138" width="14.5703125" style="716" bestFit="1" customWidth="1"/>
    <col min="13139" max="13139" width="12.42578125" style="716" bestFit="1" customWidth="1"/>
    <col min="13140" max="13140" width="51.28515625" style="716" bestFit="1" customWidth="1"/>
    <col min="13141" max="13141" width="14.85546875" style="716" bestFit="1" customWidth="1"/>
    <col min="13142" max="13142" width="25" style="716" bestFit="1" customWidth="1"/>
    <col min="13143" max="13144" width="12.28515625" style="716" bestFit="1" customWidth="1"/>
    <col min="13145" max="13145" width="24.7109375" style="716" bestFit="1" customWidth="1"/>
    <col min="13146" max="13146" width="15" style="716" bestFit="1" customWidth="1"/>
    <col min="13147" max="13391" width="9.140625" style="716"/>
    <col min="13392" max="13392" width="6.42578125" style="716" bestFit="1" customWidth="1"/>
    <col min="13393" max="13393" width="32" style="716" bestFit="1" customWidth="1"/>
    <col min="13394" max="13394" width="14.5703125" style="716" bestFit="1" customWidth="1"/>
    <col min="13395" max="13395" width="12.42578125" style="716" bestFit="1" customWidth="1"/>
    <col min="13396" max="13396" width="51.28515625" style="716" bestFit="1" customWidth="1"/>
    <col min="13397" max="13397" width="14.85546875" style="716" bestFit="1" customWidth="1"/>
    <col min="13398" max="13398" width="25" style="716" bestFit="1" customWidth="1"/>
    <col min="13399" max="13400" width="12.28515625" style="716" bestFit="1" customWidth="1"/>
    <col min="13401" max="13401" width="24.7109375" style="716" bestFit="1" customWidth="1"/>
    <col min="13402" max="13402" width="15" style="716" bestFit="1" customWidth="1"/>
    <col min="13403" max="13647" width="9.140625" style="716"/>
    <col min="13648" max="13648" width="6.42578125" style="716" bestFit="1" customWidth="1"/>
    <col min="13649" max="13649" width="32" style="716" bestFit="1" customWidth="1"/>
    <col min="13650" max="13650" width="14.5703125" style="716" bestFit="1" customWidth="1"/>
    <col min="13651" max="13651" width="12.42578125" style="716" bestFit="1" customWidth="1"/>
    <col min="13652" max="13652" width="51.28515625" style="716" bestFit="1" customWidth="1"/>
    <col min="13653" max="13653" width="14.85546875" style="716" bestFit="1" customWidth="1"/>
    <col min="13654" max="13654" width="25" style="716" bestFit="1" customWidth="1"/>
    <col min="13655" max="13656" width="12.28515625" style="716" bestFit="1" customWidth="1"/>
    <col min="13657" max="13657" width="24.7109375" style="716" bestFit="1" customWidth="1"/>
    <col min="13658" max="13658" width="15" style="716" bestFit="1" customWidth="1"/>
    <col min="13659" max="13903" width="9.140625" style="716"/>
    <col min="13904" max="13904" width="6.42578125" style="716" bestFit="1" customWidth="1"/>
    <col min="13905" max="13905" width="32" style="716" bestFit="1" customWidth="1"/>
    <col min="13906" max="13906" width="14.5703125" style="716" bestFit="1" customWidth="1"/>
    <col min="13907" max="13907" width="12.42578125" style="716" bestFit="1" customWidth="1"/>
    <col min="13908" max="13908" width="51.28515625" style="716" bestFit="1" customWidth="1"/>
    <col min="13909" max="13909" width="14.85546875" style="716" bestFit="1" customWidth="1"/>
    <col min="13910" max="13910" width="25" style="716" bestFit="1" customWidth="1"/>
    <col min="13911" max="13912" width="12.28515625" style="716" bestFit="1" customWidth="1"/>
    <col min="13913" max="13913" width="24.7109375" style="716" bestFit="1" customWidth="1"/>
    <col min="13914" max="13914" width="15" style="716" bestFit="1" customWidth="1"/>
    <col min="13915" max="14159" width="9.140625" style="716"/>
    <col min="14160" max="14160" width="6.42578125" style="716" bestFit="1" customWidth="1"/>
    <col min="14161" max="14161" width="32" style="716" bestFit="1" customWidth="1"/>
    <col min="14162" max="14162" width="14.5703125" style="716" bestFit="1" customWidth="1"/>
    <col min="14163" max="14163" width="12.42578125" style="716" bestFit="1" customWidth="1"/>
    <col min="14164" max="14164" width="51.28515625" style="716" bestFit="1" customWidth="1"/>
    <col min="14165" max="14165" width="14.85546875" style="716" bestFit="1" customWidth="1"/>
    <col min="14166" max="14166" width="25" style="716" bestFit="1" customWidth="1"/>
    <col min="14167" max="14168" width="12.28515625" style="716" bestFit="1" customWidth="1"/>
    <col min="14169" max="14169" width="24.7109375" style="716" bestFit="1" customWidth="1"/>
    <col min="14170" max="14170" width="15" style="716" bestFit="1" customWidth="1"/>
    <col min="14171" max="14415" width="9.140625" style="716"/>
    <col min="14416" max="14416" width="6.42578125" style="716" bestFit="1" customWidth="1"/>
    <col min="14417" max="14417" width="32" style="716" bestFit="1" customWidth="1"/>
    <col min="14418" max="14418" width="14.5703125" style="716" bestFit="1" customWidth="1"/>
    <col min="14419" max="14419" width="12.42578125" style="716" bestFit="1" customWidth="1"/>
    <col min="14420" max="14420" width="51.28515625" style="716" bestFit="1" customWidth="1"/>
    <col min="14421" max="14421" width="14.85546875" style="716" bestFit="1" customWidth="1"/>
    <col min="14422" max="14422" width="25" style="716" bestFit="1" customWidth="1"/>
    <col min="14423" max="14424" width="12.28515625" style="716" bestFit="1" customWidth="1"/>
    <col min="14425" max="14425" width="24.7109375" style="716" bestFit="1" customWidth="1"/>
    <col min="14426" max="14426" width="15" style="716" bestFit="1" customWidth="1"/>
    <col min="14427" max="14671" width="9.140625" style="716"/>
    <col min="14672" max="14672" width="6.42578125" style="716" bestFit="1" customWidth="1"/>
    <col min="14673" max="14673" width="32" style="716" bestFit="1" customWidth="1"/>
    <col min="14674" max="14674" width="14.5703125" style="716" bestFit="1" customWidth="1"/>
    <col min="14675" max="14675" width="12.42578125" style="716" bestFit="1" customWidth="1"/>
    <col min="14676" max="14676" width="51.28515625" style="716" bestFit="1" customWidth="1"/>
    <col min="14677" max="14677" width="14.85546875" style="716" bestFit="1" customWidth="1"/>
    <col min="14678" max="14678" width="25" style="716" bestFit="1" customWidth="1"/>
    <col min="14679" max="14680" width="12.28515625" style="716" bestFit="1" customWidth="1"/>
    <col min="14681" max="14681" width="24.7109375" style="716" bestFit="1" customWidth="1"/>
    <col min="14682" max="14682" width="15" style="716" bestFit="1" customWidth="1"/>
    <col min="14683" max="14927" width="9.140625" style="716"/>
    <col min="14928" max="14928" width="6.42578125" style="716" bestFit="1" customWidth="1"/>
    <col min="14929" max="14929" width="32" style="716" bestFit="1" customWidth="1"/>
    <col min="14930" max="14930" width="14.5703125" style="716" bestFit="1" customWidth="1"/>
    <col min="14931" max="14931" width="12.42578125" style="716" bestFit="1" customWidth="1"/>
    <col min="14932" max="14932" width="51.28515625" style="716" bestFit="1" customWidth="1"/>
    <col min="14933" max="14933" width="14.85546875" style="716" bestFit="1" customWidth="1"/>
    <col min="14934" max="14934" width="25" style="716" bestFit="1" customWidth="1"/>
    <col min="14935" max="14936" width="12.28515625" style="716" bestFit="1" customWidth="1"/>
    <col min="14937" max="14937" width="24.7109375" style="716" bestFit="1" customWidth="1"/>
    <col min="14938" max="14938" width="15" style="716" bestFit="1" customWidth="1"/>
    <col min="14939" max="15183" width="9.140625" style="716"/>
    <col min="15184" max="15184" width="6.42578125" style="716" bestFit="1" customWidth="1"/>
    <col min="15185" max="15185" width="32" style="716" bestFit="1" customWidth="1"/>
    <col min="15186" max="15186" width="14.5703125" style="716" bestFit="1" customWidth="1"/>
    <col min="15187" max="15187" width="12.42578125" style="716" bestFit="1" customWidth="1"/>
    <col min="15188" max="15188" width="51.28515625" style="716" bestFit="1" customWidth="1"/>
    <col min="15189" max="15189" width="14.85546875" style="716" bestFit="1" customWidth="1"/>
    <col min="15190" max="15190" width="25" style="716" bestFit="1" customWidth="1"/>
    <col min="15191" max="15192" width="12.28515625" style="716" bestFit="1" customWidth="1"/>
    <col min="15193" max="15193" width="24.7109375" style="716" bestFit="1" customWidth="1"/>
    <col min="15194" max="15194" width="15" style="716" bestFit="1" customWidth="1"/>
    <col min="15195" max="15439" width="9.140625" style="716"/>
    <col min="15440" max="15440" width="6.42578125" style="716" bestFit="1" customWidth="1"/>
    <col min="15441" max="15441" width="32" style="716" bestFit="1" customWidth="1"/>
    <col min="15442" max="15442" width="14.5703125" style="716" bestFit="1" customWidth="1"/>
    <col min="15443" max="15443" width="12.42578125" style="716" bestFit="1" customWidth="1"/>
    <col min="15444" max="15444" width="51.28515625" style="716" bestFit="1" customWidth="1"/>
    <col min="15445" max="15445" width="14.85546875" style="716" bestFit="1" customWidth="1"/>
    <col min="15446" max="15446" width="25" style="716" bestFit="1" customWidth="1"/>
    <col min="15447" max="15448" width="12.28515625" style="716" bestFit="1" customWidth="1"/>
    <col min="15449" max="15449" width="24.7109375" style="716" bestFit="1" customWidth="1"/>
    <col min="15450" max="15450" width="15" style="716" bestFit="1" customWidth="1"/>
    <col min="15451" max="15695" width="9.140625" style="716"/>
    <col min="15696" max="15696" width="6.42578125" style="716" bestFit="1" customWidth="1"/>
    <col min="15697" max="15697" width="32" style="716" bestFit="1" customWidth="1"/>
    <col min="15698" max="15698" width="14.5703125" style="716" bestFit="1" customWidth="1"/>
    <col min="15699" max="15699" width="12.42578125" style="716" bestFit="1" customWidth="1"/>
    <col min="15700" max="15700" width="51.28515625" style="716" bestFit="1" customWidth="1"/>
    <col min="15701" max="15701" width="14.85546875" style="716" bestFit="1" customWidth="1"/>
    <col min="15702" max="15702" width="25" style="716" bestFit="1" customWidth="1"/>
    <col min="15703" max="15704" width="12.28515625" style="716" bestFit="1" customWidth="1"/>
    <col min="15705" max="15705" width="24.7109375" style="716" bestFit="1" customWidth="1"/>
    <col min="15706" max="15706" width="15" style="716" bestFit="1" customWidth="1"/>
    <col min="15707" max="15951" width="9.140625" style="716"/>
    <col min="15952" max="15952" width="6.42578125" style="716" bestFit="1" customWidth="1"/>
    <col min="15953" max="15953" width="32" style="716" bestFit="1" customWidth="1"/>
    <col min="15954" max="15954" width="14.5703125" style="716" bestFit="1" customWidth="1"/>
    <col min="15955" max="15955" width="12.42578125" style="716" bestFit="1" customWidth="1"/>
    <col min="15956" max="15956" width="51.28515625" style="716" bestFit="1" customWidth="1"/>
    <col min="15957" max="15957" width="14.85546875" style="716" bestFit="1" customWidth="1"/>
    <col min="15958" max="15958" width="25" style="716" bestFit="1" customWidth="1"/>
    <col min="15959" max="15960" width="12.28515625" style="716" bestFit="1" customWidth="1"/>
    <col min="15961" max="15961" width="24.7109375" style="716" bestFit="1" customWidth="1"/>
    <col min="15962" max="15962" width="15" style="716" bestFit="1" customWidth="1"/>
    <col min="15963" max="16384" width="9.140625" style="716"/>
  </cols>
  <sheetData>
    <row r="1" spans="1:13" s="711" customFormat="1" ht="27.75" x14ac:dyDescent="0.5">
      <c r="A1" s="1116" t="s">
        <v>80</v>
      </c>
      <c r="B1" s="1116"/>
      <c r="C1" s="1116"/>
      <c r="D1" s="1116"/>
      <c r="E1" s="1116"/>
      <c r="F1" s="1116"/>
      <c r="G1" s="1116"/>
      <c r="H1" s="1116"/>
      <c r="I1" s="1116"/>
      <c r="J1" s="1116"/>
      <c r="K1" s="1116"/>
      <c r="L1" s="1116"/>
      <c r="M1" s="1116"/>
    </row>
    <row r="2" spans="1:13" s="711" customFormat="1" ht="27.75" x14ac:dyDescent="0.5">
      <c r="A2" s="1116" t="s">
        <v>733</v>
      </c>
      <c r="B2" s="1116"/>
      <c r="C2" s="1116"/>
      <c r="D2" s="1116"/>
      <c r="E2" s="1116"/>
      <c r="F2" s="1116"/>
      <c r="G2" s="1116"/>
      <c r="H2" s="1116"/>
      <c r="I2" s="1116"/>
      <c r="J2" s="1116"/>
      <c r="K2" s="1116"/>
      <c r="L2" s="1116"/>
      <c r="M2" s="1116"/>
    </row>
    <row r="3" spans="1:13" s="711" customFormat="1" ht="27.75" x14ac:dyDescent="0.5">
      <c r="A3" s="1116" t="s">
        <v>1004</v>
      </c>
      <c r="B3" s="1116"/>
      <c r="C3" s="1116"/>
      <c r="D3" s="1116"/>
      <c r="E3" s="1116"/>
      <c r="F3" s="1116"/>
      <c r="G3" s="1116"/>
      <c r="H3" s="1116"/>
      <c r="I3" s="1116"/>
      <c r="J3" s="1116"/>
      <c r="K3" s="1116"/>
      <c r="L3" s="1116"/>
      <c r="M3" s="1116"/>
    </row>
    <row r="4" spans="1:13" s="711" customFormat="1" ht="27.75" x14ac:dyDescent="0.5">
      <c r="A4" s="1117" t="str">
        <f>+งบรายจ่ายอื่น!A4</f>
        <v>ตั้งแต่วันที่ 1  ตุลาคม 2564 ถึงวันที่ 31 มกราคม 2565</v>
      </c>
      <c r="B4" s="1117"/>
      <c r="C4" s="1117"/>
      <c r="D4" s="1117"/>
      <c r="E4" s="1117"/>
      <c r="F4" s="1117"/>
      <c r="G4" s="1117"/>
      <c r="H4" s="1117"/>
      <c r="I4" s="1117"/>
      <c r="J4" s="1117"/>
      <c r="K4" s="1117"/>
      <c r="L4" s="1117"/>
      <c r="M4" s="1117"/>
    </row>
    <row r="5" spans="1:13" s="971" customFormat="1" x14ac:dyDescent="0.5">
      <c r="A5" s="969" t="s">
        <v>0</v>
      </c>
      <c r="B5" s="1118" t="s">
        <v>374</v>
      </c>
      <c r="C5" s="1118" t="s">
        <v>375</v>
      </c>
      <c r="D5" s="1118" t="s">
        <v>525</v>
      </c>
      <c r="E5" s="1120" t="s">
        <v>172</v>
      </c>
      <c r="F5" s="1118" t="s">
        <v>376</v>
      </c>
      <c r="G5" s="1112" t="s">
        <v>320</v>
      </c>
      <c r="H5" s="1118" t="s">
        <v>377</v>
      </c>
      <c r="I5" s="969" t="s">
        <v>17</v>
      </c>
      <c r="J5" s="1110" t="s">
        <v>535</v>
      </c>
      <c r="K5" s="969" t="s">
        <v>536</v>
      </c>
      <c r="L5" s="1112" t="s">
        <v>991</v>
      </c>
      <c r="M5" s="1114" t="s">
        <v>160</v>
      </c>
    </row>
    <row r="6" spans="1:13" s="971" customFormat="1" x14ac:dyDescent="0.5">
      <c r="A6" s="970" t="s">
        <v>58</v>
      </c>
      <c r="B6" s="1119"/>
      <c r="C6" s="1119"/>
      <c r="D6" s="1119"/>
      <c r="E6" s="1121"/>
      <c r="F6" s="1119"/>
      <c r="G6" s="1113"/>
      <c r="H6" s="1119"/>
      <c r="I6" s="970" t="s">
        <v>534</v>
      </c>
      <c r="J6" s="1111"/>
      <c r="K6" s="970" t="s">
        <v>81</v>
      </c>
      <c r="L6" s="1113"/>
      <c r="M6" s="1114"/>
    </row>
    <row r="7" spans="1:13" ht="54" customHeight="1" x14ac:dyDescent="0.5">
      <c r="A7" s="559">
        <v>1</v>
      </c>
      <c r="B7" s="560" t="s">
        <v>767</v>
      </c>
      <c r="C7" s="715">
        <v>1600600001</v>
      </c>
      <c r="D7" s="715">
        <v>6411320</v>
      </c>
      <c r="E7" s="788" t="s">
        <v>584</v>
      </c>
      <c r="F7" s="712">
        <v>2000536758</v>
      </c>
      <c r="G7" s="722" t="s">
        <v>592</v>
      </c>
      <c r="H7" s="714">
        <v>5141555</v>
      </c>
      <c r="I7" s="508">
        <f>+เงินกันปี64!I34</f>
        <v>0</v>
      </c>
      <c r="J7" s="508">
        <f t="shared" ref="J7:J22" si="0">+H7-I7</f>
        <v>5141555</v>
      </c>
      <c r="K7" s="510">
        <f t="shared" ref="K7:K24" si="1">+I7*100/H7</f>
        <v>0</v>
      </c>
      <c r="L7" s="791" t="s">
        <v>1026</v>
      </c>
      <c r="M7" s="922"/>
    </row>
    <row r="8" spans="1:13" ht="96" x14ac:dyDescent="0.5">
      <c r="A8" s="559">
        <v>2</v>
      </c>
      <c r="B8" s="560" t="s">
        <v>767</v>
      </c>
      <c r="C8" s="715">
        <v>1600600001</v>
      </c>
      <c r="D8" s="715">
        <v>6411320</v>
      </c>
      <c r="E8" s="788" t="s">
        <v>583</v>
      </c>
      <c r="F8" s="712">
        <v>2000544930</v>
      </c>
      <c r="G8" s="722" t="s">
        <v>904</v>
      </c>
      <c r="H8" s="714">
        <v>14508000</v>
      </c>
      <c r="I8" s="508">
        <f>+เงินกันปี64!I35</f>
        <v>0</v>
      </c>
      <c r="J8" s="508">
        <f t="shared" si="0"/>
        <v>14508000</v>
      </c>
      <c r="K8" s="510">
        <f t="shared" si="1"/>
        <v>0</v>
      </c>
      <c r="L8" s="791" t="s">
        <v>1027</v>
      </c>
      <c r="M8" s="922"/>
    </row>
    <row r="9" spans="1:13" ht="48" x14ac:dyDescent="0.5">
      <c r="A9" s="559">
        <v>3</v>
      </c>
      <c r="B9" s="560" t="s">
        <v>767</v>
      </c>
      <c r="C9" s="715">
        <v>1600600001</v>
      </c>
      <c r="D9" s="715">
        <v>6411320</v>
      </c>
      <c r="E9" s="788" t="s">
        <v>587</v>
      </c>
      <c r="F9" s="712">
        <v>2000544933</v>
      </c>
      <c r="G9" s="722" t="s">
        <v>595</v>
      </c>
      <c r="H9" s="714">
        <v>27525700</v>
      </c>
      <c r="I9" s="508">
        <f>+เงินกันปี64!I36</f>
        <v>11790000</v>
      </c>
      <c r="J9" s="508">
        <f t="shared" si="0"/>
        <v>15735700</v>
      </c>
      <c r="K9" s="510">
        <f t="shared" si="1"/>
        <v>42.832698169347189</v>
      </c>
      <c r="L9" s="791" t="s">
        <v>754</v>
      </c>
      <c r="M9" s="922"/>
    </row>
    <row r="10" spans="1:13" ht="52.5" customHeight="1" x14ac:dyDescent="0.5">
      <c r="A10" s="559">
        <v>4</v>
      </c>
      <c r="B10" s="560" t="s">
        <v>767</v>
      </c>
      <c r="C10" s="715">
        <v>1600600001</v>
      </c>
      <c r="D10" s="715">
        <v>6411320</v>
      </c>
      <c r="E10" s="788" t="s">
        <v>590</v>
      </c>
      <c r="F10" s="712">
        <v>2000544935</v>
      </c>
      <c r="G10" s="722" t="s">
        <v>598</v>
      </c>
      <c r="H10" s="714">
        <v>35709073</v>
      </c>
      <c r="I10" s="508">
        <f>+เงินกันปี64!I37</f>
        <v>0</v>
      </c>
      <c r="J10" s="508">
        <f t="shared" si="0"/>
        <v>35709073</v>
      </c>
      <c r="K10" s="510">
        <f t="shared" si="1"/>
        <v>0</v>
      </c>
      <c r="L10" s="791" t="s">
        <v>511</v>
      </c>
      <c r="M10" s="922"/>
    </row>
    <row r="11" spans="1:13" ht="51.75" customHeight="1" x14ac:dyDescent="0.5">
      <c r="A11" s="559">
        <v>5</v>
      </c>
      <c r="B11" s="560" t="s">
        <v>767</v>
      </c>
      <c r="C11" s="715">
        <v>1600600001</v>
      </c>
      <c r="D11" s="715">
        <v>6411320</v>
      </c>
      <c r="E11" s="788" t="s">
        <v>588</v>
      </c>
      <c r="F11" s="712">
        <v>2000545217</v>
      </c>
      <c r="G11" s="722" t="s">
        <v>596</v>
      </c>
      <c r="H11" s="714">
        <v>10872000</v>
      </c>
      <c r="I11" s="508">
        <f>+เงินกันปี64!I38</f>
        <v>3299200</v>
      </c>
      <c r="J11" s="508">
        <f t="shared" si="0"/>
        <v>7572800</v>
      </c>
      <c r="K11" s="510">
        <f t="shared" si="1"/>
        <v>30.345842531272996</v>
      </c>
      <c r="L11" s="791" t="s">
        <v>1028</v>
      </c>
      <c r="M11" s="922"/>
    </row>
    <row r="12" spans="1:13" s="57" customFormat="1" ht="34.5" customHeight="1" x14ac:dyDescent="0.5">
      <c r="A12" s="1122" t="s">
        <v>1009</v>
      </c>
      <c r="B12" s="1123"/>
      <c r="C12" s="1123"/>
      <c r="D12" s="1123"/>
      <c r="E12" s="1123"/>
      <c r="F12" s="1123"/>
      <c r="G12" s="1124"/>
      <c r="H12" s="968">
        <f>SUM(H7:H11)</f>
        <v>93756328</v>
      </c>
      <c r="I12" s="968">
        <f t="shared" ref="I12:J12" si="2">SUM(I7:I11)</f>
        <v>15089200</v>
      </c>
      <c r="J12" s="968">
        <f t="shared" si="2"/>
        <v>78667128</v>
      </c>
      <c r="K12" s="71">
        <f t="shared" si="1"/>
        <v>16.094060339052529</v>
      </c>
      <c r="L12" s="1046"/>
      <c r="M12" s="70"/>
    </row>
    <row r="13" spans="1:13" ht="72" x14ac:dyDescent="0.5">
      <c r="A13" s="559">
        <v>6</v>
      </c>
      <c r="B13" s="560" t="s">
        <v>385</v>
      </c>
      <c r="C13" s="715">
        <v>1600600052</v>
      </c>
      <c r="D13" s="715">
        <v>6411320</v>
      </c>
      <c r="E13" s="788" t="s">
        <v>580</v>
      </c>
      <c r="F13" s="712">
        <v>7015551847</v>
      </c>
      <c r="G13" s="722" t="s">
        <v>878</v>
      </c>
      <c r="H13" s="714">
        <v>869050</v>
      </c>
      <c r="I13" s="508">
        <f>+เงินกันปี64!I39</f>
        <v>467950</v>
      </c>
      <c r="J13" s="508">
        <f>+H13-I13</f>
        <v>401100</v>
      </c>
      <c r="K13" s="510">
        <f t="shared" si="1"/>
        <v>53.846153846153847</v>
      </c>
      <c r="L13" s="791" t="s">
        <v>755</v>
      </c>
      <c r="M13" s="922"/>
    </row>
    <row r="14" spans="1:13" ht="48" x14ac:dyDescent="0.5">
      <c r="A14" s="559">
        <v>7</v>
      </c>
      <c r="B14" s="560" t="s">
        <v>366</v>
      </c>
      <c r="C14" s="715">
        <v>1600600094</v>
      </c>
      <c r="D14" s="715">
        <v>6411320</v>
      </c>
      <c r="E14" s="788" t="s">
        <v>589</v>
      </c>
      <c r="F14" s="712">
        <v>2000488807</v>
      </c>
      <c r="G14" s="722" t="s">
        <v>597</v>
      </c>
      <c r="H14" s="714">
        <f>+เงินกันปี64!H40+เงินกันปี64!H41+เงินกันปี64!H42+เงินกันปี64!H43</f>
        <v>15048982.4</v>
      </c>
      <c r="I14" s="714">
        <f>+เงินกันปี64!I40+เงินกันปี64!I41+เงินกันปี64!I42+เงินกันปี64!I43</f>
        <v>1317568</v>
      </c>
      <c r="J14" s="508">
        <f t="shared" si="0"/>
        <v>13731414.4</v>
      </c>
      <c r="K14" s="510">
        <f t="shared" si="1"/>
        <v>8.7551966304379487</v>
      </c>
      <c r="L14" s="791" t="s">
        <v>756</v>
      </c>
      <c r="M14" s="922"/>
    </row>
    <row r="15" spans="1:13" ht="76.5" customHeight="1" x14ac:dyDescent="0.5">
      <c r="A15" s="559">
        <v>8</v>
      </c>
      <c r="B15" s="560" t="s">
        <v>771</v>
      </c>
      <c r="C15" s="715">
        <v>1600600100</v>
      </c>
      <c r="D15" s="715">
        <v>6411320</v>
      </c>
      <c r="E15" s="788" t="s">
        <v>570</v>
      </c>
      <c r="F15" s="712">
        <v>7015519780</v>
      </c>
      <c r="G15" s="722" t="s">
        <v>916</v>
      </c>
      <c r="H15" s="714">
        <v>5123000</v>
      </c>
      <c r="I15" s="508">
        <f>+เงินกันปี64!I44</f>
        <v>708500</v>
      </c>
      <c r="J15" s="508">
        <f t="shared" si="0"/>
        <v>4414500</v>
      </c>
      <c r="K15" s="510">
        <f t="shared" si="1"/>
        <v>13.829787234042554</v>
      </c>
      <c r="L15" s="791" t="s">
        <v>735</v>
      </c>
      <c r="M15" s="922"/>
    </row>
    <row r="16" spans="1:13" ht="54" customHeight="1" x14ac:dyDescent="0.5">
      <c r="A16" s="559">
        <v>9</v>
      </c>
      <c r="B16" s="560" t="s">
        <v>772</v>
      </c>
      <c r="C16" s="715">
        <v>1600600108</v>
      </c>
      <c r="D16" s="715">
        <v>6411320</v>
      </c>
      <c r="E16" s="788" t="s">
        <v>693</v>
      </c>
      <c r="F16" s="712">
        <v>7016565486</v>
      </c>
      <c r="G16" s="509" t="s">
        <v>694</v>
      </c>
      <c r="H16" s="714">
        <v>499000</v>
      </c>
      <c r="I16" s="508">
        <f>+เงินกันปี64!I45</f>
        <v>499000</v>
      </c>
      <c r="J16" s="508">
        <f t="shared" si="0"/>
        <v>0</v>
      </c>
      <c r="K16" s="510">
        <f t="shared" si="1"/>
        <v>100</v>
      </c>
      <c r="L16" s="791" t="s">
        <v>757</v>
      </c>
      <c r="M16" s="922"/>
    </row>
    <row r="17" spans="1:13" ht="51" customHeight="1" x14ac:dyDescent="0.5">
      <c r="A17" s="559">
        <v>10</v>
      </c>
      <c r="B17" s="560" t="s">
        <v>769</v>
      </c>
      <c r="C17" s="715">
        <v>1600600204</v>
      </c>
      <c r="D17" s="715">
        <v>6411320</v>
      </c>
      <c r="E17" s="561" t="s">
        <v>710</v>
      </c>
      <c r="F17" s="712">
        <v>7016760124</v>
      </c>
      <c r="G17" s="723" t="s">
        <v>713</v>
      </c>
      <c r="H17" s="714">
        <v>197393</v>
      </c>
      <c r="I17" s="508">
        <f>+เงินกันปี64!I46</f>
        <v>197393</v>
      </c>
      <c r="J17" s="508">
        <f t="shared" si="0"/>
        <v>0</v>
      </c>
      <c r="K17" s="510">
        <f t="shared" si="1"/>
        <v>100</v>
      </c>
      <c r="L17" s="791" t="s">
        <v>735</v>
      </c>
      <c r="M17" s="922"/>
    </row>
    <row r="18" spans="1:13" ht="51.75" customHeight="1" x14ac:dyDescent="0.5">
      <c r="A18" s="559">
        <v>11</v>
      </c>
      <c r="B18" s="560" t="s">
        <v>769</v>
      </c>
      <c r="C18" s="715">
        <v>1600600204</v>
      </c>
      <c r="D18" s="715">
        <v>6411320</v>
      </c>
      <c r="E18" s="561" t="s">
        <v>711</v>
      </c>
      <c r="F18" s="712">
        <v>7016957441</v>
      </c>
      <c r="G18" s="723" t="s">
        <v>714</v>
      </c>
      <c r="H18" s="714">
        <v>158161.69</v>
      </c>
      <c r="I18" s="508">
        <f>+เงินกันปี64!I47</f>
        <v>158161.69</v>
      </c>
      <c r="J18" s="508">
        <f t="shared" si="0"/>
        <v>0</v>
      </c>
      <c r="K18" s="510">
        <f t="shared" si="1"/>
        <v>100</v>
      </c>
      <c r="L18" s="791" t="s">
        <v>758</v>
      </c>
      <c r="M18" s="922"/>
    </row>
    <row r="19" spans="1:13" ht="51" customHeight="1" x14ac:dyDescent="0.5">
      <c r="A19" s="559">
        <v>12</v>
      </c>
      <c r="B19" s="560" t="s">
        <v>773</v>
      </c>
      <c r="C19" s="715">
        <v>1600600528</v>
      </c>
      <c r="D19" s="715">
        <v>6411320</v>
      </c>
      <c r="E19" s="561" t="s">
        <v>712</v>
      </c>
      <c r="F19" s="712">
        <v>7016838303</v>
      </c>
      <c r="G19" s="723" t="s">
        <v>715</v>
      </c>
      <c r="H19" s="714">
        <v>251500</v>
      </c>
      <c r="I19" s="508">
        <f>+เงินกันปี64!I48</f>
        <v>251500</v>
      </c>
      <c r="J19" s="508">
        <f t="shared" si="0"/>
        <v>0</v>
      </c>
      <c r="K19" s="510">
        <f t="shared" si="1"/>
        <v>100</v>
      </c>
      <c r="L19" s="791" t="s">
        <v>759</v>
      </c>
      <c r="M19" s="922"/>
    </row>
    <row r="20" spans="1:13" ht="52.5" customHeight="1" x14ac:dyDescent="0.5">
      <c r="A20" s="559">
        <v>13</v>
      </c>
      <c r="B20" s="560" t="s">
        <v>774</v>
      </c>
      <c r="C20" s="715">
        <v>1600600717</v>
      </c>
      <c r="D20" s="715">
        <v>6411320</v>
      </c>
      <c r="E20" s="561" t="s">
        <v>722</v>
      </c>
      <c r="F20" s="712">
        <v>7016897990</v>
      </c>
      <c r="G20" s="724" t="s">
        <v>724</v>
      </c>
      <c r="H20" s="714">
        <v>498125.23</v>
      </c>
      <c r="I20" s="508">
        <f>+เงินกันปี64!I49</f>
        <v>498125.23</v>
      </c>
      <c r="J20" s="508">
        <f t="shared" si="0"/>
        <v>0</v>
      </c>
      <c r="K20" s="510">
        <f t="shared" si="1"/>
        <v>100</v>
      </c>
      <c r="L20" s="791" t="s">
        <v>760</v>
      </c>
      <c r="M20" s="922"/>
    </row>
    <row r="21" spans="1:13" ht="28.5" customHeight="1" x14ac:dyDescent="0.5">
      <c r="A21" s="559">
        <v>14</v>
      </c>
      <c r="B21" s="560" t="s">
        <v>774</v>
      </c>
      <c r="C21" s="715">
        <v>1600600717</v>
      </c>
      <c r="D21" s="715">
        <v>6411320</v>
      </c>
      <c r="E21" s="561" t="s">
        <v>718</v>
      </c>
      <c r="F21" s="712">
        <v>7016930846</v>
      </c>
      <c r="G21" s="710" t="s">
        <v>719</v>
      </c>
      <c r="H21" s="714">
        <v>497832.5</v>
      </c>
      <c r="I21" s="508">
        <f>+เงินกันปี64!I50</f>
        <v>497832.5</v>
      </c>
      <c r="J21" s="508">
        <f t="shared" si="0"/>
        <v>0</v>
      </c>
      <c r="K21" s="510">
        <f t="shared" si="1"/>
        <v>100</v>
      </c>
      <c r="L21" s="791" t="s">
        <v>761</v>
      </c>
      <c r="M21" s="922"/>
    </row>
    <row r="22" spans="1:13" ht="48" x14ac:dyDescent="0.5">
      <c r="A22" s="559">
        <v>15</v>
      </c>
      <c r="B22" s="560" t="s">
        <v>774</v>
      </c>
      <c r="C22" s="715">
        <v>1600600717</v>
      </c>
      <c r="D22" s="715">
        <v>6411320</v>
      </c>
      <c r="E22" s="561" t="s">
        <v>721</v>
      </c>
      <c r="F22" s="712">
        <v>7016956119</v>
      </c>
      <c r="G22" s="724" t="s">
        <v>723</v>
      </c>
      <c r="H22" s="714">
        <v>498000</v>
      </c>
      <c r="I22" s="508">
        <f>+เงินกันปี64!I51</f>
        <v>498000</v>
      </c>
      <c r="J22" s="508">
        <f t="shared" si="0"/>
        <v>0</v>
      </c>
      <c r="K22" s="510">
        <f t="shared" si="1"/>
        <v>100</v>
      </c>
      <c r="L22" s="791" t="s">
        <v>758</v>
      </c>
      <c r="M22" s="922"/>
    </row>
    <row r="23" spans="1:13" s="967" customFormat="1" ht="32.25" customHeight="1" x14ac:dyDescent="0.5">
      <c r="A23" s="1122" t="s">
        <v>1010</v>
      </c>
      <c r="B23" s="1123"/>
      <c r="C23" s="1123"/>
      <c r="D23" s="1123"/>
      <c r="E23" s="1123"/>
      <c r="F23" s="1123"/>
      <c r="G23" s="1124"/>
      <c r="H23" s="965">
        <f>SUM(H13:H22)</f>
        <v>23641044.82</v>
      </c>
      <c r="I23" s="965">
        <f t="shared" ref="I23:J23" si="3">SUM(I13:I22)</f>
        <v>5094030.42</v>
      </c>
      <c r="J23" s="965">
        <f t="shared" si="3"/>
        <v>18547014.399999999</v>
      </c>
      <c r="K23" s="819">
        <f t="shared" si="1"/>
        <v>21.547399697370906</v>
      </c>
      <c r="L23" s="966"/>
      <c r="M23" s="954"/>
    </row>
    <row r="24" spans="1:13" s="142" customFormat="1" ht="36.75" customHeight="1" x14ac:dyDescent="0.5">
      <c r="A24" s="1115" t="s">
        <v>533</v>
      </c>
      <c r="B24" s="1115"/>
      <c r="C24" s="1115"/>
      <c r="D24" s="1115"/>
      <c r="E24" s="1115"/>
      <c r="F24" s="1115"/>
      <c r="G24" s="1115"/>
      <c r="H24" s="1004">
        <f>+H12+H23</f>
        <v>117397372.81999999</v>
      </c>
      <c r="I24" s="1004">
        <f t="shared" ref="I24:J24" si="4">+I12+I23</f>
        <v>20183230.420000002</v>
      </c>
      <c r="J24" s="1004">
        <f t="shared" si="4"/>
        <v>97214142.400000006</v>
      </c>
      <c r="K24" s="101">
        <f t="shared" si="1"/>
        <v>17.192233467563216</v>
      </c>
      <c r="L24" s="1005"/>
      <c r="M24" s="200"/>
    </row>
    <row r="25" spans="1:13" hidden="1" x14ac:dyDescent="0.5">
      <c r="A25" s="559"/>
      <c r="B25" s="560"/>
      <c r="C25" s="559"/>
      <c r="D25" s="559"/>
      <c r="E25" s="561"/>
      <c r="F25" s="559"/>
      <c r="G25" s="511" t="s">
        <v>11</v>
      </c>
      <c r="H25" s="923" t="e">
        <f>+#REF!+#REF!+#REF!+#REF!+#REF!+#REF!+#REF!+#REF!+#REF!+#REF!+#REF!</f>
        <v>#REF!</v>
      </c>
      <c r="I25" s="923" t="e">
        <f>+#REF!+#REF!+#REF!+#REF!+#REF!+#REF!+#REF!+#REF!+#REF!+#REF!+#REF!</f>
        <v>#REF!</v>
      </c>
      <c r="J25" s="923" t="e">
        <f>+#REF!+#REF!+#REF!+#REF!+#REF!+#REF!+#REF!+#REF!+#REF!+#REF!+#REF!</f>
        <v>#REF!</v>
      </c>
      <c r="K25" s="922"/>
      <c r="L25" s="924" t="e">
        <f>+I25/1000000</f>
        <v>#REF!</v>
      </c>
    </row>
    <row r="26" spans="1:13" hidden="1" x14ac:dyDescent="0.5">
      <c r="A26" s="559"/>
      <c r="B26" s="560"/>
      <c r="C26" s="559"/>
      <c r="D26" s="559"/>
      <c r="E26" s="561"/>
      <c r="F26" s="559"/>
      <c r="G26" s="511" t="s">
        <v>977</v>
      </c>
      <c r="H26" s="506" t="e">
        <f>+H7+H8+H9+H10+H11+H13+H14+#REF!+#REF!+#REF!+H15+H16+H17+H18+H19+H20+H21+H22</f>
        <v>#REF!</v>
      </c>
      <c r="I26" s="506" t="e">
        <f>+I7+I8+I9+I10+I11+I13+I14+#REF!+#REF!+#REF!+I15+I16+I17+I18+I19+I20+I21+I22</f>
        <v>#REF!</v>
      </c>
      <c r="J26" s="506" t="e">
        <f>+J7+J8+J9+J10+J11+J13+J14+#REF!+#REF!+#REF!+J15+J16+J17+J18+J19+J20+J21+J22</f>
        <v>#REF!</v>
      </c>
      <c r="K26" s="922"/>
      <c r="L26" s="924" t="e">
        <f t="shared" ref="L26:L27" si="5">+I26/1000000</f>
        <v>#REF!</v>
      </c>
    </row>
    <row r="27" spans="1:13" hidden="1" x14ac:dyDescent="0.5">
      <c r="A27" s="559"/>
      <c r="B27" s="560"/>
      <c r="C27" s="559"/>
      <c r="D27" s="559"/>
      <c r="E27" s="561"/>
      <c r="F27" s="559"/>
      <c r="G27" s="511" t="s">
        <v>533</v>
      </c>
      <c r="H27" s="923" t="e">
        <f>SUM(H25:H26)</f>
        <v>#REF!</v>
      </c>
      <c r="I27" s="923" t="e">
        <f t="shared" ref="I27:J27" si="6">SUM(I25:I26)</f>
        <v>#REF!</v>
      </c>
      <c r="J27" s="923" t="e">
        <f t="shared" si="6"/>
        <v>#REF!</v>
      </c>
      <c r="K27" s="922"/>
      <c r="L27" s="924" t="e">
        <f t="shared" si="5"/>
        <v>#REF!</v>
      </c>
    </row>
    <row r="28" spans="1:13" hidden="1" x14ac:dyDescent="0.5">
      <c r="L28" s="924"/>
    </row>
    <row r="29" spans="1:13" hidden="1" x14ac:dyDescent="0.5"/>
    <row r="30" spans="1:13" hidden="1" x14ac:dyDescent="0.5"/>
  </sheetData>
  <mergeCells count="17">
    <mergeCell ref="A23:G23"/>
    <mergeCell ref="J5:J6"/>
    <mergeCell ref="L5:L6"/>
    <mergeCell ref="M5:M6"/>
    <mergeCell ref="A24:G24"/>
    <mergeCell ref="A1:M1"/>
    <mergeCell ref="A2:M2"/>
    <mergeCell ref="A4:M4"/>
    <mergeCell ref="B5:B6"/>
    <mergeCell ref="C5:C6"/>
    <mergeCell ref="D5:D6"/>
    <mergeCell ref="E5:E6"/>
    <mergeCell ref="F5:F6"/>
    <mergeCell ref="G5:G6"/>
    <mergeCell ref="H5:H6"/>
    <mergeCell ref="A3:M3"/>
    <mergeCell ref="A12:G12"/>
  </mergeCells>
  <printOptions horizontalCentered="1"/>
  <pageMargins left="0.23622047244094491" right="0" top="0.74803149606299213" bottom="0.74803149606299213" header="0.31496062992125984" footer="0.31496062992125984"/>
  <pageSetup paperSize="5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1EB1C-A58C-4803-95A0-9B2550AF35E8}">
  <sheetPr>
    <tabColor theme="5" tint="-0.249977111117893"/>
  </sheetPr>
  <dimension ref="A1:O98"/>
  <sheetViews>
    <sheetView topLeftCell="A5" zoomScale="70" zoomScaleNormal="70" workbookViewId="0">
      <pane ySplit="1290" topLeftCell="A28" activePane="bottomLeft"/>
      <selection activeCell="F6" sqref="F1:F1048576"/>
      <selection pane="bottomLeft" activeCell="E30" sqref="E30"/>
    </sheetView>
  </sheetViews>
  <sheetFormatPr defaultRowHeight="24" x14ac:dyDescent="0.5"/>
  <cols>
    <col min="1" max="1" width="6.85546875" style="594" customWidth="1"/>
    <col min="2" max="2" width="19.5703125" style="680" hidden="1" customWidth="1"/>
    <col min="3" max="3" width="6.42578125" style="750" customWidth="1"/>
    <col min="4" max="4" width="68" style="663" customWidth="1"/>
    <col min="5" max="5" width="18.28515625" style="596" customWidth="1"/>
    <col min="6" max="6" width="18.28515625" style="596" hidden="1" customWidth="1"/>
    <col min="7" max="7" width="18.28515625" style="742" customWidth="1"/>
    <col min="8" max="10" width="18.28515625" style="596" customWidth="1"/>
    <col min="11" max="11" width="18.28515625" style="742" customWidth="1"/>
    <col min="12" max="12" width="11.5703125" style="742" bestFit="1" customWidth="1"/>
    <col min="13" max="13" width="16" style="742" customWidth="1"/>
    <col min="14" max="14" width="22.42578125" style="742" hidden="1" customWidth="1"/>
    <col min="15" max="15" width="34.5703125" style="663" customWidth="1"/>
    <col min="16" max="92" width="9.140625" style="596" customWidth="1"/>
    <col min="93" max="16384" width="9.140625" style="596"/>
  </cols>
  <sheetData>
    <row r="1" spans="1:15" ht="30.75" x14ac:dyDescent="0.5">
      <c r="A1" s="1137" t="s">
        <v>57</v>
      </c>
      <c r="B1" s="1137"/>
      <c r="C1" s="1137"/>
      <c r="D1" s="1137"/>
      <c r="E1" s="1137"/>
      <c r="F1" s="1137"/>
      <c r="G1" s="1137"/>
      <c r="H1" s="1137"/>
      <c r="I1" s="1137"/>
      <c r="J1" s="1137"/>
      <c r="K1" s="1137"/>
      <c r="L1" s="1137"/>
      <c r="M1" s="1137"/>
      <c r="N1" s="1137"/>
      <c r="O1" s="1137"/>
    </row>
    <row r="2" spans="1:15" ht="30.75" x14ac:dyDescent="0.5">
      <c r="A2" s="1137" t="s">
        <v>875</v>
      </c>
      <c r="B2" s="1137"/>
      <c r="C2" s="1137"/>
      <c r="D2" s="1137"/>
      <c r="E2" s="1137"/>
      <c r="F2" s="1137"/>
      <c r="G2" s="1137"/>
      <c r="H2" s="1137"/>
      <c r="I2" s="1137"/>
      <c r="J2" s="1137"/>
      <c r="K2" s="1137"/>
      <c r="L2" s="1137"/>
      <c r="M2" s="1137"/>
      <c r="N2" s="1137"/>
      <c r="O2" s="1137"/>
    </row>
    <row r="3" spans="1:15" ht="30.75" x14ac:dyDescent="0.5">
      <c r="A3" s="1137" t="s">
        <v>1003</v>
      </c>
      <c r="B3" s="1137"/>
      <c r="C3" s="1137"/>
      <c r="D3" s="1137"/>
      <c r="E3" s="1137"/>
      <c r="F3" s="1137"/>
      <c r="G3" s="1137"/>
      <c r="H3" s="1137"/>
      <c r="I3" s="1137"/>
      <c r="J3" s="1137"/>
      <c r="K3" s="1137"/>
      <c r="L3" s="1137"/>
      <c r="M3" s="1137"/>
      <c r="N3" s="1137"/>
      <c r="O3" s="1137"/>
    </row>
    <row r="4" spans="1:15" ht="30.75" x14ac:dyDescent="0.5">
      <c r="A4" s="1138" t="str">
        <f>+รายจ่ายจริง!A3:P3</f>
        <v>ตั้งแต่วันที่ 1  ตุลาคม 2564 ถึงวันที่ 31 มกราคม 2565</v>
      </c>
      <c r="B4" s="1138"/>
      <c r="C4" s="1138"/>
      <c r="D4" s="1138"/>
      <c r="E4" s="1138"/>
      <c r="F4" s="1138"/>
      <c r="G4" s="1138"/>
      <c r="H4" s="1138"/>
      <c r="I4" s="1138"/>
      <c r="J4" s="1138"/>
      <c r="K4" s="1138"/>
      <c r="L4" s="1138"/>
      <c r="M4" s="1138"/>
      <c r="N4" s="1138"/>
      <c r="O4" s="1138"/>
    </row>
    <row r="5" spans="1:15" x14ac:dyDescent="0.5">
      <c r="A5" s="754" t="s">
        <v>0</v>
      </c>
      <c r="B5" s="755"/>
      <c r="C5" s="1139" t="s">
        <v>58</v>
      </c>
      <c r="D5" s="1140"/>
      <c r="E5" s="1145" t="s">
        <v>59</v>
      </c>
      <c r="F5" s="1146"/>
      <c r="G5" s="1147"/>
      <c r="H5" s="756" t="s">
        <v>161</v>
      </c>
      <c r="I5" s="756" t="s">
        <v>17</v>
      </c>
      <c r="J5" s="756" t="s">
        <v>62</v>
      </c>
      <c r="K5" s="756" t="s">
        <v>535</v>
      </c>
      <c r="L5" s="757" t="s">
        <v>81</v>
      </c>
      <c r="M5" s="781" t="s">
        <v>81</v>
      </c>
      <c r="N5" s="743"/>
      <c r="O5" s="1148" t="s">
        <v>160</v>
      </c>
    </row>
    <row r="6" spans="1:15" ht="32.25" customHeight="1" x14ac:dyDescent="0.5">
      <c r="A6" s="758" t="s">
        <v>591</v>
      </c>
      <c r="B6" s="759" t="s">
        <v>172</v>
      </c>
      <c r="C6" s="1141"/>
      <c r="D6" s="1142"/>
      <c r="E6" s="647" t="s">
        <v>624</v>
      </c>
      <c r="F6" s="647" t="s">
        <v>699</v>
      </c>
      <c r="G6" s="647" t="s">
        <v>602</v>
      </c>
      <c r="H6" s="760" t="s">
        <v>642</v>
      </c>
      <c r="I6" s="760" t="s">
        <v>2</v>
      </c>
      <c r="J6" s="1009" t="s">
        <v>71</v>
      </c>
      <c r="K6" s="1009" t="s">
        <v>98</v>
      </c>
      <c r="L6" s="761" t="s">
        <v>600</v>
      </c>
      <c r="M6" s="782" t="s">
        <v>600</v>
      </c>
      <c r="N6" s="744"/>
      <c r="O6" s="1149"/>
    </row>
    <row r="7" spans="1:15" ht="32.25" customHeight="1" x14ac:dyDescent="0.5">
      <c r="A7" s="762"/>
      <c r="B7" s="763"/>
      <c r="C7" s="1143"/>
      <c r="D7" s="1144"/>
      <c r="E7" s="649" t="s">
        <v>337</v>
      </c>
      <c r="F7" s="649" t="s">
        <v>338</v>
      </c>
      <c r="G7" s="649" t="s">
        <v>338</v>
      </c>
      <c r="H7" s="649" t="s">
        <v>339</v>
      </c>
      <c r="I7" s="649" t="s">
        <v>340</v>
      </c>
      <c r="J7" s="649" t="s">
        <v>849</v>
      </c>
      <c r="K7" s="649" t="s">
        <v>846</v>
      </c>
      <c r="L7" s="753" t="s">
        <v>61</v>
      </c>
      <c r="M7" s="650" t="s">
        <v>630</v>
      </c>
      <c r="N7" s="745"/>
      <c r="O7" s="1150"/>
    </row>
    <row r="8" spans="1:15" s="742" customFormat="1" ht="76.5" customHeight="1" x14ac:dyDescent="0.5">
      <c r="A8" s="951">
        <v>1</v>
      </c>
      <c r="B8" s="1127" t="s">
        <v>1017</v>
      </c>
      <c r="C8" s="1128"/>
      <c r="D8" s="1129"/>
      <c r="E8" s="659">
        <f>SUM(E9:E28)</f>
        <v>27161300</v>
      </c>
      <c r="F8" s="659">
        <f t="shared" ref="F8:K8" si="0">SUM(F9:F28)</f>
        <v>27161300</v>
      </c>
      <c r="G8" s="659">
        <f t="shared" si="0"/>
        <v>25864315</v>
      </c>
      <c r="H8" s="659">
        <f t="shared" si="0"/>
        <v>15462850</v>
      </c>
      <c r="I8" s="659">
        <f t="shared" si="0"/>
        <v>2977572.92</v>
      </c>
      <c r="J8" s="659">
        <f t="shared" si="0"/>
        <v>24681175</v>
      </c>
      <c r="K8" s="659">
        <f t="shared" si="0"/>
        <v>9218325</v>
      </c>
      <c r="L8" s="659">
        <f>+I8*100/G8</f>
        <v>11.512282154002532</v>
      </c>
      <c r="M8" s="651">
        <f>+N8*100/E8</f>
        <v>67.892269221281765</v>
      </c>
      <c r="N8" s="651">
        <f t="shared" ref="N8:N43" si="1">+H8+I8</f>
        <v>18440422.920000002</v>
      </c>
      <c r="O8" s="654"/>
    </row>
    <row r="9" spans="1:15" s="661" customFormat="1" ht="48" x14ac:dyDescent="0.5">
      <c r="A9" s="748"/>
      <c r="B9" s="741" t="s">
        <v>570</v>
      </c>
      <c r="C9" s="958">
        <v>1</v>
      </c>
      <c r="D9" s="890" t="s">
        <v>883</v>
      </c>
      <c r="E9" s="590">
        <v>252900</v>
      </c>
      <c r="F9" s="590">
        <v>252900</v>
      </c>
      <c r="G9" s="590">
        <v>252900</v>
      </c>
      <c r="H9" s="656">
        <f>+งบลงทุน!H10</f>
        <v>0</v>
      </c>
      <c r="I9" s="656">
        <f>+งบลงทุน!I10</f>
        <v>233500</v>
      </c>
      <c r="J9" s="746">
        <f>+E9-I9</f>
        <v>19400</v>
      </c>
      <c r="K9" s="651">
        <f>+E9-H9-I9</f>
        <v>19400</v>
      </c>
      <c r="L9" s="659">
        <f t="shared" ref="L9:L37" si="2">+I9*100/E9</f>
        <v>92.328983788058522</v>
      </c>
      <c r="M9" s="651">
        <f t="shared" ref="M9:M37" si="3">+N9*100/E9</f>
        <v>92.328983788058522</v>
      </c>
      <c r="N9" s="651">
        <f t="shared" si="1"/>
        <v>233500</v>
      </c>
      <c r="O9" s="818" t="s">
        <v>662</v>
      </c>
    </row>
    <row r="10" spans="1:15" s="661" customFormat="1" ht="48" x14ac:dyDescent="0.5">
      <c r="A10" s="748"/>
      <c r="B10" s="741" t="s">
        <v>571</v>
      </c>
      <c r="C10" s="958">
        <v>2</v>
      </c>
      <c r="D10" s="890" t="s">
        <v>978</v>
      </c>
      <c r="E10" s="590">
        <v>5026400</v>
      </c>
      <c r="F10" s="590">
        <v>5026400</v>
      </c>
      <c r="G10" s="590">
        <v>5026400</v>
      </c>
      <c r="H10" s="656">
        <f>+งบลงทุน!H11</f>
        <v>4993100</v>
      </c>
      <c r="I10" s="656">
        <f>+งบลงทุน!I11</f>
        <v>0</v>
      </c>
      <c r="J10" s="746">
        <f t="shared" ref="J10:J26" si="4">+E10-I10</f>
        <v>5026400</v>
      </c>
      <c r="K10" s="651">
        <f t="shared" ref="K10:K26" si="5">+E10-H10-I10</f>
        <v>33300</v>
      </c>
      <c r="L10" s="659">
        <f t="shared" si="2"/>
        <v>0</v>
      </c>
      <c r="M10" s="651">
        <f t="shared" si="3"/>
        <v>99.337498010504532</v>
      </c>
      <c r="N10" s="651">
        <f t="shared" si="1"/>
        <v>4993100</v>
      </c>
      <c r="O10" s="818" t="s">
        <v>662</v>
      </c>
    </row>
    <row r="11" spans="1:15" s="661" customFormat="1" ht="72" x14ac:dyDescent="0.5">
      <c r="A11" s="748"/>
      <c r="B11" s="741" t="s">
        <v>572</v>
      </c>
      <c r="C11" s="958">
        <v>3</v>
      </c>
      <c r="D11" s="890" t="s">
        <v>884</v>
      </c>
      <c r="E11" s="590">
        <v>4032000</v>
      </c>
      <c r="F11" s="590">
        <v>4032000</v>
      </c>
      <c r="G11" s="590">
        <v>4032000</v>
      </c>
      <c r="H11" s="656">
        <f>+งบลงทุน!H12</f>
        <v>0</v>
      </c>
      <c r="I11" s="656">
        <f>+งบลงทุน!I12</f>
        <v>0</v>
      </c>
      <c r="J11" s="746">
        <f t="shared" si="4"/>
        <v>4032000</v>
      </c>
      <c r="K11" s="651">
        <f t="shared" si="5"/>
        <v>4032000</v>
      </c>
      <c r="L11" s="651">
        <f t="shared" si="2"/>
        <v>0</v>
      </c>
      <c r="M11" s="651">
        <f t="shared" si="3"/>
        <v>0</v>
      </c>
      <c r="N11" s="651">
        <f t="shared" si="1"/>
        <v>0</v>
      </c>
      <c r="O11" s="817" t="s">
        <v>1023</v>
      </c>
    </row>
    <row r="12" spans="1:15" s="661" customFormat="1" ht="48" x14ac:dyDescent="0.5">
      <c r="A12" s="748"/>
      <c r="B12" s="741" t="s">
        <v>573</v>
      </c>
      <c r="C12" s="958">
        <v>4</v>
      </c>
      <c r="D12" s="890" t="s">
        <v>885</v>
      </c>
      <c r="E12" s="590">
        <v>1948000</v>
      </c>
      <c r="F12" s="590">
        <v>1948000</v>
      </c>
      <c r="G12" s="590">
        <v>1948000</v>
      </c>
      <c r="H12" s="656">
        <f>+งบลงทุน!H13</f>
        <v>0</v>
      </c>
      <c r="I12" s="656">
        <f>+งบลงทุน!I13</f>
        <v>0</v>
      </c>
      <c r="J12" s="746">
        <f t="shared" si="4"/>
        <v>1948000</v>
      </c>
      <c r="K12" s="651">
        <f t="shared" si="5"/>
        <v>1948000</v>
      </c>
      <c r="L12" s="651">
        <f t="shared" si="2"/>
        <v>0</v>
      </c>
      <c r="M12" s="651">
        <f t="shared" si="3"/>
        <v>0</v>
      </c>
      <c r="N12" s="651">
        <f t="shared" si="1"/>
        <v>0</v>
      </c>
      <c r="O12" s="818" t="s">
        <v>662</v>
      </c>
    </row>
    <row r="13" spans="1:15" s="661" customFormat="1" ht="48" x14ac:dyDescent="0.5">
      <c r="A13" s="748"/>
      <c r="B13" s="741" t="s">
        <v>574</v>
      </c>
      <c r="C13" s="958">
        <v>5</v>
      </c>
      <c r="D13" s="890" t="s">
        <v>886</v>
      </c>
      <c r="E13" s="590">
        <v>2245000</v>
      </c>
      <c r="F13" s="590">
        <v>2245000</v>
      </c>
      <c r="G13" s="590">
        <v>2245000</v>
      </c>
      <c r="H13" s="656">
        <f>+งบลงทุน!H14</f>
        <v>1757000</v>
      </c>
      <c r="I13" s="656">
        <f>+งบลงทุน!I14</f>
        <v>0</v>
      </c>
      <c r="J13" s="746">
        <f t="shared" si="4"/>
        <v>2245000</v>
      </c>
      <c r="K13" s="651">
        <f t="shared" si="5"/>
        <v>488000</v>
      </c>
      <c r="L13" s="651">
        <f t="shared" si="2"/>
        <v>0</v>
      </c>
      <c r="M13" s="651">
        <f t="shared" si="3"/>
        <v>78.262806236080181</v>
      </c>
      <c r="N13" s="651">
        <f t="shared" si="1"/>
        <v>1757000</v>
      </c>
      <c r="O13" s="818" t="s">
        <v>662</v>
      </c>
    </row>
    <row r="14" spans="1:15" s="661" customFormat="1" ht="48" x14ac:dyDescent="0.5">
      <c r="A14" s="748"/>
      <c r="B14" s="741" t="s">
        <v>575</v>
      </c>
      <c r="C14" s="958">
        <v>6</v>
      </c>
      <c r="D14" s="890" t="s">
        <v>887</v>
      </c>
      <c r="E14" s="590">
        <v>1397000</v>
      </c>
      <c r="F14" s="590">
        <v>1397000</v>
      </c>
      <c r="G14" s="590">
        <v>1397000</v>
      </c>
      <c r="H14" s="656">
        <f>+งบลงทุน!H15</f>
        <v>1038750</v>
      </c>
      <c r="I14" s="656">
        <f>+งบลงทุน!I15</f>
        <v>346250</v>
      </c>
      <c r="J14" s="746">
        <f t="shared" si="4"/>
        <v>1050750</v>
      </c>
      <c r="K14" s="651">
        <f t="shared" si="5"/>
        <v>12000</v>
      </c>
      <c r="L14" s="651">
        <f t="shared" si="2"/>
        <v>24.785254115962779</v>
      </c>
      <c r="M14" s="651">
        <f t="shared" si="3"/>
        <v>99.141016463851116</v>
      </c>
      <c r="N14" s="651">
        <f t="shared" si="1"/>
        <v>1385000</v>
      </c>
      <c r="O14" s="818" t="s">
        <v>662</v>
      </c>
    </row>
    <row r="15" spans="1:15" s="661" customFormat="1" ht="48" x14ac:dyDescent="0.5">
      <c r="A15" s="748"/>
      <c r="B15" s="741" t="s">
        <v>576</v>
      </c>
      <c r="C15" s="958">
        <v>7</v>
      </c>
      <c r="D15" s="890" t="s">
        <v>888</v>
      </c>
      <c r="E15" s="590">
        <v>210000</v>
      </c>
      <c r="F15" s="590">
        <v>210000</v>
      </c>
      <c r="G15" s="590">
        <v>210000</v>
      </c>
      <c r="H15" s="656">
        <f>+งบลงทุน!H16</f>
        <v>0</v>
      </c>
      <c r="I15" s="656">
        <f>+งบลงทุน!I16</f>
        <v>210000</v>
      </c>
      <c r="J15" s="746">
        <f t="shared" si="4"/>
        <v>0</v>
      </c>
      <c r="K15" s="651">
        <f t="shared" si="5"/>
        <v>0</v>
      </c>
      <c r="L15" s="651">
        <f t="shared" si="2"/>
        <v>100</v>
      </c>
      <c r="M15" s="651">
        <f t="shared" si="3"/>
        <v>100</v>
      </c>
      <c r="N15" s="651">
        <f t="shared" si="1"/>
        <v>210000</v>
      </c>
      <c r="O15" s="818" t="s">
        <v>662</v>
      </c>
    </row>
    <row r="16" spans="1:15" s="661" customFormat="1" ht="48" x14ac:dyDescent="0.5">
      <c r="A16" s="748"/>
      <c r="B16" s="741" t="s">
        <v>577</v>
      </c>
      <c r="C16" s="958">
        <v>8</v>
      </c>
      <c r="D16" s="890" t="s">
        <v>889</v>
      </c>
      <c r="E16" s="590">
        <v>441400</v>
      </c>
      <c r="F16" s="590">
        <v>441400</v>
      </c>
      <c r="G16" s="590">
        <v>441400</v>
      </c>
      <c r="H16" s="656">
        <f>+งบลงทุน!H17</f>
        <v>0</v>
      </c>
      <c r="I16" s="656">
        <f>+งบลงทุน!I17</f>
        <v>441375</v>
      </c>
      <c r="J16" s="746">
        <f t="shared" si="4"/>
        <v>25</v>
      </c>
      <c r="K16" s="651">
        <f t="shared" si="5"/>
        <v>25</v>
      </c>
      <c r="L16" s="651">
        <f t="shared" si="2"/>
        <v>99.994336202990482</v>
      </c>
      <c r="M16" s="651">
        <f t="shared" si="3"/>
        <v>99.994336202990482</v>
      </c>
      <c r="N16" s="651">
        <f t="shared" si="1"/>
        <v>441375</v>
      </c>
      <c r="O16" s="818" t="s">
        <v>662</v>
      </c>
    </row>
    <row r="17" spans="1:15" s="661" customFormat="1" ht="48" x14ac:dyDescent="0.5">
      <c r="A17" s="748"/>
      <c r="B17" s="741" t="s">
        <v>578</v>
      </c>
      <c r="C17" s="958">
        <v>9</v>
      </c>
      <c r="D17" s="890" t="s">
        <v>890</v>
      </c>
      <c r="E17" s="590">
        <v>75600</v>
      </c>
      <c r="F17" s="590">
        <v>75600</v>
      </c>
      <c r="G17" s="590">
        <v>75600</v>
      </c>
      <c r="H17" s="656">
        <f>+งบลงทุน!H18</f>
        <v>0</v>
      </c>
      <c r="I17" s="656">
        <f>+งบลงทุน!I18</f>
        <v>0</v>
      </c>
      <c r="J17" s="746">
        <f t="shared" si="4"/>
        <v>75600</v>
      </c>
      <c r="K17" s="651">
        <f t="shared" si="5"/>
        <v>75600</v>
      </c>
      <c r="L17" s="651">
        <f t="shared" si="2"/>
        <v>0</v>
      </c>
      <c r="M17" s="651">
        <f t="shared" si="3"/>
        <v>0</v>
      </c>
      <c r="N17" s="651">
        <f t="shared" si="1"/>
        <v>0</v>
      </c>
      <c r="O17" s="818" t="s">
        <v>662</v>
      </c>
    </row>
    <row r="18" spans="1:15" s="661" customFormat="1" ht="48" x14ac:dyDescent="0.5">
      <c r="A18" s="748"/>
      <c r="B18" s="741" t="s">
        <v>579</v>
      </c>
      <c r="C18" s="958">
        <v>10</v>
      </c>
      <c r="D18" s="890" t="s">
        <v>891</v>
      </c>
      <c r="E18" s="590">
        <v>275100</v>
      </c>
      <c r="F18" s="590">
        <v>275100</v>
      </c>
      <c r="G18" s="590">
        <v>275100</v>
      </c>
      <c r="H18" s="656">
        <f>+งบลงทุน!H19</f>
        <v>275100</v>
      </c>
      <c r="I18" s="656">
        <f>+งบลงทุน!I19</f>
        <v>0</v>
      </c>
      <c r="J18" s="746">
        <f t="shared" si="4"/>
        <v>275100</v>
      </c>
      <c r="K18" s="651">
        <f t="shared" si="5"/>
        <v>0</v>
      </c>
      <c r="L18" s="651">
        <f t="shared" si="2"/>
        <v>0</v>
      </c>
      <c r="M18" s="651">
        <f t="shared" si="3"/>
        <v>100</v>
      </c>
      <c r="N18" s="651">
        <f t="shared" si="1"/>
        <v>275100</v>
      </c>
      <c r="O18" s="818" t="s">
        <v>662</v>
      </c>
    </row>
    <row r="19" spans="1:15" s="661" customFormat="1" ht="55.5" customHeight="1" x14ac:dyDescent="0.5">
      <c r="A19" s="748"/>
      <c r="B19" s="741" t="s">
        <v>639</v>
      </c>
      <c r="C19" s="958">
        <v>11</v>
      </c>
      <c r="D19" s="890" t="s">
        <v>892</v>
      </c>
      <c r="E19" s="590">
        <v>6047000</v>
      </c>
      <c r="F19" s="590">
        <v>6047000</v>
      </c>
      <c r="G19" s="590">
        <v>6047000</v>
      </c>
      <c r="H19" s="656">
        <f>+งบลงทุน!H20</f>
        <v>6040000</v>
      </c>
      <c r="I19" s="656">
        <f>+งบลงทุน!I20</f>
        <v>0</v>
      </c>
      <c r="J19" s="746">
        <f t="shared" si="4"/>
        <v>6047000</v>
      </c>
      <c r="K19" s="651">
        <f t="shared" si="5"/>
        <v>7000</v>
      </c>
      <c r="L19" s="651">
        <f t="shared" si="2"/>
        <v>0</v>
      </c>
      <c r="M19" s="651">
        <f t="shared" si="3"/>
        <v>99.8842401190673</v>
      </c>
      <c r="N19" s="651">
        <f t="shared" si="1"/>
        <v>6040000</v>
      </c>
      <c r="O19" s="818" t="s">
        <v>662</v>
      </c>
    </row>
    <row r="20" spans="1:15" s="661" customFormat="1" ht="48" x14ac:dyDescent="0.5">
      <c r="A20" s="748"/>
      <c r="B20" s="741" t="s">
        <v>640</v>
      </c>
      <c r="C20" s="958">
        <v>12</v>
      </c>
      <c r="D20" s="890" t="s">
        <v>893</v>
      </c>
      <c r="E20" s="590">
        <v>965000</v>
      </c>
      <c r="F20" s="590">
        <v>965000</v>
      </c>
      <c r="G20" s="590">
        <v>965000</v>
      </c>
      <c r="H20" s="656">
        <f>+งบลงทุน!H21</f>
        <v>887000</v>
      </c>
      <c r="I20" s="656">
        <f>+งบลงทุน!I21</f>
        <v>0</v>
      </c>
      <c r="J20" s="746">
        <f t="shared" si="4"/>
        <v>965000</v>
      </c>
      <c r="K20" s="651">
        <f t="shared" si="5"/>
        <v>78000</v>
      </c>
      <c r="L20" s="651">
        <f t="shared" si="2"/>
        <v>0</v>
      </c>
      <c r="M20" s="651">
        <f t="shared" si="3"/>
        <v>91.917098445595855</v>
      </c>
      <c r="N20" s="651">
        <f t="shared" si="1"/>
        <v>887000</v>
      </c>
      <c r="O20" s="818" t="s">
        <v>662</v>
      </c>
    </row>
    <row r="21" spans="1:15" s="661" customFormat="1" ht="48" x14ac:dyDescent="0.5">
      <c r="A21" s="748"/>
      <c r="B21" s="741" t="s">
        <v>641</v>
      </c>
      <c r="C21" s="958">
        <v>13</v>
      </c>
      <c r="D21" s="890" t="s">
        <v>894</v>
      </c>
      <c r="E21" s="590">
        <v>466000</v>
      </c>
      <c r="F21" s="590">
        <v>466000</v>
      </c>
      <c r="G21" s="590">
        <v>466000</v>
      </c>
      <c r="H21" s="656">
        <f>+งบลงทุน!H22</f>
        <v>465000</v>
      </c>
      <c r="I21" s="656">
        <f>+งบลงทุน!I22</f>
        <v>0</v>
      </c>
      <c r="J21" s="746">
        <f t="shared" si="4"/>
        <v>466000</v>
      </c>
      <c r="K21" s="651">
        <f t="shared" si="5"/>
        <v>1000</v>
      </c>
      <c r="L21" s="651">
        <f t="shared" si="2"/>
        <v>0</v>
      </c>
      <c r="M21" s="651">
        <f t="shared" si="3"/>
        <v>99.785407725321889</v>
      </c>
      <c r="N21" s="651">
        <f t="shared" si="1"/>
        <v>465000</v>
      </c>
      <c r="O21" s="818" t="s">
        <v>662</v>
      </c>
    </row>
    <row r="22" spans="1:15" s="661" customFormat="1" ht="72" x14ac:dyDescent="0.5">
      <c r="A22" s="748"/>
      <c r="B22" s="741" t="s">
        <v>644</v>
      </c>
      <c r="C22" s="958">
        <v>14</v>
      </c>
      <c r="D22" s="890" t="s">
        <v>895</v>
      </c>
      <c r="E22" s="590">
        <v>140000</v>
      </c>
      <c r="F22" s="590">
        <v>140000</v>
      </c>
      <c r="G22" s="590">
        <v>140000</v>
      </c>
      <c r="H22" s="656">
        <f>+งบลงทุน!H23</f>
        <v>0</v>
      </c>
      <c r="I22" s="656">
        <f>+งบลงทุน!I23</f>
        <v>0</v>
      </c>
      <c r="J22" s="746">
        <f t="shared" si="4"/>
        <v>140000</v>
      </c>
      <c r="K22" s="651">
        <f t="shared" si="5"/>
        <v>140000</v>
      </c>
      <c r="L22" s="651">
        <f t="shared" si="2"/>
        <v>0</v>
      </c>
      <c r="M22" s="651">
        <f t="shared" si="3"/>
        <v>0</v>
      </c>
      <c r="N22" s="651">
        <f t="shared" si="1"/>
        <v>0</v>
      </c>
      <c r="O22" s="817" t="s">
        <v>1023</v>
      </c>
    </row>
    <row r="23" spans="1:15" s="661" customFormat="1" ht="48" x14ac:dyDescent="0.5">
      <c r="A23" s="748"/>
      <c r="B23" s="741" t="s">
        <v>645</v>
      </c>
      <c r="C23" s="958">
        <v>15</v>
      </c>
      <c r="D23" s="890" t="s">
        <v>896</v>
      </c>
      <c r="E23" s="590">
        <v>6900</v>
      </c>
      <c r="F23" s="590">
        <v>6900</v>
      </c>
      <c r="G23" s="590">
        <v>6900</v>
      </c>
      <c r="H23" s="656">
        <f>+งบลงทุน!H24</f>
        <v>6900</v>
      </c>
      <c r="I23" s="656">
        <f>+งบลงทุน!I24</f>
        <v>0</v>
      </c>
      <c r="J23" s="746">
        <f t="shared" si="4"/>
        <v>6900</v>
      </c>
      <c r="K23" s="651">
        <f t="shared" si="5"/>
        <v>0</v>
      </c>
      <c r="L23" s="651">
        <f t="shared" si="2"/>
        <v>0</v>
      </c>
      <c r="M23" s="651">
        <f t="shared" si="3"/>
        <v>100</v>
      </c>
      <c r="N23" s="651">
        <f t="shared" si="1"/>
        <v>6900</v>
      </c>
      <c r="O23" s="818" t="s">
        <v>662</v>
      </c>
    </row>
    <row r="24" spans="1:15" s="661" customFormat="1" ht="48" x14ac:dyDescent="0.5">
      <c r="A24" s="748"/>
      <c r="B24" s="741" t="s">
        <v>580</v>
      </c>
      <c r="C24" s="958">
        <v>16</v>
      </c>
      <c r="D24" s="890" t="s">
        <v>897</v>
      </c>
      <c r="E24" s="590">
        <v>460000</v>
      </c>
      <c r="F24" s="590">
        <v>460000</v>
      </c>
      <c r="G24" s="590">
        <v>460000</v>
      </c>
      <c r="H24" s="656">
        <f>+งบลงทุน!H25</f>
        <v>0</v>
      </c>
      <c r="I24" s="656">
        <f>+งบลงทุน!I25</f>
        <v>459000</v>
      </c>
      <c r="J24" s="746">
        <f t="shared" si="4"/>
        <v>1000</v>
      </c>
      <c r="K24" s="651">
        <f t="shared" si="5"/>
        <v>1000</v>
      </c>
      <c r="L24" s="651">
        <f t="shared" si="2"/>
        <v>99.782608695652172</v>
      </c>
      <c r="M24" s="651">
        <f t="shared" si="3"/>
        <v>99.782608695652172</v>
      </c>
      <c r="N24" s="651">
        <f t="shared" si="1"/>
        <v>459000</v>
      </c>
      <c r="O24" s="818" t="s">
        <v>662</v>
      </c>
    </row>
    <row r="25" spans="1:15" s="661" customFormat="1" ht="42.75" customHeight="1" x14ac:dyDescent="0.5">
      <c r="A25" s="748"/>
      <c r="B25" s="741" t="s">
        <v>581</v>
      </c>
      <c r="C25" s="958">
        <v>17</v>
      </c>
      <c r="D25" s="890" t="s">
        <v>898</v>
      </c>
      <c r="E25" s="590">
        <v>1241100</v>
      </c>
      <c r="F25" s="590">
        <v>1241100</v>
      </c>
      <c r="G25" s="590">
        <v>1241100</v>
      </c>
      <c r="H25" s="656">
        <f>+งบลงทุน!H26</f>
        <v>0</v>
      </c>
      <c r="I25" s="656">
        <f>+งบลงทุน!I26</f>
        <v>790000</v>
      </c>
      <c r="J25" s="746">
        <f t="shared" si="4"/>
        <v>451100</v>
      </c>
      <c r="K25" s="651">
        <f t="shared" si="5"/>
        <v>451100</v>
      </c>
      <c r="L25" s="651">
        <f t="shared" si="2"/>
        <v>63.653210861332688</v>
      </c>
      <c r="M25" s="651">
        <f t="shared" si="3"/>
        <v>63.653210861332688</v>
      </c>
      <c r="N25" s="651">
        <f t="shared" si="1"/>
        <v>790000</v>
      </c>
      <c r="O25" s="818" t="s">
        <v>662</v>
      </c>
    </row>
    <row r="26" spans="1:15" s="661" customFormat="1" ht="72" x14ac:dyDescent="0.5">
      <c r="A26" s="748"/>
      <c r="B26" s="741" t="s">
        <v>582</v>
      </c>
      <c r="C26" s="958">
        <v>18</v>
      </c>
      <c r="D26" s="890" t="s">
        <v>1018</v>
      </c>
      <c r="E26" s="590">
        <v>1931900</v>
      </c>
      <c r="F26" s="590">
        <v>1931900</v>
      </c>
      <c r="G26" s="590">
        <f>1931900-1794432.92</f>
        <v>137467.08000000007</v>
      </c>
      <c r="H26" s="656">
        <f>+งบลงทุน!H27</f>
        <v>0</v>
      </c>
      <c r="I26" s="656">
        <f>+งบลงทุน!I27</f>
        <v>0</v>
      </c>
      <c r="J26" s="746">
        <f t="shared" si="4"/>
        <v>1931900</v>
      </c>
      <c r="K26" s="651">
        <f t="shared" si="5"/>
        <v>1931900</v>
      </c>
      <c r="L26" s="651">
        <f t="shared" si="2"/>
        <v>0</v>
      </c>
      <c r="M26" s="651">
        <f t="shared" si="3"/>
        <v>0</v>
      </c>
      <c r="N26" s="651">
        <f t="shared" si="1"/>
        <v>0</v>
      </c>
      <c r="O26" s="817" t="s">
        <v>932</v>
      </c>
    </row>
    <row r="27" spans="1:15" s="661" customFormat="1" ht="58.5" customHeight="1" x14ac:dyDescent="0.5">
      <c r="A27" s="748"/>
      <c r="B27" s="784" t="s">
        <v>920</v>
      </c>
      <c r="C27" s="958">
        <v>19</v>
      </c>
      <c r="D27" s="891" t="s">
        <v>922</v>
      </c>
      <c r="E27" s="590">
        <v>0</v>
      </c>
      <c r="F27" s="590"/>
      <c r="G27" s="590">
        <v>39000</v>
      </c>
      <c r="H27" s="656">
        <f>+งบลงทุน!H28</f>
        <v>0</v>
      </c>
      <c r="I27" s="656">
        <f>+งบลงทุน!I28</f>
        <v>39000</v>
      </c>
      <c r="J27" s="746">
        <f>+G27-I27</f>
        <v>0</v>
      </c>
      <c r="K27" s="651">
        <f>+G27-H27-I27</f>
        <v>0</v>
      </c>
      <c r="L27" s="651">
        <v>0</v>
      </c>
      <c r="M27" s="651">
        <v>0</v>
      </c>
      <c r="N27" s="651"/>
      <c r="O27" s="817" t="s">
        <v>924</v>
      </c>
    </row>
    <row r="28" spans="1:15" s="661" customFormat="1" ht="58.5" customHeight="1" x14ac:dyDescent="0.5">
      <c r="A28" s="748"/>
      <c r="B28" s="784" t="s">
        <v>921</v>
      </c>
      <c r="C28" s="958">
        <v>20</v>
      </c>
      <c r="D28" s="891" t="s">
        <v>923</v>
      </c>
      <c r="E28" s="590">
        <v>0</v>
      </c>
      <c r="F28" s="590"/>
      <c r="G28" s="590">
        <v>458447.92</v>
      </c>
      <c r="H28" s="656">
        <f>+งบลงทุน!H29</f>
        <v>0</v>
      </c>
      <c r="I28" s="656">
        <f>+งบลงทุน!I29</f>
        <v>458447.92</v>
      </c>
      <c r="J28" s="746">
        <f>+G28-I28</f>
        <v>0</v>
      </c>
      <c r="K28" s="651">
        <f>+G28-H28-I28</f>
        <v>0</v>
      </c>
      <c r="L28" s="651">
        <v>0</v>
      </c>
      <c r="M28" s="651">
        <v>0</v>
      </c>
      <c r="N28" s="651"/>
      <c r="O28" s="817" t="s">
        <v>924</v>
      </c>
    </row>
    <row r="29" spans="1:15" s="776" customFormat="1" ht="36.75" customHeight="1" x14ac:dyDescent="0.5">
      <c r="A29" s="952">
        <v>2</v>
      </c>
      <c r="B29" s="1130" t="s">
        <v>1002</v>
      </c>
      <c r="C29" s="1131"/>
      <c r="D29" s="1132"/>
      <c r="E29" s="231">
        <f>SUM(E30:E36)</f>
        <v>72004300</v>
      </c>
      <c r="F29" s="231">
        <f t="shared" ref="F29:K29" si="6">SUM(F30:F36)</f>
        <v>-50070800</v>
      </c>
      <c r="G29" s="231">
        <f t="shared" si="6"/>
        <v>21933500</v>
      </c>
      <c r="H29" s="231">
        <f t="shared" si="6"/>
        <v>6235800</v>
      </c>
      <c r="I29" s="231">
        <f t="shared" si="6"/>
        <v>0</v>
      </c>
      <c r="J29" s="231">
        <f t="shared" si="6"/>
        <v>72004300</v>
      </c>
      <c r="K29" s="231">
        <f t="shared" si="6"/>
        <v>65768500</v>
      </c>
      <c r="L29" s="771">
        <f t="shared" ref="L29" si="7">+I29*100/E29</f>
        <v>0</v>
      </c>
      <c r="M29" s="771">
        <f t="shared" ref="M29" si="8">+N29*100/E29</f>
        <v>8.6603161200094991</v>
      </c>
      <c r="N29" s="231">
        <f t="shared" ref="N29" si="9">SUM(N30:N36)</f>
        <v>6235800</v>
      </c>
      <c r="O29" s="775"/>
    </row>
    <row r="30" spans="1:15" s="661" customFormat="1" ht="57" customHeight="1" x14ac:dyDescent="0.5">
      <c r="A30" s="748"/>
      <c r="B30" s="741" t="s">
        <v>583</v>
      </c>
      <c r="C30" s="894" t="s">
        <v>337</v>
      </c>
      <c r="D30" s="890" t="s">
        <v>900</v>
      </c>
      <c r="E30" s="655">
        <v>1806700</v>
      </c>
      <c r="F30" s="655">
        <f>+G30-E30</f>
        <v>-1806700</v>
      </c>
      <c r="G30" s="809">
        <v>0</v>
      </c>
      <c r="H30" s="660">
        <f>+งบลงทุน!H31</f>
        <v>0</v>
      </c>
      <c r="I30" s="660">
        <f>+งบลงทุน!I31</f>
        <v>0</v>
      </c>
      <c r="J30" s="652">
        <f>+E30-I30</f>
        <v>1806700</v>
      </c>
      <c r="K30" s="749">
        <f>+E30-H30-I30</f>
        <v>1806700</v>
      </c>
      <c r="L30" s="651">
        <f t="shared" si="2"/>
        <v>0</v>
      </c>
      <c r="M30" s="651">
        <f t="shared" si="3"/>
        <v>0</v>
      </c>
      <c r="N30" s="651">
        <f t="shared" si="1"/>
        <v>0</v>
      </c>
      <c r="O30" s="832" t="s">
        <v>912</v>
      </c>
    </row>
    <row r="31" spans="1:15" s="661" customFormat="1" ht="57" customHeight="1" x14ac:dyDescent="0.5">
      <c r="A31" s="748"/>
      <c r="B31" s="741" t="s">
        <v>584</v>
      </c>
      <c r="C31" s="894" t="s">
        <v>338</v>
      </c>
      <c r="D31" s="890" t="s">
        <v>899</v>
      </c>
      <c r="E31" s="655">
        <v>7383400</v>
      </c>
      <c r="F31" s="655">
        <f t="shared" ref="F31:F36" si="10">+G31-E31</f>
        <v>-6328600</v>
      </c>
      <c r="G31" s="652">
        <v>1054800</v>
      </c>
      <c r="H31" s="660">
        <f>+งบลงทุน!H32</f>
        <v>1054800</v>
      </c>
      <c r="I31" s="660">
        <f>+งบลงทุน!I32</f>
        <v>0</v>
      </c>
      <c r="J31" s="652">
        <f t="shared" ref="J31:J36" si="11">+E31-I31</f>
        <v>7383400</v>
      </c>
      <c r="K31" s="749">
        <f t="shared" ref="K31:K36" si="12">+E31-H31-I31</f>
        <v>6328600</v>
      </c>
      <c r="L31" s="651">
        <f t="shared" si="2"/>
        <v>0</v>
      </c>
      <c r="M31" s="651">
        <f t="shared" si="3"/>
        <v>14.286101254164748</v>
      </c>
      <c r="N31" s="651">
        <f t="shared" si="1"/>
        <v>1054800</v>
      </c>
      <c r="O31" s="658"/>
    </row>
    <row r="32" spans="1:15" s="661" customFormat="1" ht="57" customHeight="1" x14ac:dyDescent="0.5">
      <c r="A32" s="748"/>
      <c r="B32" s="741" t="s">
        <v>585</v>
      </c>
      <c r="C32" s="894" t="s">
        <v>339</v>
      </c>
      <c r="D32" s="890" t="s">
        <v>901</v>
      </c>
      <c r="E32" s="655">
        <v>8723000</v>
      </c>
      <c r="F32" s="655">
        <f t="shared" si="10"/>
        <v>-6542000</v>
      </c>
      <c r="G32" s="652">
        <v>2181000</v>
      </c>
      <c r="H32" s="660">
        <f>+งบลงทุน!H33</f>
        <v>2181000</v>
      </c>
      <c r="I32" s="660">
        <f>+งบลงทุน!I33</f>
        <v>0</v>
      </c>
      <c r="J32" s="652">
        <f t="shared" si="11"/>
        <v>8723000</v>
      </c>
      <c r="K32" s="749">
        <f t="shared" si="12"/>
        <v>6542000</v>
      </c>
      <c r="L32" s="651">
        <f t="shared" si="2"/>
        <v>0</v>
      </c>
      <c r="M32" s="651">
        <f t="shared" si="3"/>
        <v>25.002865986472543</v>
      </c>
      <c r="N32" s="651">
        <f t="shared" si="1"/>
        <v>2181000</v>
      </c>
      <c r="O32" s="662"/>
    </row>
    <row r="33" spans="1:15" s="661" customFormat="1" ht="57" customHeight="1" x14ac:dyDescent="0.5">
      <c r="A33" s="748"/>
      <c r="B33" s="741" t="s">
        <v>586</v>
      </c>
      <c r="C33" s="894" t="s">
        <v>340</v>
      </c>
      <c r="D33" s="890" t="s">
        <v>1022</v>
      </c>
      <c r="E33" s="655">
        <v>5981700</v>
      </c>
      <c r="F33" s="655">
        <f t="shared" si="10"/>
        <v>0</v>
      </c>
      <c r="G33" s="652">
        <v>5981700</v>
      </c>
      <c r="H33" s="660">
        <f>+งบลงทุน!H34</f>
        <v>0</v>
      </c>
      <c r="I33" s="660">
        <f>+งบลงทุน!I34</f>
        <v>0</v>
      </c>
      <c r="J33" s="652">
        <f t="shared" si="11"/>
        <v>5981700</v>
      </c>
      <c r="K33" s="749">
        <f t="shared" si="12"/>
        <v>5981700</v>
      </c>
      <c r="L33" s="651">
        <f t="shared" si="2"/>
        <v>0</v>
      </c>
      <c r="M33" s="651">
        <f t="shared" si="3"/>
        <v>0</v>
      </c>
      <c r="N33" s="651">
        <f t="shared" si="1"/>
        <v>0</v>
      </c>
      <c r="O33" s="817" t="s">
        <v>1025</v>
      </c>
    </row>
    <row r="34" spans="1:15" s="661" customFormat="1" ht="54.75" customHeight="1" x14ac:dyDescent="0.5">
      <c r="A34" s="748"/>
      <c r="B34" s="741" t="s">
        <v>589</v>
      </c>
      <c r="C34" s="894" t="s">
        <v>341</v>
      </c>
      <c r="D34" s="890" t="s">
        <v>902</v>
      </c>
      <c r="E34" s="655">
        <v>32954300</v>
      </c>
      <c r="F34" s="655">
        <f t="shared" si="10"/>
        <v>-29954300</v>
      </c>
      <c r="G34" s="652">
        <v>3000000</v>
      </c>
      <c r="H34" s="660">
        <f>+งบลงทุน!H35</f>
        <v>3000000</v>
      </c>
      <c r="I34" s="660">
        <f>+งบลงทุน!I35</f>
        <v>0</v>
      </c>
      <c r="J34" s="652">
        <f t="shared" si="11"/>
        <v>32954300</v>
      </c>
      <c r="K34" s="749">
        <f t="shared" si="12"/>
        <v>29954300</v>
      </c>
      <c r="L34" s="651">
        <f t="shared" si="2"/>
        <v>0</v>
      </c>
      <c r="M34" s="651">
        <f t="shared" si="3"/>
        <v>9.1035160813611569</v>
      </c>
      <c r="N34" s="651">
        <f t="shared" si="1"/>
        <v>3000000</v>
      </c>
      <c r="O34" s="658"/>
    </row>
    <row r="35" spans="1:15" s="661" customFormat="1" ht="54.75" customHeight="1" x14ac:dyDescent="0.5">
      <c r="A35" s="748"/>
      <c r="B35" s="741" t="s">
        <v>590</v>
      </c>
      <c r="C35" s="894" t="s">
        <v>342</v>
      </c>
      <c r="D35" s="890" t="s">
        <v>851</v>
      </c>
      <c r="E35" s="655">
        <v>5439200</v>
      </c>
      <c r="F35" s="655">
        <f t="shared" si="10"/>
        <v>-5439200</v>
      </c>
      <c r="G35" s="809">
        <v>0</v>
      </c>
      <c r="H35" s="660">
        <f>+งบลงทุน!H36</f>
        <v>0</v>
      </c>
      <c r="I35" s="660">
        <f>+งบลงทุน!I36</f>
        <v>0</v>
      </c>
      <c r="J35" s="652">
        <f t="shared" si="11"/>
        <v>5439200</v>
      </c>
      <c r="K35" s="749">
        <f t="shared" si="12"/>
        <v>5439200</v>
      </c>
      <c r="L35" s="651">
        <f t="shared" si="2"/>
        <v>0</v>
      </c>
      <c r="M35" s="651">
        <f t="shared" si="3"/>
        <v>0</v>
      </c>
      <c r="N35" s="651">
        <f t="shared" si="1"/>
        <v>0</v>
      </c>
      <c r="O35" s="832" t="s">
        <v>912</v>
      </c>
    </row>
    <row r="36" spans="1:15" s="661" customFormat="1" ht="54.75" customHeight="1" x14ac:dyDescent="0.5">
      <c r="A36" s="748"/>
      <c r="B36" s="741" t="s">
        <v>850</v>
      </c>
      <c r="C36" s="894" t="s">
        <v>343</v>
      </c>
      <c r="D36" s="890" t="s">
        <v>852</v>
      </c>
      <c r="E36" s="655">
        <v>9716000</v>
      </c>
      <c r="F36" s="655">
        <f t="shared" si="10"/>
        <v>0</v>
      </c>
      <c r="G36" s="652">
        <v>9716000</v>
      </c>
      <c r="H36" s="660">
        <f>+งบลงทุน!H37</f>
        <v>0</v>
      </c>
      <c r="I36" s="660">
        <f>+งบลงทุน!I37</f>
        <v>0</v>
      </c>
      <c r="J36" s="652">
        <f t="shared" si="11"/>
        <v>9716000</v>
      </c>
      <c r="K36" s="749">
        <f t="shared" si="12"/>
        <v>9716000</v>
      </c>
      <c r="L36" s="651">
        <f t="shared" si="2"/>
        <v>0</v>
      </c>
      <c r="M36" s="651">
        <f t="shared" si="3"/>
        <v>0</v>
      </c>
      <c r="N36" s="651">
        <f t="shared" si="1"/>
        <v>0</v>
      </c>
      <c r="O36" s="817" t="s">
        <v>1025</v>
      </c>
    </row>
    <row r="37" spans="1:15" s="272" customFormat="1" ht="36.75" customHeight="1" x14ac:dyDescent="0.5">
      <c r="A37" s="1136" t="s">
        <v>82</v>
      </c>
      <c r="B37" s="1136"/>
      <c r="C37" s="1136"/>
      <c r="D37" s="1136"/>
      <c r="E37" s="1006">
        <f>+E8+E29</f>
        <v>99165600</v>
      </c>
      <c r="F37" s="1006">
        <f t="shared" ref="F37:K37" si="13">+F8+F29</f>
        <v>-22909500</v>
      </c>
      <c r="G37" s="1006">
        <f t="shared" si="13"/>
        <v>47797815</v>
      </c>
      <c r="H37" s="1006">
        <f t="shared" si="13"/>
        <v>21698650</v>
      </c>
      <c r="I37" s="1006">
        <f t="shared" si="13"/>
        <v>2977572.92</v>
      </c>
      <c r="J37" s="1006">
        <f t="shared" si="13"/>
        <v>96685475</v>
      </c>
      <c r="K37" s="1006">
        <f t="shared" si="13"/>
        <v>74986825</v>
      </c>
      <c r="L37" s="1007">
        <f t="shared" si="2"/>
        <v>3.0026268383391015</v>
      </c>
      <c r="M37" s="1007">
        <f t="shared" si="3"/>
        <v>24.883853796074444</v>
      </c>
      <c r="N37" s="1008">
        <f t="shared" si="1"/>
        <v>24676222.920000002</v>
      </c>
      <c r="O37" s="1007"/>
    </row>
    <row r="38" spans="1:15" s="739" customFormat="1" hidden="1" x14ac:dyDescent="0.5">
      <c r="A38" s="1133" t="s">
        <v>357</v>
      </c>
      <c r="B38" s="1134"/>
      <c r="C38" s="1134"/>
      <c r="D38" s="1135"/>
      <c r="E38" s="953" t="e">
        <f>+#REF!+E9+E12+E14+E15+E16+E17+E18+E20+E21+E22+E23+E24+E25+E26+E27+E28+E30</f>
        <v>#REF!</v>
      </c>
      <c r="F38" s="953" t="e">
        <f>+#REF!+F9+F12+F14+F15+F16+F17+F18+F20+F21+F22+F23+F24+F25+F26+F27+F28+F30</f>
        <v>#REF!</v>
      </c>
      <c r="G38" s="953" t="e">
        <f>+#REF!+G9+G12+G14+G15+G16+G17+G18+G20+G21+G22+G23+G24+G25+G26+G27+G28+G30</f>
        <v>#REF!</v>
      </c>
      <c r="H38" s="953" t="e">
        <f>+#REF!+H9+H12+H14+H15+H16+H17+H18+H20+H21+H22+H23+H24+H25+H26+H27+H28+H30</f>
        <v>#REF!</v>
      </c>
      <c r="I38" s="953" t="e">
        <f>+#REF!+I9+I12+I14+I15+I16+I17+I18+I20+I21+I22+I23+I24+I25+I26+I27+I28+I30</f>
        <v>#REF!</v>
      </c>
      <c r="J38" s="953" t="e">
        <f>+#REF!+J9+J12+J14+J15+J16+J17+J18+J20+J21+J22+J23+J24+J25+J26+J27+J28+J30</f>
        <v>#REF!</v>
      </c>
      <c r="K38" s="953" t="e">
        <f>+#REF!+K9+K12+K14+K15+K16+K17+K18+K20+K21+K22+K23+K24+K25+K26+K27+K28+K30</f>
        <v>#REF!</v>
      </c>
      <c r="L38" s="659" t="e">
        <f>+I38*100/G38</f>
        <v>#REF!</v>
      </c>
      <c r="M38" s="659" t="e">
        <f t="shared" ref="M38:M40" si="14">+J38*100/H38</f>
        <v>#REF!</v>
      </c>
      <c r="N38" s="651" t="e">
        <f t="shared" si="1"/>
        <v>#REF!</v>
      </c>
      <c r="O38" s="740"/>
    </row>
    <row r="39" spans="1:15" s="739" customFormat="1" hidden="1" x14ac:dyDescent="0.5">
      <c r="A39" s="1133" t="s">
        <v>361</v>
      </c>
      <c r="B39" s="1134"/>
      <c r="C39" s="1134"/>
      <c r="D39" s="1134"/>
      <c r="E39" s="1134"/>
      <c r="F39" s="1134"/>
      <c r="G39" s="1134"/>
      <c r="H39" s="659" t="e">
        <f>+H38+I38</f>
        <v>#REF!</v>
      </c>
      <c r="I39" s="659"/>
      <c r="J39" s="659" t="e">
        <f>+H39/1000000</f>
        <v>#REF!</v>
      </c>
      <c r="K39" s="659"/>
      <c r="L39" s="659"/>
      <c r="M39" s="659"/>
      <c r="N39" s="651" t="e">
        <f t="shared" si="1"/>
        <v>#REF!</v>
      </c>
      <c r="O39" s="740"/>
    </row>
    <row r="40" spans="1:15" s="739" customFormat="1" hidden="1" x14ac:dyDescent="0.5">
      <c r="A40" s="1133" t="s">
        <v>356</v>
      </c>
      <c r="B40" s="1134"/>
      <c r="C40" s="1134"/>
      <c r="D40" s="1135"/>
      <c r="E40" s="953">
        <f t="shared" ref="E40:K40" si="15">+E10+E11+E13+E19+E31+E32+E33+E34+E35+E36</f>
        <v>87548000</v>
      </c>
      <c r="F40" s="953">
        <f t="shared" si="15"/>
        <v>-30913700</v>
      </c>
      <c r="G40" s="953">
        <f t="shared" si="15"/>
        <v>39283900</v>
      </c>
      <c r="H40" s="953">
        <f t="shared" si="15"/>
        <v>19025900</v>
      </c>
      <c r="I40" s="953">
        <f t="shared" si="15"/>
        <v>0</v>
      </c>
      <c r="J40" s="953">
        <f t="shared" si="15"/>
        <v>87548000</v>
      </c>
      <c r="K40" s="953">
        <f t="shared" si="15"/>
        <v>68522100</v>
      </c>
      <c r="L40" s="659">
        <f>+I40*100/G40</f>
        <v>0</v>
      </c>
      <c r="M40" s="659">
        <f t="shared" si="14"/>
        <v>460.15168796219888</v>
      </c>
      <c r="N40" s="651">
        <f t="shared" si="1"/>
        <v>19025900</v>
      </c>
      <c r="O40" s="740"/>
    </row>
    <row r="41" spans="1:15" s="739" customFormat="1" hidden="1" x14ac:dyDescent="0.5">
      <c r="A41" s="1133" t="s">
        <v>362</v>
      </c>
      <c r="B41" s="1134"/>
      <c r="C41" s="1134"/>
      <c r="D41" s="1134"/>
      <c r="E41" s="1134"/>
      <c r="F41" s="1134"/>
      <c r="G41" s="1134"/>
      <c r="H41" s="659">
        <f>+H40+I40</f>
        <v>19025900</v>
      </c>
      <c r="I41" s="659"/>
      <c r="J41" s="659">
        <f>+H41/1000000</f>
        <v>19.0259</v>
      </c>
      <c r="K41" s="659"/>
      <c r="L41" s="659"/>
      <c r="M41" s="659"/>
      <c r="N41" s="651">
        <f t="shared" si="1"/>
        <v>19025900</v>
      </c>
      <c r="O41" s="740"/>
    </row>
    <row r="42" spans="1:15" s="739" customFormat="1" hidden="1" x14ac:dyDescent="0.5">
      <c r="A42" s="1133" t="s">
        <v>363</v>
      </c>
      <c r="B42" s="1134"/>
      <c r="C42" s="1134"/>
      <c r="D42" s="1134"/>
      <c r="E42" s="1134"/>
      <c r="F42" s="1134"/>
      <c r="G42" s="1134"/>
      <c r="H42" s="659" t="e">
        <f>+H39+H41</f>
        <v>#REF!</v>
      </c>
      <c r="I42" s="659"/>
      <c r="J42" s="659" t="e">
        <f>+H42/1000000</f>
        <v>#REF!</v>
      </c>
      <c r="K42" s="659"/>
      <c r="L42" s="659"/>
      <c r="M42" s="659"/>
      <c r="N42" s="651" t="e">
        <f t="shared" si="1"/>
        <v>#REF!</v>
      </c>
      <c r="O42" s="740"/>
    </row>
    <row r="43" spans="1:15" s="739" customFormat="1" hidden="1" x14ac:dyDescent="0.5">
      <c r="A43" s="1133" t="s">
        <v>364</v>
      </c>
      <c r="B43" s="1134"/>
      <c r="C43" s="1134"/>
      <c r="D43" s="1134"/>
      <c r="E43" s="1134"/>
      <c r="F43" s="1134"/>
      <c r="G43" s="1134"/>
      <c r="H43" s="659" t="e">
        <f>+I38+I40</f>
        <v>#REF!</v>
      </c>
      <c r="I43" s="659"/>
      <c r="J43" s="659" t="e">
        <f>+H43/1000000</f>
        <v>#REF!</v>
      </c>
      <c r="K43" s="659"/>
      <c r="L43" s="659"/>
      <c r="M43" s="659"/>
      <c r="N43" s="651" t="e">
        <f t="shared" si="1"/>
        <v>#REF!</v>
      </c>
      <c r="O43" s="740"/>
    </row>
    <row r="44" spans="1:15" s="739" customFormat="1" hidden="1" x14ac:dyDescent="0.5">
      <c r="A44" s="1133" t="s">
        <v>10</v>
      </c>
      <c r="B44" s="1134"/>
      <c r="C44" s="1134"/>
      <c r="D44" s="1135"/>
      <c r="E44" s="659" t="e">
        <f>+E38+E40</f>
        <v>#REF!</v>
      </c>
      <c r="F44" s="659" t="e">
        <f t="shared" ref="F44:K44" si="16">+F38+F40</f>
        <v>#REF!</v>
      </c>
      <c r="G44" s="659" t="e">
        <f t="shared" si="16"/>
        <v>#REF!</v>
      </c>
      <c r="H44" s="659" t="e">
        <f t="shared" si="16"/>
        <v>#REF!</v>
      </c>
      <c r="I44" s="659" t="e">
        <f t="shared" si="16"/>
        <v>#REF!</v>
      </c>
      <c r="J44" s="659" t="e">
        <f t="shared" si="16"/>
        <v>#REF!</v>
      </c>
      <c r="K44" s="659" t="e">
        <f t="shared" si="16"/>
        <v>#REF!</v>
      </c>
      <c r="L44" s="659" t="e">
        <f>+I44*100/G44</f>
        <v>#REF!</v>
      </c>
      <c r="M44" s="659" t="e">
        <f>+J44*100/H44</f>
        <v>#REF!</v>
      </c>
      <c r="N44" s="651" t="e">
        <f>+H44+I44</f>
        <v>#REF!</v>
      </c>
      <c r="O44" s="740"/>
    </row>
    <row r="45" spans="1:15" s="739" customFormat="1" hidden="1" x14ac:dyDescent="0.5">
      <c r="A45" s="1125" t="s">
        <v>976</v>
      </c>
      <c r="B45" s="1125"/>
      <c r="C45" s="1125"/>
      <c r="D45" s="1125"/>
      <c r="E45" s="659" t="e">
        <f>+#REF!-E46</f>
        <v>#REF!</v>
      </c>
      <c r="F45" s="659" t="e">
        <f>+#REF!-F46</f>
        <v>#REF!</v>
      </c>
      <c r="G45" s="659"/>
      <c r="H45" s="659" t="e">
        <f>+#REF!</f>
        <v>#REF!</v>
      </c>
      <c r="I45" s="659" t="e">
        <f>+#REF!</f>
        <v>#REF!</v>
      </c>
      <c r="J45" s="659"/>
      <c r="K45" s="749"/>
      <c r="L45" s="651" t="e">
        <f t="shared" ref="L45:L53" si="17">+I45*100/E45</f>
        <v>#REF!</v>
      </c>
      <c r="M45" s="651" t="e">
        <f t="shared" ref="M45:M53" si="18">+N45*100/E45</f>
        <v>#REF!</v>
      </c>
      <c r="N45" s="742"/>
      <c r="O45" s="740"/>
    </row>
    <row r="46" spans="1:15" s="739" customFormat="1" hidden="1" x14ac:dyDescent="0.5">
      <c r="A46" s="1125" t="s">
        <v>973</v>
      </c>
      <c r="B46" s="1125"/>
      <c r="C46" s="1125"/>
      <c r="D46" s="1125"/>
      <c r="E46" s="659">
        <f>1155000+516000+816000+1218500</f>
        <v>3705500</v>
      </c>
      <c r="F46" s="659">
        <f t="shared" ref="F46" si="19">1155000+516000+816000+1218500</f>
        <v>3705500</v>
      </c>
      <c r="G46" s="659"/>
      <c r="H46" s="659">
        <v>0</v>
      </c>
      <c r="I46" s="659">
        <v>0</v>
      </c>
      <c r="J46" s="659">
        <v>0</v>
      </c>
      <c r="K46" s="749">
        <v>0</v>
      </c>
      <c r="L46" s="651">
        <f t="shared" si="17"/>
        <v>0</v>
      </c>
      <c r="M46" s="651">
        <f t="shared" si="18"/>
        <v>0</v>
      </c>
      <c r="N46" s="742"/>
      <c r="O46" s="740"/>
    </row>
    <row r="47" spans="1:15" s="739" customFormat="1" hidden="1" x14ac:dyDescent="0.5">
      <c r="A47" s="953"/>
      <c r="B47" s="953"/>
      <c r="C47" s="953"/>
      <c r="D47" s="953"/>
      <c r="E47" s="659" t="e">
        <f>SUM(E45:E46)</f>
        <v>#REF!</v>
      </c>
      <c r="F47" s="659" t="e">
        <f t="shared" ref="F47:K47" si="20">SUM(F45:F46)</f>
        <v>#REF!</v>
      </c>
      <c r="G47" s="659">
        <f t="shared" si="20"/>
        <v>0</v>
      </c>
      <c r="H47" s="659" t="e">
        <f t="shared" si="20"/>
        <v>#REF!</v>
      </c>
      <c r="I47" s="659" t="e">
        <f t="shared" si="20"/>
        <v>#REF!</v>
      </c>
      <c r="J47" s="659">
        <f t="shared" si="20"/>
        <v>0</v>
      </c>
      <c r="K47" s="659">
        <f t="shared" si="20"/>
        <v>0</v>
      </c>
      <c r="L47" s="651"/>
      <c r="M47" s="651"/>
      <c r="N47" s="742"/>
      <c r="O47" s="740"/>
    </row>
    <row r="48" spans="1:15" s="739" customFormat="1" hidden="1" x14ac:dyDescent="0.5">
      <c r="A48" s="953"/>
      <c r="B48" s="953"/>
      <c r="C48" s="953"/>
      <c r="D48" s="953"/>
      <c r="E48" s="659"/>
      <c r="F48" s="659"/>
      <c r="G48" s="659"/>
      <c r="H48" s="659"/>
      <c r="I48" s="659" t="e">
        <f>SUM(H47:I47)</f>
        <v>#REF!</v>
      </c>
      <c r="J48" s="921" t="e">
        <f>+I48/1000000</f>
        <v>#REF!</v>
      </c>
      <c r="K48" s="659"/>
      <c r="L48" s="651"/>
      <c r="M48" s="651"/>
      <c r="N48" s="742"/>
      <c r="O48" s="740"/>
    </row>
    <row r="49" spans="1:15" s="739" customFormat="1" hidden="1" x14ac:dyDescent="0.5">
      <c r="A49" s="953"/>
      <c r="B49" s="953"/>
      <c r="C49" s="953"/>
      <c r="D49" s="953" t="s">
        <v>974</v>
      </c>
      <c r="E49" s="659">
        <f>+G9+G15+G16+G17+G18+G21+G22+G23+G24+G27+G28</f>
        <v>2825347.92</v>
      </c>
      <c r="F49" s="659">
        <f>+H9+H15+H16+H17+H18+H21+H22+H23+H24+H27+H28</f>
        <v>747000</v>
      </c>
      <c r="G49" s="659">
        <v>0</v>
      </c>
      <c r="H49" s="659">
        <f>+H9+H15+H16+H17+H18+H21+H22+H23+H24+H27+H28</f>
        <v>747000</v>
      </c>
      <c r="I49" s="659">
        <f>+I9+I15+I16+I17+I18+I21+I22+I23+I24+I27+I28</f>
        <v>1841322.92</v>
      </c>
      <c r="J49" s="659">
        <f>+L9+L15+L16+L17+L18+L21+L22+L23+L24+L27+L28</f>
        <v>392.10592868670119</v>
      </c>
      <c r="K49" s="749">
        <f t="shared" ref="K49:K50" si="21">+E49-H49-I49</f>
        <v>237025</v>
      </c>
      <c r="L49" s="651">
        <f t="shared" si="17"/>
        <v>65.171546023259324</v>
      </c>
      <c r="M49" s="651">
        <f t="shared" si="18"/>
        <v>0</v>
      </c>
      <c r="N49" s="742"/>
      <c r="O49" s="740"/>
    </row>
    <row r="50" spans="1:15" s="739" customFormat="1" hidden="1" x14ac:dyDescent="0.5">
      <c r="A50" s="953"/>
      <c r="B50" s="953"/>
      <c r="C50" s="953"/>
      <c r="D50" s="953" t="s">
        <v>975</v>
      </c>
      <c r="E50" s="659">
        <f>+E10+E11+E12+E13+E14+E19+E20+E25+G26+E30+E31+E32+E33+E34+E35+E36</f>
        <v>95043267.079999998</v>
      </c>
      <c r="F50" s="659">
        <f>+F10+F11+F12+F13+F14+F19+F20+F25+H26+F30+F31+F32+F33+F34+F35+F36</f>
        <v>-27169300</v>
      </c>
      <c r="G50" s="659">
        <v>0</v>
      </c>
      <c r="H50" s="659">
        <f>+H10+H11+H12+H13+H14+H19+H20+H25+H26+H30+H31+H32+H33+H34+H35+H36</f>
        <v>20951650</v>
      </c>
      <c r="I50" s="659">
        <f>+I10+I11+I12+I13+I14+I19+I20+I25+I26+I30+I31+I32+I33+I34+I35+I36</f>
        <v>1136250</v>
      </c>
      <c r="J50" s="659">
        <f>+J10+J11+J12+J13+J14+J19+J20+J25+L26+J30+J31+J32+J33+J34+J35+J36</f>
        <v>93769550</v>
      </c>
      <c r="K50" s="749">
        <f t="shared" si="21"/>
        <v>72955367.079999998</v>
      </c>
      <c r="L50" s="651">
        <f t="shared" si="17"/>
        <v>1.1955081458254098</v>
      </c>
      <c r="M50" s="651">
        <f t="shared" si="18"/>
        <v>0</v>
      </c>
      <c r="N50" s="742"/>
      <c r="O50" s="740"/>
    </row>
    <row r="51" spans="1:15" s="739" customFormat="1" hidden="1" x14ac:dyDescent="0.5">
      <c r="A51" s="953"/>
      <c r="B51" s="953"/>
      <c r="C51" s="953"/>
      <c r="D51" s="953"/>
      <c r="E51" s="659">
        <f>SUM(E49:E50)</f>
        <v>97868615</v>
      </c>
      <c r="F51" s="659">
        <f t="shared" ref="F51:K51" si="22">SUM(F49:F50)</f>
        <v>-26422300</v>
      </c>
      <c r="G51" s="659">
        <f t="shared" si="22"/>
        <v>0</v>
      </c>
      <c r="H51" s="659">
        <f t="shared" si="22"/>
        <v>21698650</v>
      </c>
      <c r="I51" s="659">
        <f t="shared" si="22"/>
        <v>2977572.92</v>
      </c>
      <c r="J51" s="659">
        <f t="shared" si="22"/>
        <v>93769942.105928689</v>
      </c>
      <c r="K51" s="659">
        <f t="shared" si="22"/>
        <v>73192392.079999998</v>
      </c>
      <c r="L51" s="651"/>
      <c r="M51" s="651"/>
      <c r="N51" s="742"/>
      <c r="O51" s="740"/>
    </row>
    <row r="52" spans="1:15" s="739" customFormat="1" hidden="1" x14ac:dyDescent="0.5">
      <c r="A52" s="953"/>
      <c r="B52" s="953"/>
      <c r="C52" s="953"/>
      <c r="D52" s="953"/>
      <c r="E52" s="659"/>
      <c r="F52" s="659"/>
      <c r="G52" s="659"/>
      <c r="H52" s="659"/>
      <c r="I52" s="659">
        <f>SUM(H51:I51)</f>
        <v>24676222.920000002</v>
      </c>
      <c r="J52" s="921">
        <f>+I52/1000000</f>
        <v>24.676222920000001</v>
      </c>
      <c r="K52" s="659"/>
      <c r="L52" s="651"/>
      <c r="M52" s="651"/>
      <c r="N52" s="742"/>
      <c r="O52" s="740"/>
    </row>
    <row r="53" spans="1:15" s="739" customFormat="1" hidden="1" x14ac:dyDescent="0.5">
      <c r="A53" s="953"/>
      <c r="B53" s="953"/>
      <c r="C53" s="953"/>
      <c r="D53" s="953"/>
      <c r="E53" s="659" t="e">
        <f>+E47+E51</f>
        <v>#REF!</v>
      </c>
      <c r="F53" s="659" t="e">
        <f t="shared" ref="F53:K53" si="23">+F47+F51</f>
        <v>#REF!</v>
      </c>
      <c r="G53" s="659">
        <f t="shared" si="23"/>
        <v>0</v>
      </c>
      <c r="H53" s="659" t="e">
        <f t="shared" si="23"/>
        <v>#REF!</v>
      </c>
      <c r="I53" s="659" t="e">
        <f t="shared" si="23"/>
        <v>#REF!</v>
      </c>
      <c r="J53" s="659">
        <f t="shared" si="23"/>
        <v>93769942.105928689</v>
      </c>
      <c r="K53" s="659">
        <f t="shared" si="23"/>
        <v>73192392.079999998</v>
      </c>
      <c r="L53" s="651" t="e">
        <f t="shared" si="17"/>
        <v>#REF!</v>
      </c>
      <c r="M53" s="651" t="e">
        <f t="shared" si="18"/>
        <v>#REF!</v>
      </c>
      <c r="N53" s="742"/>
      <c r="O53" s="740"/>
    </row>
    <row r="54" spans="1:15" s="739" customFormat="1" hidden="1" x14ac:dyDescent="0.5">
      <c r="A54" s="953"/>
      <c r="B54" s="953"/>
      <c r="C54" s="953"/>
      <c r="D54" s="953"/>
      <c r="E54" s="659"/>
      <c r="F54" s="659"/>
      <c r="G54" s="659"/>
      <c r="H54" s="659"/>
      <c r="I54" s="659" t="e">
        <f>SUM(H53:I53)</f>
        <v>#REF!</v>
      </c>
      <c r="J54" s="921" t="e">
        <f>+I54/1000000</f>
        <v>#REF!</v>
      </c>
      <c r="K54" s="659"/>
      <c r="L54" s="659"/>
      <c r="M54" s="659"/>
      <c r="N54" s="742"/>
      <c r="O54" s="740"/>
    </row>
    <row r="55" spans="1:15" s="739" customFormat="1" hidden="1" x14ac:dyDescent="0.5">
      <c r="A55" s="121"/>
      <c r="B55" s="121"/>
      <c r="C55" s="121"/>
      <c r="D55" s="121"/>
      <c r="N55" s="742"/>
      <c r="O55" s="740"/>
    </row>
    <row r="56" spans="1:15" s="739" customFormat="1" hidden="1" x14ac:dyDescent="0.5">
      <c r="A56" s="121"/>
      <c r="B56" s="121"/>
      <c r="C56" s="121"/>
      <c r="D56" s="121"/>
      <c r="N56" s="742"/>
      <c r="O56" s="740"/>
    </row>
    <row r="57" spans="1:15" s="739" customFormat="1" ht="4.5" customHeight="1" x14ac:dyDescent="0.5">
      <c r="A57" s="121"/>
      <c r="B57" s="121"/>
      <c r="C57" s="121"/>
      <c r="D57" s="121"/>
      <c r="N57" s="742"/>
      <c r="O57" s="740"/>
    </row>
    <row r="58" spans="1:15" s="816" customFormat="1" ht="27.75" x14ac:dyDescent="0.5">
      <c r="A58" s="1126" t="s">
        <v>877</v>
      </c>
      <c r="B58" s="1126"/>
      <c r="C58" s="1126"/>
      <c r="D58" s="1126"/>
      <c r="E58" s="1126"/>
      <c r="F58" s="1126"/>
      <c r="G58" s="1126"/>
      <c r="H58" s="1126"/>
      <c r="I58" s="1126"/>
      <c r="J58" s="1126"/>
      <c r="K58" s="1126"/>
      <c r="L58" s="1126"/>
      <c r="M58" s="1126"/>
      <c r="N58" s="1126"/>
      <c r="O58" s="1126"/>
    </row>
    <row r="59" spans="1:15" hidden="1" x14ac:dyDescent="0.5"/>
    <row r="60" spans="1:15" hidden="1" x14ac:dyDescent="0.5">
      <c r="E60" s="596">
        <v>1794432.92</v>
      </c>
    </row>
    <row r="61" spans="1:15" hidden="1" x14ac:dyDescent="0.5">
      <c r="E61" s="596">
        <v>39000</v>
      </c>
    </row>
    <row r="62" spans="1:15" hidden="1" x14ac:dyDescent="0.5">
      <c r="E62" s="596">
        <v>458447.92</v>
      </c>
      <c r="G62" s="742">
        <f>+E37-E65</f>
        <v>97868615</v>
      </c>
    </row>
    <row r="63" spans="1:15" hidden="1" x14ac:dyDescent="0.5">
      <c r="G63" s="742">
        <f>SUM(G30:G33)</f>
        <v>9217500</v>
      </c>
    </row>
    <row r="64" spans="1:15" hidden="1" x14ac:dyDescent="0.5">
      <c r="G64" s="742">
        <f>SUM(G34:G36)</f>
        <v>12716000</v>
      </c>
    </row>
    <row r="65" spans="2:15" hidden="1" x14ac:dyDescent="0.5">
      <c r="E65" s="596">
        <f>+E60-E61-E62</f>
        <v>1296985</v>
      </c>
    </row>
    <row r="66" spans="2:15" hidden="1" x14ac:dyDescent="0.5"/>
    <row r="67" spans="2:15" hidden="1" x14ac:dyDescent="0.5"/>
    <row r="68" spans="2:15" hidden="1" x14ac:dyDescent="0.5"/>
    <row r="69" spans="2:15" hidden="1" x14ac:dyDescent="0.5"/>
    <row r="70" spans="2:15" hidden="1" x14ac:dyDescent="0.5"/>
    <row r="71" spans="2:15" hidden="1" x14ac:dyDescent="0.5"/>
    <row r="72" spans="2:15" hidden="1" x14ac:dyDescent="0.5"/>
    <row r="73" spans="2:15" hidden="1" x14ac:dyDescent="0.5"/>
    <row r="74" spans="2:15" hidden="1" x14ac:dyDescent="0.5"/>
    <row r="75" spans="2:15" hidden="1" x14ac:dyDescent="0.5"/>
    <row r="76" spans="2:15" hidden="1" x14ac:dyDescent="0.5"/>
    <row r="77" spans="2:15" hidden="1" x14ac:dyDescent="0.5"/>
    <row r="78" spans="2:15" hidden="1" x14ac:dyDescent="0.5"/>
    <row r="79" spans="2:15" s="594" customFormat="1" hidden="1" x14ac:dyDescent="0.5">
      <c r="B79" s="680"/>
      <c r="C79" s="750"/>
      <c r="D79" s="663"/>
      <c r="E79" s="596"/>
      <c r="F79" s="596"/>
      <c r="G79" s="742"/>
      <c r="H79" s="596"/>
      <c r="I79" s="596"/>
      <c r="J79" s="596"/>
      <c r="K79" s="742"/>
      <c r="L79" s="742"/>
      <c r="M79" s="742"/>
      <c r="N79" s="742"/>
      <c r="O79" s="663"/>
    </row>
    <row r="80" spans="2:15" s="594" customFormat="1" hidden="1" x14ac:dyDescent="0.5">
      <c r="B80" s="680"/>
      <c r="C80" s="750"/>
      <c r="D80" s="663"/>
      <c r="E80" s="596"/>
      <c r="F80" s="596"/>
      <c r="G80" s="742"/>
      <c r="H80" s="596"/>
      <c r="I80" s="596"/>
      <c r="J80" s="596"/>
      <c r="K80" s="742"/>
      <c r="L80" s="742"/>
      <c r="M80" s="742"/>
      <c r="N80" s="742"/>
      <c r="O80" s="663"/>
    </row>
    <row r="81" spans="2:15" s="594" customFormat="1" hidden="1" x14ac:dyDescent="0.5">
      <c r="B81" s="680"/>
      <c r="C81" s="750"/>
      <c r="D81" s="663"/>
      <c r="E81" s="596"/>
      <c r="F81" s="596"/>
      <c r="G81" s="742"/>
      <c r="H81" s="596"/>
      <c r="I81" s="596"/>
      <c r="J81" s="596"/>
      <c r="K81" s="742"/>
      <c r="L81" s="742"/>
      <c r="M81" s="742"/>
      <c r="N81" s="742"/>
      <c r="O81" s="663"/>
    </row>
    <row r="82" spans="2:15" s="594" customFormat="1" hidden="1" x14ac:dyDescent="0.5">
      <c r="B82" s="680"/>
      <c r="C82" s="750"/>
      <c r="D82" s="663"/>
      <c r="E82" s="596"/>
      <c r="F82" s="596"/>
      <c r="G82" s="742"/>
      <c r="H82" s="596"/>
      <c r="I82" s="596"/>
      <c r="J82" s="596"/>
      <c r="K82" s="742"/>
      <c r="L82" s="742"/>
      <c r="M82" s="742"/>
      <c r="N82" s="742"/>
      <c r="O82" s="663"/>
    </row>
    <row r="83" spans="2:15" s="594" customFormat="1" hidden="1" x14ac:dyDescent="0.5">
      <c r="B83" s="680"/>
      <c r="C83" s="750"/>
      <c r="D83" s="663"/>
      <c r="E83" s="596"/>
      <c r="F83" s="596"/>
      <c r="G83" s="742"/>
      <c r="H83" s="596"/>
      <c r="I83" s="596"/>
      <c r="J83" s="596"/>
      <c r="K83" s="742"/>
      <c r="L83" s="742"/>
      <c r="M83" s="742"/>
      <c r="N83" s="742"/>
      <c r="O83" s="663"/>
    </row>
    <row r="84" spans="2:15" s="594" customFormat="1" hidden="1" x14ac:dyDescent="0.5">
      <c r="B84" s="680"/>
      <c r="C84" s="750"/>
      <c r="D84" s="663"/>
      <c r="E84" s="596"/>
      <c r="F84" s="596"/>
      <c r="G84" s="742"/>
      <c r="H84" s="596"/>
      <c r="I84" s="596"/>
      <c r="J84" s="596"/>
      <c r="K84" s="742"/>
      <c r="L84" s="742"/>
      <c r="M84" s="742"/>
      <c r="N84" s="742"/>
      <c r="O84" s="663"/>
    </row>
    <row r="85" spans="2:15" s="594" customFormat="1" hidden="1" x14ac:dyDescent="0.5">
      <c r="B85" s="680"/>
      <c r="C85" s="750"/>
      <c r="D85" s="663"/>
      <c r="E85" s="596"/>
      <c r="F85" s="596"/>
      <c r="G85" s="742"/>
      <c r="H85" s="596"/>
      <c r="I85" s="596"/>
      <c r="J85" s="596"/>
      <c r="K85" s="742"/>
      <c r="L85" s="742"/>
      <c r="M85" s="742"/>
      <c r="N85" s="742"/>
      <c r="O85" s="663"/>
    </row>
    <row r="86" spans="2:15" s="594" customFormat="1" hidden="1" x14ac:dyDescent="0.5">
      <c r="B86" s="680"/>
      <c r="C86" s="750"/>
      <c r="D86" s="663"/>
      <c r="E86" s="596"/>
      <c r="F86" s="596"/>
      <c r="G86" s="742"/>
      <c r="H86" s="596"/>
      <c r="I86" s="596"/>
      <c r="J86" s="596"/>
      <c r="K86" s="742"/>
      <c r="L86" s="742"/>
      <c r="M86" s="742"/>
      <c r="N86" s="742"/>
      <c r="O86" s="663"/>
    </row>
    <row r="87" spans="2:15" s="594" customFormat="1" hidden="1" x14ac:dyDescent="0.5">
      <c r="B87" s="680"/>
      <c r="C87" s="750"/>
      <c r="D87" s="663"/>
      <c r="E87" s="596"/>
      <c r="F87" s="596"/>
      <c r="G87" s="742"/>
      <c r="H87" s="596"/>
      <c r="I87" s="596"/>
      <c r="J87" s="596"/>
      <c r="K87" s="742"/>
      <c r="L87" s="742"/>
      <c r="M87" s="742"/>
      <c r="N87" s="742"/>
      <c r="O87" s="663"/>
    </row>
    <row r="88" spans="2:15" s="594" customFormat="1" hidden="1" x14ac:dyDescent="0.5">
      <c r="B88" s="680"/>
      <c r="C88" s="750"/>
      <c r="D88" s="663"/>
      <c r="E88" s="596"/>
      <c r="F88" s="596"/>
      <c r="G88" s="742"/>
      <c r="H88" s="596"/>
      <c r="I88" s="596"/>
      <c r="J88" s="596"/>
      <c r="K88" s="742"/>
      <c r="L88" s="742"/>
      <c r="M88" s="742"/>
      <c r="N88" s="742"/>
      <c r="O88" s="663"/>
    </row>
    <row r="89" spans="2:15" s="594" customFormat="1" hidden="1" x14ac:dyDescent="0.5">
      <c r="B89" s="680"/>
      <c r="C89" s="750"/>
      <c r="D89" s="663"/>
      <c r="E89" s="596"/>
      <c r="F89" s="596"/>
      <c r="G89" s="742"/>
      <c r="H89" s="596"/>
      <c r="I89" s="596"/>
      <c r="J89" s="596"/>
      <c r="K89" s="742"/>
      <c r="L89" s="742"/>
      <c r="M89" s="742"/>
      <c r="N89" s="742"/>
      <c r="O89" s="663"/>
    </row>
    <row r="90" spans="2:15" s="594" customFormat="1" hidden="1" x14ac:dyDescent="0.5">
      <c r="B90" s="680"/>
      <c r="C90" s="750"/>
      <c r="D90" s="663"/>
      <c r="E90" s="596"/>
      <c r="F90" s="596"/>
      <c r="G90" s="742"/>
      <c r="H90" s="596"/>
      <c r="I90" s="596"/>
      <c r="J90" s="596"/>
      <c r="K90" s="742"/>
      <c r="L90" s="742"/>
      <c r="M90" s="742"/>
      <c r="N90" s="742"/>
      <c r="O90" s="663"/>
    </row>
    <row r="91" spans="2:15" s="594" customFormat="1" hidden="1" x14ac:dyDescent="0.5">
      <c r="B91" s="680"/>
      <c r="C91" s="750"/>
      <c r="D91" s="663"/>
      <c r="E91" s="596"/>
      <c r="F91" s="596"/>
      <c r="G91" s="742"/>
      <c r="H91" s="596"/>
      <c r="I91" s="596"/>
      <c r="J91" s="596"/>
      <c r="K91" s="742"/>
      <c r="L91" s="742"/>
      <c r="M91" s="742"/>
      <c r="N91" s="742"/>
      <c r="O91" s="663"/>
    </row>
    <row r="92" spans="2:15" s="594" customFormat="1" hidden="1" x14ac:dyDescent="0.5">
      <c r="B92" s="680"/>
      <c r="C92" s="750"/>
      <c r="D92" s="663"/>
      <c r="E92" s="596"/>
      <c r="F92" s="596"/>
      <c r="G92" s="742"/>
      <c r="H92" s="596"/>
      <c r="I92" s="596"/>
      <c r="J92" s="596"/>
      <c r="K92" s="742"/>
      <c r="L92" s="742"/>
      <c r="M92" s="742"/>
      <c r="N92" s="742"/>
      <c r="O92" s="663"/>
    </row>
    <row r="93" spans="2:15" s="594" customFormat="1" hidden="1" x14ac:dyDescent="0.5">
      <c r="B93" s="680"/>
      <c r="C93" s="750"/>
      <c r="D93" s="663"/>
      <c r="E93" s="596"/>
      <c r="F93" s="596"/>
      <c r="G93" s="742"/>
      <c r="H93" s="596"/>
      <c r="I93" s="596"/>
      <c r="J93" s="596"/>
      <c r="K93" s="742"/>
      <c r="L93" s="742"/>
      <c r="M93" s="742"/>
      <c r="N93" s="742"/>
      <c r="O93" s="663"/>
    </row>
    <row r="94" spans="2:15" s="594" customFormat="1" hidden="1" x14ac:dyDescent="0.5">
      <c r="B94" s="680"/>
      <c r="C94" s="750"/>
      <c r="D94" s="663"/>
      <c r="E94" s="596"/>
      <c r="F94" s="596"/>
      <c r="G94" s="742"/>
      <c r="H94" s="596"/>
      <c r="I94" s="596"/>
      <c r="J94" s="596"/>
      <c r="K94" s="742"/>
      <c r="L94" s="742"/>
      <c r="M94" s="742"/>
      <c r="N94" s="742"/>
      <c r="O94" s="663"/>
    </row>
    <row r="95" spans="2:15" s="594" customFormat="1" hidden="1" x14ac:dyDescent="0.5">
      <c r="B95" s="680"/>
      <c r="C95" s="750"/>
      <c r="D95" s="663"/>
      <c r="E95" s="596"/>
      <c r="F95" s="596"/>
      <c r="G95" s="742"/>
      <c r="H95" s="596"/>
      <c r="I95" s="596"/>
      <c r="J95" s="596"/>
      <c r="K95" s="742"/>
      <c r="L95" s="742"/>
      <c r="M95" s="742"/>
      <c r="N95" s="742"/>
      <c r="O95" s="663"/>
    </row>
    <row r="96" spans="2:15" s="594" customFormat="1" hidden="1" x14ac:dyDescent="0.5">
      <c r="B96" s="680"/>
      <c r="C96" s="750"/>
      <c r="D96" s="663"/>
      <c r="E96" s="596"/>
      <c r="F96" s="596"/>
      <c r="G96" s="742"/>
      <c r="H96" s="596"/>
      <c r="I96" s="596"/>
      <c r="J96" s="596"/>
      <c r="K96" s="742"/>
      <c r="L96" s="742"/>
      <c r="M96" s="742"/>
      <c r="N96" s="742"/>
      <c r="O96" s="663"/>
    </row>
    <row r="97" spans="2:15" s="594" customFormat="1" hidden="1" x14ac:dyDescent="0.5">
      <c r="B97" s="680"/>
      <c r="C97" s="750"/>
      <c r="D97" s="663"/>
      <c r="E97" s="596"/>
      <c r="F97" s="596"/>
      <c r="G97" s="742"/>
      <c r="H97" s="596"/>
      <c r="I97" s="596"/>
      <c r="J97" s="596"/>
      <c r="K97" s="742"/>
      <c r="L97" s="742"/>
      <c r="M97" s="742"/>
      <c r="N97" s="742"/>
      <c r="O97" s="663"/>
    </row>
    <row r="98" spans="2:15" s="594" customFormat="1" hidden="1" x14ac:dyDescent="0.5">
      <c r="B98" s="680"/>
      <c r="C98" s="750"/>
      <c r="D98" s="663"/>
      <c r="E98" s="596"/>
      <c r="F98" s="596"/>
      <c r="G98" s="742"/>
      <c r="H98" s="596"/>
      <c r="I98" s="596"/>
      <c r="J98" s="596"/>
      <c r="K98" s="742"/>
      <c r="L98" s="742"/>
      <c r="M98" s="742"/>
      <c r="N98" s="742"/>
      <c r="O98" s="663"/>
    </row>
  </sheetData>
  <mergeCells count="20">
    <mergeCell ref="A1:O1"/>
    <mergeCell ref="A2:O2"/>
    <mergeCell ref="A3:O3"/>
    <mergeCell ref="A4:O4"/>
    <mergeCell ref="C5:D7"/>
    <mergeCell ref="E5:G5"/>
    <mergeCell ref="O5:O7"/>
    <mergeCell ref="A45:D45"/>
    <mergeCell ref="A46:D46"/>
    <mergeCell ref="A58:O58"/>
    <mergeCell ref="B8:D8"/>
    <mergeCell ref="B29:D29"/>
    <mergeCell ref="A39:G39"/>
    <mergeCell ref="A40:D40"/>
    <mergeCell ref="A41:G41"/>
    <mergeCell ref="A42:G42"/>
    <mergeCell ref="A43:G43"/>
    <mergeCell ref="A44:D44"/>
    <mergeCell ref="A37:D37"/>
    <mergeCell ref="A38:D38"/>
  </mergeCells>
  <phoneticPr fontId="119" type="noConversion"/>
  <pageMargins left="0.39370078740157483" right="0" top="0.6692913385826772" bottom="0.43307086614173229" header="0.23622047244094491" footer="0.19685039370078741"/>
  <pageSetup paperSize="5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26E3B-F365-4C2D-8731-857B7E029BA8}">
  <sheetPr>
    <tabColor rgb="FF00B050"/>
  </sheetPr>
  <dimension ref="A1:M46"/>
  <sheetViews>
    <sheetView topLeftCell="A4" workbookViewId="0">
      <selection activeCell="D10" sqref="D10"/>
    </sheetView>
  </sheetViews>
  <sheetFormatPr defaultRowHeight="24" x14ac:dyDescent="0.55000000000000004"/>
  <cols>
    <col min="1" max="1" width="2.5703125" style="221" bestFit="1" customWidth="1"/>
    <col min="2" max="2" width="7.7109375" style="221" customWidth="1"/>
    <col min="3" max="3" width="25.140625" style="219" bestFit="1" customWidth="1"/>
    <col min="4" max="4" width="22.28515625" style="219" customWidth="1"/>
    <col min="5" max="6" width="20.140625" style="219" customWidth="1"/>
    <col min="7" max="7" width="17.5703125" style="219" customWidth="1"/>
    <col min="8" max="8" width="18.42578125" style="219" customWidth="1"/>
    <col min="9" max="9" width="20.140625" style="219" customWidth="1"/>
    <col min="10" max="10" width="17.5703125" style="219" customWidth="1"/>
    <col min="11" max="11" width="22.28515625" style="219" customWidth="1"/>
    <col min="12" max="12" width="17.5703125" style="219" customWidth="1"/>
    <col min="13" max="16384" width="9.140625" style="219"/>
  </cols>
  <sheetData>
    <row r="1" spans="1:13" ht="30.75" x14ac:dyDescent="0.7">
      <c r="A1" s="1194" t="str">
        <f>+รายงานผู้บริหาร!A1</f>
        <v>กรมพินิจและคุ้มครองเด็กและเยาวชน กระทรวงยุติธรรม</v>
      </c>
      <c r="B1" s="1194"/>
      <c r="C1" s="1194"/>
      <c r="D1" s="1194"/>
      <c r="E1" s="1194"/>
      <c r="F1" s="1194"/>
      <c r="G1" s="1194"/>
      <c r="H1" s="1194"/>
      <c r="I1" s="1194"/>
      <c r="J1" s="1194"/>
      <c r="K1" s="1194"/>
      <c r="L1" s="1194"/>
      <c r="M1" s="477"/>
    </row>
    <row r="2" spans="1:13" ht="30.75" x14ac:dyDescent="0.7">
      <c r="A2" s="1194" t="str">
        <f>+รายงานผู้บริหาร!A2</f>
        <v>สรุปรายละเอียดการเบิกจ่ายเงินงบประมาณประจำปีงบประมาณ พ.ศ. 2565</v>
      </c>
      <c r="B2" s="1194"/>
      <c r="C2" s="1194"/>
      <c r="D2" s="1194"/>
      <c r="E2" s="1194"/>
      <c r="F2" s="1194"/>
      <c r="G2" s="1194"/>
      <c r="H2" s="1194"/>
      <c r="I2" s="1194"/>
      <c r="J2" s="1194"/>
      <c r="K2" s="1194"/>
      <c r="L2" s="1194"/>
      <c r="M2" s="934"/>
    </row>
    <row r="3" spans="1:13" ht="30.75" x14ac:dyDescent="0.7">
      <c r="A3" s="1195" t="str">
        <f>+รายงานผู้บริหาร!A3</f>
        <v>ตั้งแต่วันที่ 1  ตุลาคม 2564 ถึงวันที่ 31 มกราคม 2565</v>
      </c>
      <c r="B3" s="1196"/>
      <c r="C3" s="1196"/>
      <c r="D3" s="1196"/>
      <c r="E3" s="1196"/>
      <c r="F3" s="1196"/>
      <c r="G3" s="1196"/>
      <c r="H3" s="1196"/>
      <c r="I3" s="1196"/>
      <c r="J3" s="1196"/>
      <c r="K3" s="1196"/>
      <c r="L3" s="1196"/>
      <c r="M3" s="477"/>
    </row>
    <row r="4" spans="1:13" s="215" customFormat="1" x14ac:dyDescent="0.55000000000000004">
      <c r="A4" s="1157" t="s">
        <v>58</v>
      </c>
      <c r="B4" s="1157"/>
      <c r="C4" s="1157"/>
      <c r="D4" s="1160" t="s">
        <v>961</v>
      </c>
      <c r="E4" s="1160"/>
      <c r="F4" s="1157" t="s">
        <v>105</v>
      </c>
      <c r="G4" s="1034" t="s">
        <v>625</v>
      </c>
      <c r="H4" s="1035" t="s">
        <v>161</v>
      </c>
      <c r="I4" s="1160" t="s">
        <v>967</v>
      </c>
      <c r="J4" s="1197"/>
      <c r="K4" s="907" t="s">
        <v>60</v>
      </c>
      <c r="L4" s="932" t="s">
        <v>934</v>
      </c>
    </row>
    <row r="5" spans="1:13" s="215" customFormat="1" x14ac:dyDescent="0.55000000000000004">
      <c r="A5" s="1158"/>
      <c r="B5" s="1158"/>
      <c r="C5" s="1158"/>
      <c r="D5" s="932" t="s">
        <v>624</v>
      </c>
      <c r="E5" s="932" t="s">
        <v>602</v>
      </c>
      <c r="F5" s="1158"/>
      <c r="G5" s="1036" t="s">
        <v>935</v>
      </c>
      <c r="H5" s="1037" t="s">
        <v>873</v>
      </c>
      <c r="I5" s="957" t="s">
        <v>377</v>
      </c>
      <c r="J5" s="1034" t="s">
        <v>81</v>
      </c>
      <c r="K5" s="910" t="s">
        <v>933</v>
      </c>
      <c r="L5" s="933" t="s">
        <v>935</v>
      </c>
    </row>
    <row r="6" spans="1:13" s="215" customFormat="1" x14ac:dyDescent="0.55000000000000004">
      <c r="A6" s="1159"/>
      <c r="B6" s="1159"/>
      <c r="C6" s="1159"/>
      <c r="D6" s="912" t="s">
        <v>937</v>
      </c>
      <c r="E6" s="912" t="s">
        <v>938</v>
      </c>
      <c r="F6" s="912" t="s">
        <v>939</v>
      </c>
      <c r="G6" s="1038" t="s">
        <v>940</v>
      </c>
      <c r="H6" s="1039" t="s">
        <v>941</v>
      </c>
      <c r="I6" s="918" t="s">
        <v>963</v>
      </c>
      <c r="J6" s="1038" t="s">
        <v>964</v>
      </c>
      <c r="K6" s="920" t="s">
        <v>965</v>
      </c>
      <c r="L6" s="918" t="s">
        <v>966</v>
      </c>
    </row>
    <row r="7" spans="1:13" s="477" customFormat="1" ht="31.5" customHeight="1" x14ac:dyDescent="0.65">
      <c r="A7" s="843" t="s">
        <v>980</v>
      </c>
      <c r="B7" s="844"/>
      <c r="C7" s="845"/>
      <c r="D7" s="846"/>
      <c r="E7" s="846"/>
      <c r="F7" s="846"/>
      <c r="G7" s="1040"/>
      <c r="H7" s="1041"/>
      <c r="I7" s="847"/>
      <c r="J7" s="1040"/>
      <c r="K7" s="846"/>
      <c r="L7" s="848"/>
    </row>
    <row r="8" spans="1:13" s="484" customFormat="1" ht="32.25" customHeight="1" x14ac:dyDescent="0.65">
      <c r="A8" s="849"/>
      <c r="B8" s="850">
        <v>1.1000000000000001</v>
      </c>
      <c r="C8" s="851" t="s">
        <v>13</v>
      </c>
      <c r="D8" s="852">
        <f>+รายจ่ายจริง!G79</f>
        <v>1390052000</v>
      </c>
      <c r="E8" s="852">
        <f>+รายจ่ายจริง!G80</f>
        <v>695026000</v>
      </c>
      <c r="F8" s="852">
        <f>+รายจ่ายจริง!G82</f>
        <v>455978224.26999998</v>
      </c>
      <c r="G8" s="1018">
        <f>+F8*100/D8</f>
        <v>32.802961635248181</v>
      </c>
      <c r="H8" s="1019">
        <f>+รายจ่ายจริง!G81</f>
        <v>0</v>
      </c>
      <c r="I8" s="852">
        <f>+F8+H8</f>
        <v>455978224.26999998</v>
      </c>
      <c r="J8" s="1018">
        <f>+I8*100/D8</f>
        <v>32.802961635248181</v>
      </c>
      <c r="K8" s="869">
        <f>+D8-F8</f>
        <v>934073775.73000002</v>
      </c>
      <c r="L8" s="852">
        <f>+K8*100/D8</f>
        <v>67.197038364751819</v>
      </c>
    </row>
    <row r="9" spans="1:13" s="484" customFormat="1" ht="32.25" customHeight="1" x14ac:dyDescent="0.65">
      <c r="A9" s="849"/>
      <c r="B9" s="850">
        <v>1.2</v>
      </c>
      <c r="C9" s="851" t="s">
        <v>14</v>
      </c>
      <c r="D9" s="852">
        <f>+รายจ่ายจริง!J79</f>
        <v>432541700</v>
      </c>
      <c r="E9" s="852">
        <f>+รายจ่ายจริง!J80</f>
        <v>216270500</v>
      </c>
      <c r="F9" s="852">
        <f>+รายจ่ายจริง!J82</f>
        <v>108116326.24000001</v>
      </c>
      <c r="G9" s="1018">
        <f t="shared" ref="G9:G33" si="0">+F9*100/D9</f>
        <v>24.995584527457122</v>
      </c>
      <c r="H9" s="1019">
        <f>+รายจ่ายจริง!J81</f>
        <v>44861334.840000004</v>
      </c>
      <c r="I9" s="852">
        <f t="shared" ref="I9:I11" si="1">+F9+H9</f>
        <v>152977661.08000001</v>
      </c>
      <c r="J9" s="1018">
        <f t="shared" ref="J9:J14" si="2">+I9*100/D9</f>
        <v>35.367147509708317</v>
      </c>
      <c r="K9" s="869">
        <f t="shared" ref="K9:K11" si="3">+D9-F9</f>
        <v>324425373.75999999</v>
      </c>
      <c r="L9" s="852">
        <f t="shared" ref="L9:L30" si="4">+K9*100/D9</f>
        <v>75.004415472542874</v>
      </c>
    </row>
    <row r="10" spans="1:13" s="484" customFormat="1" ht="32.25" customHeight="1" x14ac:dyDescent="0.65">
      <c r="A10" s="849"/>
      <c r="B10" s="850">
        <v>1.3</v>
      </c>
      <c r="C10" s="851" t="s">
        <v>15</v>
      </c>
      <c r="D10" s="852">
        <f>+รายจ่ายจริง!M79</f>
        <v>118294300</v>
      </c>
      <c r="E10" s="852">
        <f>+รายจ่ายจริง!M80</f>
        <v>68223500</v>
      </c>
      <c r="F10" s="852">
        <f>+รายจ่ายจริง!M82</f>
        <v>18036707.699999999</v>
      </c>
      <c r="G10" s="1018">
        <f t="shared" si="0"/>
        <v>15.247317664502855</v>
      </c>
      <c r="H10" s="1019">
        <f>+รายจ่ายจริง!M81</f>
        <v>22444868</v>
      </c>
      <c r="I10" s="852">
        <f t="shared" si="1"/>
        <v>40481575.700000003</v>
      </c>
      <c r="J10" s="1018">
        <f t="shared" si="2"/>
        <v>34.221070415058044</v>
      </c>
      <c r="K10" s="869">
        <f t="shared" si="3"/>
        <v>100257592.3</v>
      </c>
      <c r="L10" s="852">
        <f t="shared" si="4"/>
        <v>84.752682335497141</v>
      </c>
    </row>
    <row r="11" spans="1:13" s="484" customFormat="1" ht="32.25" customHeight="1" x14ac:dyDescent="0.65">
      <c r="A11" s="849"/>
      <c r="B11" s="850">
        <v>1.4</v>
      </c>
      <c r="C11" s="851" t="s">
        <v>16</v>
      </c>
      <c r="D11" s="852">
        <f>+รายจ่ายจริง!O79</f>
        <v>28793900</v>
      </c>
      <c r="E11" s="852">
        <f>+รายจ่ายจริง!O80</f>
        <v>14396800</v>
      </c>
      <c r="F11" s="852">
        <f>+รายจ่ายจริง!O82</f>
        <v>1250719.4200000002</v>
      </c>
      <c r="G11" s="1018">
        <f t="shared" si="0"/>
        <v>4.3436957827873268</v>
      </c>
      <c r="H11" s="1019">
        <f>+รายจ่ายจริง!O81</f>
        <v>2611120</v>
      </c>
      <c r="I11" s="852">
        <f t="shared" si="1"/>
        <v>3861839.42</v>
      </c>
      <c r="J11" s="1018">
        <f t="shared" si="2"/>
        <v>13.412005390030528</v>
      </c>
      <c r="K11" s="869">
        <f t="shared" si="3"/>
        <v>27543180.579999998</v>
      </c>
      <c r="L11" s="852">
        <f t="shared" si="4"/>
        <v>95.656304217212679</v>
      </c>
    </row>
    <row r="12" spans="1:13" s="477" customFormat="1" ht="35.25" customHeight="1" x14ac:dyDescent="0.7">
      <c r="A12" s="1179" t="s">
        <v>74</v>
      </c>
      <c r="B12" s="1179"/>
      <c r="C12" s="1179"/>
      <c r="D12" s="853">
        <f>SUM(D8:D11)</f>
        <v>1969681900</v>
      </c>
      <c r="E12" s="853">
        <f t="shared" ref="E12:I12" si="5">SUM(E8:E11)</f>
        <v>993916800</v>
      </c>
      <c r="F12" s="853">
        <f t="shared" si="5"/>
        <v>583381977.63</v>
      </c>
      <c r="G12" s="1028">
        <f t="shared" si="0"/>
        <v>29.618080850009335</v>
      </c>
      <c r="H12" s="1025">
        <f t="shared" si="5"/>
        <v>69917322.840000004</v>
      </c>
      <c r="I12" s="853">
        <f t="shared" si="5"/>
        <v>653299300.47000003</v>
      </c>
      <c r="J12" s="1024">
        <f t="shared" si="2"/>
        <v>33.167756705790922</v>
      </c>
      <c r="K12" s="872">
        <f t="shared" ref="K12" si="6">SUM(K8:K11)</f>
        <v>1386299922.3699999</v>
      </c>
      <c r="L12" s="982">
        <f t="shared" si="4"/>
        <v>70.381919149990665</v>
      </c>
    </row>
    <row r="13" spans="1:13" s="484" customFormat="1" ht="35.25" customHeight="1" x14ac:dyDescent="0.65">
      <c r="A13" s="1180" t="s">
        <v>948</v>
      </c>
      <c r="B13" s="1180"/>
      <c r="C13" s="1180"/>
      <c r="D13" s="852">
        <f>SUM(D8:D9)+D11</f>
        <v>1851387600</v>
      </c>
      <c r="E13" s="852">
        <f t="shared" ref="E13:K13" si="7">SUM(E8:E9)+E11</f>
        <v>925693300</v>
      </c>
      <c r="F13" s="852">
        <f t="shared" si="7"/>
        <v>565345269.92999995</v>
      </c>
      <c r="G13" s="1018">
        <f t="shared" si="0"/>
        <v>30.536299904460844</v>
      </c>
      <c r="H13" s="1019">
        <f t="shared" ref="H13" si="8">SUM(H8:H9)+H11</f>
        <v>47472454.840000004</v>
      </c>
      <c r="I13" s="852">
        <f t="shared" si="7"/>
        <v>612817724.76999998</v>
      </c>
      <c r="J13" s="1018">
        <f t="shared" si="2"/>
        <v>33.100455289319214</v>
      </c>
      <c r="K13" s="869">
        <f t="shared" si="7"/>
        <v>1286042330.0699999</v>
      </c>
      <c r="L13" s="852">
        <f t="shared" si="4"/>
        <v>69.463700095539153</v>
      </c>
    </row>
    <row r="14" spans="1:13" s="484" customFormat="1" ht="35.25" customHeight="1" x14ac:dyDescent="0.65">
      <c r="A14" s="1180" t="s">
        <v>949</v>
      </c>
      <c r="B14" s="1180"/>
      <c r="C14" s="1180"/>
      <c r="D14" s="852">
        <f>+D10</f>
        <v>118294300</v>
      </c>
      <c r="E14" s="852">
        <f t="shared" ref="E14:K14" si="9">+E10</f>
        <v>68223500</v>
      </c>
      <c r="F14" s="852">
        <f t="shared" si="9"/>
        <v>18036707.699999999</v>
      </c>
      <c r="G14" s="1018">
        <f t="shared" si="0"/>
        <v>15.247317664502855</v>
      </c>
      <c r="H14" s="1019">
        <f t="shared" ref="H14" si="10">+H10</f>
        <v>22444868</v>
      </c>
      <c r="I14" s="852">
        <f t="shared" si="9"/>
        <v>40481575.700000003</v>
      </c>
      <c r="J14" s="1018">
        <f t="shared" si="2"/>
        <v>34.221070415058044</v>
      </c>
      <c r="K14" s="869">
        <f t="shared" si="9"/>
        <v>100257592.3</v>
      </c>
      <c r="L14" s="852">
        <f t="shared" si="4"/>
        <v>84.752682335497141</v>
      </c>
    </row>
    <row r="15" spans="1:13" s="477" customFormat="1" ht="27.75" x14ac:dyDescent="0.65">
      <c r="A15" s="1182" t="s">
        <v>982</v>
      </c>
      <c r="B15" s="1183"/>
      <c r="C15" s="1183"/>
      <c r="D15" s="1183"/>
      <c r="E15" s="1183"/>
      <c r="F15" s="1183"/>
      <c r="G15" s="1183"/>
      <c r="H15" s="1183"/>
      <c r="I15" s="1183"/>
      <c r="J15" s="1183"/>
      <c r="K15" s="1183"/>
      <c r="L15" s="1184"/>
    </row>
    <row r="16" spans="1:13" s="477" customFormat="1" ht="30.75" x14ac:dyDescent="0.7">
      <c r="A16" s="1091" t="s">
        <v>58</v>
      </c>
      <c r="B16" s="1092"/>
      <c r="C16" s="1095" t="s">
        <v>983</v>
      </c>
      <c r="D16" s="1096"/>
      <c r="E16" s="1192" t="s">
        <v>984</v>
      </c>
      <c r="F16" s="1193"/>
      <c r="G16" s="1099" t="s">
        <v>985</v>
      </c>
      <c r="H16" s="1095"/>
      <c r="I16" s="1095" t="s">
        <v>986</v>
      </c>
      <c r="J16" s="1095"/>
      <c r="K16" s="1185" t="s">
        <v>990</v>
      </c>
      <c r="L16" s="1186"/>
    </row>
    <row r="17" spans="1:12" s="477" customFormat="1" ht="27.75" x14ac:dyDescent="0.65">
      <c r="A17" s="1093"/>
      <c r="B17" s="1094"/>
      <c r="C17" s="937" t="s">
        <v>987</v>
      </c>
      <c r="D17" s="942" t="s">
        <v>988</v>
      </c>
      <c r="E17" s="1042" t="s">
        <v>987</v>
      </c>
      <c r="F17" s="1043" t="s">
        <v>988</v>
      </c>
      <c r="G17" s="943" t="s">
        <v>987</v>
      </c>
      <c r="H17" s="941" t="s">
        <v>988</v>
      </c>
      <c r="I17" s="937" t="s">
        <v>987</v>
      </c>
      <c r="J17" s="941" t="s">
        <v>988</v>
      </c>
      <c r="K17" s="937" t="s">
        <v>987</v>
      </c>
      <c r="L17" s="941" t="s">
        <v>988</v>
      </c>
    </row>
    <row r="18" spans="1:12" s="484" customFormat="1" ht="32.25" customHeight="1" x14ac:dyDescent="0.65">
      <c r="A18" s="1076" t="s">
        <v>989</v>
      </c>
      <c r="B18" s="1077"/>
      <c r="C18" s="1187">
        <v>30</v>
      </c>
      <c r="D18" s="1151">
        <v>34.08</v>
      </c>
      <c r="E18" s="1153">
        <f>+C18+21</f>
        <v>51</v>
      </c>
      <c r="F18" s="1155">
        <f>+D18+22.16</f>
        <v>56.239999999999995</v>
      </c>
      <c r="G18" s="1190">
        <f>+E18+21</f>
        <v>72</v>
      </c>
      <c r="H18" s="1187">
        <f>+F18+25.5</f>
        <v>81.739999999999995</v>
      </c>
      <c r="I18" s="1187">
        <f>+G18+21</f>
        <v>93</v>
      </c>
      <c r="J18" s="1187">
        <f>+H18+18.26</f>
        <v>100</v>
      </c>
      <c r="K18" s="944" t="s">
        <v>350</v>
      </c>
      <c r="L18" s="944" t="s">
        <v>350</v>
      </c>
    </row>
    <row r="19" spans="1:12" s="484" customFormat="1" ht="32.25" customHeight="1" x14ac:dyDescent="0.8">
      <c r="A19" s="1078"/>
      <c r="B19" s="1079"/>
      <c r="C19" s="1188"/>
      <c r="D19" s="1152"/>
      <c r="E19" s="1154"/>
      <c r="F19" s="1156"/>
      <c r="G19" s="1191"/>
      <c r="H19" s="1188"/>
      <c r="I19" s="1188"/>
      <c r="J19" s="1188"/>
      <c r="K19" s="979">
        <f>+G12-E18</f>
        <v>-21.381919149990665</v>
      </c>
      <c r="L19" s="980">
        <f>+J12-F18</f>
        <v>-23.072243294209073</v>
      </c>
    </row>
    <row r="20" spans="1:12" s="484" customFormat="1" ht="32.25" customHeight="1" x14ac:dyDescent="0.65">
      <c r="A20" s="1076" t="s">
        <v>269</v>
      </c>
      <c r="B20" s="1077"/>
      <c r="C20" s="1162">
        <v>34</v>
      </c>
      <c r="D20" s="1164">
        <v>35.33</v>
      </c>
      <c r="E20" s="1166">
        <f>+C20+23</f>
        <v>57</v>
      </c>
      <c r="F20" s="1168">
        <f>+D20+20.45</f>
        <v>55.78</v>
      </c>
      <c r="G20" s="1170">
        <f>+E20+22</f>
        <v>79</v>
      </c>
      <c r="H20" s="1162">
        <f>+F20+25.98</f>
        <v>81.760000000000005</v>
      </c>
      <c r="I20" s="1162">
        <f>+G20+19</f>
        <v>98</v>
      </c>
      <c r="J20" s="1162">
        <f>+H20+18.24</f>
        <v>100</v>
      </c>
      <c r="K20" s="981" t="s">
        <v>350</v>
      </c>
      <c r="L20" s="981" t="s">
        <v>350</v>
      </c>
    </row>
    <row r="21" spans="1:12" s="484" customFormat="1" ht="32.25" customHeight="1" x14ac:dyDescent="0.8">
      <c r="A21" s="1078"/>
      <c r="B21" s="1079"/>
      <c r="C21" s="1163"/>
      <c r="D21" s="1165"/>
      <c r="E21" s="1167"/>
      <c r="F21" s="1169"/>
      <c r="G21" s="1171"/>
      <c r="H21" s="1163"/>
      <c r="I21" s="1163"/>
      <c r="J21" s="1163"/>
      <c r="K21" s="979">
        <f>+G13-E20</f>
        <v>-26.463700095539156</v>
      </c>
      <c r="L21" s="980">
        <f>+J13-F20</f>
        <v>-22.679544710680787</v>
      </c>
    </row>
    <row r="22" spans="1:12" s="484" customFormat="1" ht="32.25" customHeight="1" x14ac:dyDescent="0.65">
      <c r="A22" s="1076" t="s">
        <v>270</v>
      </c>
      <c r="B22" s="1077"/>
      <c r="C22" s="1162">
        <v>13</v>
      </c>
      <c r="D22" s="1164">
        <v>28.96</v>
      </c>
      <c r="E22" s="1166">
        <f>+C22+16</f>
        <v>29</v>
      </c>
      <c r="F22" s="1168">
        <f>+D22+29.19</f>
        <v>58.150000000000006</v>
      </c>
      <c r="G22" s="1170">
        <f>+E22+17</f>
        <v>46</v>
      </c>
      <c r="H22" s="1162">
        <f>+F22+23.5</f>
        <v>81.650000000000006</v>
      </c>
      <c r="I22" s="1162">
        <f>+G22+29</f>
        <v>75</v>
      </c>
      <c r="J22" s="1162">
        <f>+H22+18.35</f>
        <v>100</v>
      </c>
      <c r="K22" s="981" t="s">
        <v>350</v>
      </c>
      <c r="L22" s="981" t="s">
        <v>350</v>
      </c>
    </row>
    <row r="23" spans="1:12" s="484" customFormat="1" ht="32.25" customHeight="1" x14ac:dyDescent="0.8">
      <c r="A23" s="1078"/>
      <c r="B23" s="1079"/>
      <c r="C23" s="1163"/>
      <c r="D23" s="1165"/>
      <c r="E23" s="1167"/>
      <c r="F23" s="1169"/>
      <c r="G23" s="1171"/>
      <c r="H23" s="1163"/>
      <c r="I23" s="1163"/>
      <c r="J23" s="1163"/>
      <c r="K23" s="980">
        <f>+G14-E22</f>
        <v>-13.752682335497145</v>
      </c>
      <c r="L23" s="980">
        <f>+J14-F22</f>
        <v>-23.928929584941962</v>
      </c>
    </row>
    <row r="24" spans="1:12" s="215" customFormat="1" x14ac:dyDescent="0.55000000000000004">
      <c r="A24" s="1157" t="s">
        <v>58</v>
      </c>
      <c r="B24" s="1157"/>
      <c r="C24" s="1157"/>
      <c r="D24" s="1160" t="s">
        <v>961</v>
      </c>
      <c r="E24" s="1160"/>
      <c r="F24" s="1157" t="s">
        <v>105</v>
      </c>
      <c r="G24" s="906" t="s">
        <v>625</v>
      </c>
      <c r="H24" s="907" t="s">
        <v>161</v>
      </c>
      <c r="I24" s="1160" t="s">
        <v>967</v>
      </c>
      <c r="J24" s="1161"/>
      <c r="K24" s="907" t="s">
        <v>60</v>
      </c>
      <c r="L24" s="932" t="s">
        <v>934</v>
      </c>
    </row>
    <row r="25" spans="1:12" s="215" customFormat="1" x14ac:dyDescent="0.55000000000000004">
      <c r="A25" s="1158"/>
      <c r="B25" s="1158"/>
      <c r="C25" s="1158"/>
      <c r="D25" s="932" t="s">
        <v>624</v>
      </c>
      <c r="E25" s="932" t="s">
        <v>602</v>
      </c>
      <c r="F25" s="1158"/>
      <c r="G25" s="909" t="s">
        <v>935</v>
      </c>
      <c r="H25" s="910" t="s">
        <v>873</v>
      </c>
      <c r="I25" s="932" t="s">
        <v>377</v>
      </c>
      <c r="J25" s="906" t="s">
        <v>81</v>
      </c>
      <c r="K25" s="910" t="s">
        <v>933</v>
      </c>
      <c r="L25" s="933" t="s">
        <v>935</v>
      </c>
    </row>
    <row r="26" spans="1:12" s="215" customFormat="1" x14ac:dyDescent="0.55000000000000004">
      <c r="A26" s="1159"/>
      <c r="B26" s="1159"/>
      <c r="C26" s="1159"/>
      <c r="D26" s="912" t="s">
        <v>937</v>
      </c>
      <c r="E26" s="912" t="s">
        <v>938</v>
      </c>
      <c r="F26" s="912" t="s">
        <v>939</v>
      </c>
      <c r="G26" s="919" t="s">
        <v>940</v>
      </c>
      <c r="H26" s="920" t="s">
        <v>941</v>
      </c>
      <c r="I26" s="918" t="s">
        <v>963</v>
      </c>
      <c r="J26" s="919" t="s">
        <v>964</v>
      </c>
      <c r="K26" s="920" t="s">
        <v>965</v>
      </c>
      <c r="L26" s="918" t="s">
        <v>966</v>
      </c>
    </row>
    <row r="27" spans="1:12" s="477" customFormat="1" ht="30" customHeight="1" x14ac:dyDescent="0.65">
      <c r="A27" s="854" t="s">
        <v>959</v>
      </c>
      <c r="B27" s="855"/>
      <c r="C27" s="855"/>
      <c r="D27" s="855"/>
      <c r="E27" s="855"/>
      <c r="F27" s="855"/>
      <c r="G27" s="855"/>
      <c r="H27" s="855"/>
      <c r="I27" s="855"/>
      <c r="J27" s="855"/>
      <c r="K27" s="855"/>
      <c r="L27" s="856"/>
    </row>
    <row r="28" spans="1:12" s="484" customFormat="1" ht="30" customHeight="1" x14ac:dyDescent="0.65">
      <c r="A28" s="849"/>
      <c r="B28" s="850">
        <v>2.1</v>
      </c>
      <c r="C28" s="851" t="s">
        <v>946</v>
      </c>
      <c r="D28" s="857">
        <f>+เงินกันปี64!H65-เงินกันปี64!H63</f>
        <v>136444872.72</v>
      </c>
      <c r="E28" s="858"/>
      <c r="F28" s="857">
        <f>+เงินกันปี64!I65-เงินกันปี64!I63</f>
        <v>28502931.82</v>
      </c>
      <c r="G28" s="881">
        <f t="shared" si="0"/>
        <v>20.889705308671566</v>
      </c>
      <c r="H28" s="869"/>
      <c r="I28" s="859"/>
      <c r="J28" s="885"/>
      <c r="K28" s="883">
        <f>+D28-F28</f>
        <v>107941940.90000001</v>
      </c>
      <c r="L28" s="852">
        <f t="shared" si="4"/>
        <v>79.110294691328434</v>
      </c>
    </row>
    <row r="29" spans="1:12" s="484" customFormat="1" ht="30" customHeight="1" x14ac:dyDescent="0.65">
      <c r="A29" s="849"/>
      <c r="B29" s="850">
        <v>2.2000000000000002</v>
      </c>
      <c r="C29" s="851" t="s">
        <v>945</v>
      </c>
      <c r="D29" s="857">
        <f>+เงินกันปี64!H63</f>
        <v>5000000</v>
      </c>
      <c r="E29" s="858"/>
      <c r="F29" s="857">
        <f>+เงินกันปี64!I63</f>
        <v>5000000</v>
      </c>
      <c r="G29" s="881">
        <f t="shared" si="0"/>
        <v>100</v>
      </c>
      <c r="H29" s="869"/>
      <c r="I29" s="859"/>
      <c r="J29" s="885"/>
      <c r="K29" s="1044">
        <f>+D29-F29</f>
        <v>0</v>
      </c>
      <c r="L29" s="852">
        <f t="shared" si="4"/>
        <v>0</v>
      </c>
    </row>
    <row r="30" spans="1:12" s="477" customFormat="1" ht="30" customHeight="1" x14ac:dyDescent="0.65">
      <c r="A30" s="1179" t="s">
        <v>74</v>
      </c>
      <c r="B30" s="1179"/>
      <c r="C30" s="1179"/>
      <c r="D30" s="860">
        <f>SUM(D28:D29)</f>
        <v>141444872.72</v>
      </c>
      <c r="E30" s="861"/>
      <c r="F30" s="860">
        <f t="shared" ref="F30:K30" si="11">SUM(F28:F29)</f>
        <v>33502931.82</v>
      </c>
      <c r="G30" s="882">
        <f t="shared" si="0"/>
        <v>23.686211578924741</v>
      </c>
      <c r="H30" s="872"/>
      <c r="I30" s="861"/>
      <c r="J30" s="886"/>
      <c r="K30" s="884">
        <f t="shared" si="11"/>
        <v>107941940.90000001</v>
      </c>
      <c r="L30" s="853">
        <f t="shared" si="4"/>
        <v>76.313788421075259</v>
      </c>
    </row>
    <row r="31" spans="1:12" s="484" customFormat="1" ht="30" customHeight="1" x14ac:dyDescent="0.65">
      <c r="A31" s="1181" t="s">
        <v>951</v>
      </c>
      <c r="B31" s="1181"/>
      <c r="C31" s="1181"/>
      <c r="D31" s="1181"/>
      <c r="E31" s="1181"/>
      <c r="F31" s="1181"/>
      <c r="G31" s="1181"/>
      <c r="H31" s="1181"/>
      <c r="I31" s="1181"/>
      <c r="J31" s="1181"/>
      <c r="K31" s="1181"/>
      <c r="L31" s="1181"/>
    </row>
    <row r="32" spans="1:12" s="484" customFormat="1" ht="30" customHeight="1" x14ac:dyDescent="0.65">
      <c r="A32" s="866"/>
      <c r="B32" s="850" t="s">
        <v>621</v>
      </c>
      <c r="C32" s="865"/>
      <c r="D32" s="852">
        <f>+'เบิกแทน กรมคุม'!D103</f>
        <v>2700000</v>
      </c>
      <c r="E32" s="858"/>
      <c r="F32" s="867">
        <f>+'เบิกแทน กรมคุม'!E103</f>
        <v>556359.67999999993</v>
      </c>
      <c r="G32" s="881">
        <f t="shared" si="0"/>
        <v>20.605914074074072</v>
      </c>
      <c r="H32" s="869"/>
      <c r="I32" s="858"/>
      <c r="J32" s="887"/>
      <c r="K32" s="883">
        <f>+D32-F32</f>
        <v>2143640.3200000003</v>
      </c>
      <c r="L32" s="852">
        <f t="shared" ref="L32:L33" si="12">+K32*100/D32</f>
        <v>79.394085925925935</v>
      </c>
    </row>
    <row r="33" spans="1:12" s="477" customFormat="1" ht="30" customHeight="1" x14ac:dyDescent="0.65">
      <c r="A33" s="1179" t="s">
        <v>74</v>
      </c>
      <c r="B33" s="1179"/>
      <c r="C33" s="1179"/>
      <c r="D33" s="860">
        <f>+D32</f>
        <v>2700000</v>
      </c>
      <c r="E33" s="861"/>
      <c r="F33" s="864">
        <f>+F32</f>
        <v>556359.67999999993</v>
      </c>
      <c r="G33" s="882">
        <f t="shared" si="0"/>
        <v>20.605914074074072</v>
      </c>
      <c r="H33" s="872"/>
      <c r="I33" s="861"/>
      <c r="J33" s="886"/>
      <c r="K33" s="884">
        <f t="shared" ref="K33" si="13">SUM(K31:K32)</f>
        <v>2143640.3200000003</v>
      </c>
      <c r="L33" s="853">
        <f t="shared" si="12"/>
        <v>79.394085925925935</v>
      </c>
    </row>
    <row r="34" spans="1:12" s="936" customFormat="1" ht="27.75" x14ac:dyDescent="0.65">
      <c r="A34" s="879" t="s">
        <v>947</v>
      </c>
      <c r="B34" s="879"/>
    </row>
    <row r="35" spans="1:12" s="936" customFormat="1" ht="27.75" x14ac:dyDescent="0.65">
      <c r="A35" s="862" t="s">
        <v>969</v>
      </c>
      <c r="B35" s="879"/>
    </row>
    <row r="36" spans="1:12" s="477" customFormat="1" ht="27.75" x14ac:dyDescent="0.65">
      <c r="A36" s="862" t="s">
        <v>968</v>
      </c>
      <c r="B36" s="862"/>
    </row>
    <row r="37" spans="1:12" s="477" customFormat="1" ht="33.75" customHeight="1" x14ac:dyDescent="0.65">
      <c r="A37" s="1189" t="s">
        <v>905</v>
      </c>
      <c r="B37" s="1189"/>
      <c r="C37" s="1189"/>
      <c r="D37" s="1189"/>
      <c r="E37" s="1189"/>
      <c r="F37" s="1189"/>
      <c r="G37" s="1189"/>
      <c r="H37" s="1189"/>
      <c r="I37" s="1189"/>
      <c r="J37" s="1189"/>
      <c r="K37" s="1189"/>
      <c r="L37" s="1189"/>
    </row>
    <row r="38" spans="1:12" s="914" customFormat="1" ht="27.75" x14ac:dyDescent="0.5">
      <c r="A38" s="1108" t="s">
        <v>58</v>
      </c>
      <c r="B38" s="1108"/>
      <c r="C38" s="1108"/>
      <c r="D38" s="1108"/>
      <c r="E38" s="1108"/>
      <c r="F38" s="1108"/>
      <c r="G38" s="1108"/>
      <c r="H38" s="1108"/>
      <c r="I38" s="1108"/>
      <c r="J38" s="1108" t="s">
        <v>957</v>
      </c>
      <c r="K38" s="1108"/>
      <c r="L38" s="935" t="s">
        <v>160</v>
      </c>
    </row>
    <row r="39" spans="1:12" s="477" customFormat="1" ht="27.75" x14ac:dyDescent="0.65">
      <c r="A39" s="866">
        <v>1</v>
      </c>
      <c r="B39" s="870" t="s">
        <v>14</v>
      </c>
      <c r="C39" s="870"/>
      <c r="D39" s="870"/>
      <c r="E39" s="870"/>
      <c r="F39" s="870"/>
      <c r="G39" s="870"/>
      <c r="H39" s="870"/>
      <c r="I39" s="865"/>
      <c r="J39" s="866"/>
      <c r="K39" s="872">
        <f>+J40</f>
        <v>721233.5</v>
      </c>
      <c r="L39" s="863"/>
    </row>
    <row r="40" spans="1:12" s="878" customFormat="1" ht="83.25" x14ac:dyDescent="0.5">
      <c r="A40" s="876"/>
      <c r="B40" s="877"/>
      <c r="C40" s="1175" t="s">
        <v>952</v>
      </c>
      <c r="D40" s="1175"/>
      <c r="E40" s="1175"/>
      <c r="F40" s="1175"/>
      <c r="G40" s="1175"/>
      <c r="H40" s="1175"/>
      <c r="I40" s="1176"/>
      <c r="J40" s="1172">
        <v>721233.5</v>
      </c>
      <c r="K40" s="1173"/>
      <c r="L40" s="917" t="s">
        <v>972</v>
      </c>
    </row>
    <row r="41" spans="1:12" s="477" customFormat="1" ht="27.75" x14ac:dyDescent="0.65">
      <c r="A41" s="866">
        <v>2</v>
      </c>
      <c r="B41" s="870" t="s">
        <v>15</v>
      </c>
      <c r="C41" s="870"/>
      <c r="D41" s="870"/>
      <c r="E41" s="870"/>
      <c r="F41" s="870"/>
      <c r="G41" s="870"/>
      <c r="H41" s="870"/>
      <c r="I41" s="865"/>
      <c r="J41" s="873"/>
      <c r="K41" s="874">
        <f>SUM(J42:K45)</f>
        <v>20862347.390000001</v>
      </c>
      <c r="L41" s="863"/>
    </row>
    <row r="42" spans="1:12" s="484" customFormat="1" ht="29.25" customHeight="1" x14ac:dyDescent="0.65">
      <c r="A42" s="849"/>
      <c r="B42" s="850">
        <v>2.1</v>
      </c>
      <c r="C42" s="850" t="s">
        <v>953</v>
      </c>
      <c r="D42" s="850"/>
      <c r="E42" s="850"/>
      <c r="F42" s="850"/>
      <c r="G42" s="850"/>
      <c r="H42" s="850"/>
      <c r="I42" s="851"/>
      <c r="J42" s="1174">
        <v>11135650</v>
      </c>
      <c r="K42" s="1174"/>
      <c r="L42" s="868"/>
    </row>
    <row r="43" spans="1:12" s="484" customFormat="1" ht="29.25" customHeight="1" x14ac:dyDescent="0.65">
      <c r="A43" s="849"/>
      <c r="B43" s="871">
        <v>2.2000000000000002</v>
      </c>
      <c r="C43" s="850" t="s">
        <v>954</v>
      </c>
      <c r="D43" s="850"/>
      <c r="E43" s="850"/>
      <c r="F43" s="850"/>
      <c r="G43" s="850"/>
      <c r="H43" s="850"/>
      <c r="I43" s="851"/>
      <c r="J43" s="1174">
        <v>2339940.84</v>
      </c>
      <c r="K43" s="1174"/>
      <c r="L43" s="868"/>
    </row>
    <row r="44" spans="1:12" s="484" customFormat="1" ht="29.25" customHeight="1" x14ac:dyDescent="0.65">
      <c r="A44" s="849"/>
      <c r="B44" s="871">
        <v>2.2999999999999998</v>
      </c>
      <c r="C44" s="850" t="s">
        <v>955</v>
      </c>
      <c r="D44" s="850"/>
      <c r="E44" s="850"/>
      <c r="F44" s="850"/>
      <c r="G44" s="850"/>
      <c r="H44" s="850"/>
      <c r="I44" s="851"/>
      <c r="J44" s="1174">
        <v>4231617.55</v>
      </c>
      <c r="K44" s="1174"/>
      <c r="L44" s="868"/>
    </row>
    <row r="45" spans="1:12" s="484" customFormat="1" ht="29.25" customHeight="1" x14ac:dyDescent="0.65">
      <c r="A45" s="849"/>
      <c r="B45" s="871">
        <v>2.4</v>
      </c>
      <c r="C45" s="850" t="s">
        <v>956</v>
      </c>
      <c r="D45" s="850"/>
      <c r="E45" s="850"/>
      <c r="F45" s="850"/>
      <c r="G45" s="850"/>
      <c r="H45" s="850"/>
      <c r="I45" s="851"/>
      <c r="J45" s="1174">
        <v>3155139</v>
      </c>
      <c r="K45" s="1174"/>
      <c r="L45" s="863" t="s">
        <v>848</v>
      </c>
    </row>
    <row r="46" spans="1:12" s="914" customFormat="1" ht="29.25" customHeight="1" x14ac:dyDescent="0.5">
      <c r="A46" s="1177" t="s">
        <v>367</v>
      </c>
      <c r="B46" s="1177"/>
      <c r="C46" s="1177"/>
      <c r="D46" s="1177"/>
      <c r="E46" s="1177"/>
      <c r="F46" s="1177"/>
      <c r="G46" s="1177"/>
      <c r="H46" s="1177"/>
      <c r="I46" s="1177"/>
      <c r="J46" s="1178">
        <f>SUM(J39:K45)/2</f>
        <v>21583580.890000001</v>
      </c>
      <c r="K46" s="1178"/>
      <c r="L46" s="915"/>
    </row>
  </sheetData>
  <mergeCells count="62">
    <mergeCell ref="C16:D16"/>
    <mergeCell ref="E16:F16"/>
    <mergeCell ref="G16:H16"/>
    <mergeCell ref="I16:J16"/>
    <mergeCell ref="A1:L1"/>
    <mergeCell ref="A2:L2"/>
    <mergeCell ref="A3:L3"/>
    <mergeCell ref="A4:C6"/>
    <mergeCell ref="D4:E4"/>
    <mergeCell ref="F4:F5"/>
    <mergeCell ref="I4:J4"/>
    <mergeCell ref="J18:J19"/>
    <mergeCell ref="C20:C21"/>
    <mergeCell ref="D20:D21"/>
    <mergeCell ref="E20:E21"/>
    <mergeCell ref="A37:L37"/>
    <mergeCell ref="A33:C33"/>
    <mergeCell ref="I20:I21"/>
    <mergeCell ref="J20:J21"/>
    <mergeCell ref="G18:G19"/>
    <mergeCell ref="H18:H19"/>
    <mergeCell ref="F20:F21"/>
    <mergeCell ref="G20:G21"/>
    <mergeCell ref="H20:H21"/>
    <mergeCell ref="I18:I19"/>
    <mergeCell ref="I22:I23"/>
    <mergeCell ref="J22:J23"/>
    <mergeCell ref="J45:K45"/>
    <mergeCell ref="A46:I46"/>
    <mergeCell ref="J46:K46"/>
    <mergeCell ref="J42:K42"/>
    <mergeCell ref="A12:C12"/>
    <mergeCell ref="A13:C13"/>
    <mergeCell ref="A14:C14"/>
    <mergeCell ref="A30:C30"/>
    <mergeCell ref="A31:L31"/>
    <mergeCell ref="A15:L15"/>
    <mergeCell ref="K16:L16"/>
    <mergeCell ref="A16:B17"/>
    <mergeCell ref="A18:B19"/>
    <mergeCell ref="A20:B21"/>
    <mergeCell ref="A22:B23"/>
    <mergeCell ref="C18:C19"/>
    <mergeCell ref="J40:K40"/>
    <mergeCell ref="J43:K43"/>
    <mergeCell ref="J44:K44"/>
    <mergeCell ref="A38:I38"/>
    <mergeCell ref="J38:K38"/>
    <mergeCell ref="C40:I40"/>
    <mergeCell ref="I24:J24"/>
    <mergeCell ref="C22:C23"/>
    <mergeCell ref="D22:D23"/>
    <mergeCell ref="E22:E23"/>
    <mergeCell ref="F22:F23"/>
    <mergeCell ref="G22:G23"/>
    <mergeCell ref="H22:H23"/>
    <mergeCell ref="D18:D19"/>
    <mergeCell ref="E18:E19"/>
    <mergeCell ref="F18:F19"/>
    <mergeCell ref="A24:C26"/>
    <mergeCell ref="D24:E24"/>
    <mergeCell ref="F24:F25"/>
  </mergeCells>
  <phoneticPr fontId="92" type="noConversion"/>
  <pageMargins left="0.19685039370078741" right="0.11811023622047245" top="0.74803149606299213" bottom="0.74803149606299213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00B050"/>
  </sheetPr>
  <dimension ref="A1:O100"/>
  <sheetViews>
    <sheetView zoomScale="70" zoomScaleNormal="70" workbookViewId="0">
      <pane ySplit="1290" topLeftCell="A36" activePane="bottomLeft"/>
      <selection activeCell="B5" sqref="B1:B1048576"/>
      <selection pane="bottomLeft" activeCell="J35" sqref="J35"/>
    </sheetView>
  </sheetViews>
  <sheetFormatPr defaultRowHeight="24" x14ac:dyDescent="0.5"/>
  <cols>
    <col min="1" max="1" width="6.85546875" style="594" customWidth="1"/>
    <col min="2" max="2" width="19.5703125" style="680" hidden="1" customWidth="1"/>
    <col min="3" max="3" width="6.42578125" style="750" customWidth="1"/>
    <col min="4" max="4" width="68" style="663" customWidth="1"/>
    <col min="5" max="5" width="18.85546875" style="596" bestFit="1" customWidth="1"/>
    <col min="6" max="6" width="22.140625" style="596" hidden="1" customWidth="1"/>
    <col min="7" max="7" width="17.5703125" style="597" bestFit="1" customWidth="1"/>
    <col min="8" max="8" width="17.28515625" style="596" customWidth="1"/>
    <col min="9" max="9" width="16.85546875" style="596" customWidth="1"/>
    <col min="10" max="10" width="17.85546875" style="596" bestFit="1" customWidth="1"/>
    <col min="11" max="11" width="21.42578125" style="597" bestFit="1" customWidth="1"/>
    <col min="12" max="12" width="11.5703125" style="597" bestFit="1" customWidth="1"/>
    <col min="13" max="13" width="16" style="597" customWidth="1"/>
    <col min="14" max="14" width="22.42578125" style="597" hidden="1" customWidth="1"/>
    <col min="15" max="15" width="30.28515625" style="663" customWidth="1"/>
    <col min="16" max="92" width="9.140625" style="596" customWidth="1"/>
    <col min="93" max="16384" width="9.140625" style="596"/>
  </cols>
  <sheetData>
    <row r="1" spans="1:15" ht="27.75" x14ac:dyDescent="0.5">
      <c r="A1" s="1198" t="s">
        <v>57</v>
      </c>
      <c r="B1" s="1198"/>
      <c r="C1" s="1198"/>
      <c r="D1" s="1198"/>
      <c r="E1" s="1198"/>
      <c r="F1" s="1198"/>
      <c r="G1" s="1198"/>
      <c r="H1" s="1198"/>
      <c r="I1" s="1198"/>
      <c r="J1" s="1198"/>
      <c r="K1" s="1198"/>
      <c r="L1" s="1198"/>
      <c r="M1" s="1198"/>
      <c r="N1" s="1198"/>
      <c r="O1" s="1198"/>
    </row>
    <row r="2" spans="1:15" ht="27.75" x14ac:dyDescent="0.5">
      <c r="A2" s="1198" t="s">
        <v>875</v>
      </c>
      <c r="B2" s="1198"/>
      <c r="C2" s="1198"/>
      <c r="D2" s="1198"/>
      <c r="E2" s="1198"/>
      <c r="F2" s="1198"/>
      <c r="G2" s="1198"/>
      <c r="H2" s="1198"/>
      <c r="I2" s="1198"/>
      <c r="J2" s="1198"/>
      <c r="K2" s="1198"/>
      <c r="L2" s="1198"/>
      <c r="M2" s="1198"/>
      <c r="N2" s="1198"/>
      <c r="O2" s="1198"/>
    </row>
    <row r="3" spans="1:15" ht="27.75" x14ac:dyDescent="0.5">
      <c r="A3" s="1198" t="s">
        <v>64</v>
      </c>
      <c r="B3" s="1198"/>
      <c r="C3" s="1198"/>
      <c r="D3" s="1198"/>
      <c r="E3" s="1198"/>
      <c r="F3" s="1198"/>
      <c r="G3" s="1198"/>
      <c r="H3" s="1198"/>
      <c r="I3" s="1198"/>
      <c r="J3" s="1198"/>
      <c r="K3" s="1198"/>
      <c r="L3" s="1198"/>
      <c r="M3" s="1198"/>
      <c r="N3" s="1198"/>
      <c r="O3" s="1198"/>
    </row>
    <row r="4" spans="1:15" ht="27.75" x14ac:dyDescent="0.5">
      <c r="A4" s="1201" t="str">
        <f>+รายจ่ายจริง!A3:P3</f>
        <v>ตั้งแต่วันที่ 1  ตุลาคม 2564 ถึงวันที่ 31 มกราคม 2565</v>
      </c>
      <c r="B4" s="1201"/>
      <c r="C4" s="1201"/>
      <c r="D4" s="1201"/>
      <c r="E4" s="1201"/>
      <c r="F4" s="1201"/>
      <c r="G4" s="1201"/>
      <c r="H4" s="1201"/>
      <c r="I4" s="1201"/>
      <c r="J4" s="1201"/>
      <c r="K4" s="1201"/>
      <c r="L4" s="1201"/>
      <c r="M4" s="1201"/>
      <c r="N4" s="1201"/>
      <c r="O4" s="1201"/>
    </row>
    <row r="5" spans="1:15" x14ac:dyDescent="0.5">
      <c r="A5" s="754" t="s">
        <v>0</v>
      </c>
      <c r="B5" s="755"/>
      <c r="C5" s="1139" t="s">
        <v>58</v>
      </c>
      <c r="D5" s="1140"/>
      <c r="E5" s="1145" t="s">
        <v>59</v>
      </c>
      <c r="F5" s="1146"/>
      <c r="G5" s="1147"/>
      <c r="H5" s="756" t="s">
        <v>161</v>
      </c>
      <c r="I5" s="756" t="s">
        <v>17</v>
      </c>
      <c r="J5" s="756" t="s">
        <v>62</v>
      </c>
      <c r="K5" s="756" t="s">
        <v>535</v>
      </c>
      <c r="L5" s="757" t="s">
        <v>81</v>
      </c>
      <c r="M5" s="781" t="s">
        <v>81</v>
      </c>
      <c r="N5" s="743"/>
      <c r="O5" s="1203" t="s">
        <v>160</v>
      </c>
    </row>
    <row r="6" spans="1:15" x14ac:dyDescent="0.5">
      <c r="A6" s="758" t="s">
        <v>591</v>
      </c>
      <c r="B6" s="759" t="s">
        <v>172</v>
      </c>
      <c r="C6" s="1141"/>
      <c r="D6" s="1142"/>
      <c r="E6" s="647" t="s">
        <v>624</v>
      </c>
      <c r="F6" s="647" t="s">
        <v>699</v>
      </c>
      <c r="G6" s="647" t="s">
        <v>602</v>
      </c>
      <c r="H6" s="760" t="s">
        <v>642</v>
      </c>
      <c r="I6" s="760" t="s">
        <v>2</v>
      </c>
      <c r="J6" s="760" t="s">
        <v>71</v>
      </c>
      <c r="K6" s="760" t="s">
        <v>98</v>
      </c>
      <c r="L6" s="761" t="s">
        <v>600</v>
      </c>
      <c r="M6" s="782" t="s">
        <v>600</v>
      </c>
      <c r="N6" s="744"/>
      <c r="O6" s="1204"/>
    </row>
    <row r="7" spans="1:15" x14ac:dyDescent="0.5">
      <c r="A7" s="762"/>
      <c r="B7" s="763"/>
      <c r="C7" s="1143"/>
      <c r="D7" s="1144"/>
      <c r="E7" s="649" t="s">
        <v>337</v>
      </c>
      <c r="F7" s="649" t="s">
        <v>338</v>
      </c>
      <c r="G7" s="649" t="s">
        <v>338</v>
      </c>
      <c r="H7" s="649" t="s">
        <v>339</v>
      </c>
      <c r="I7" s="649" t="s">
        <v>340</v>
      </c>
      <c r="J7" s="649" t="s">
        <v>849</v>
      </c>
      <c r="K7" s="649" t="s">
        <v>846</v>
      </c>
      <c r="L7" s="753" t="s">
        <v>61</v>
      </c>
      <c r="M7" s="650" t="s">
        <v>630</v>
      </c>
      <c r="N7" s="745"/>
      <c r="O7" s="1205"/>
    </row>
    <row r="8" spans="1:15" s="780" customFormat="1" ht="82.5" customHeight="1" x14ac:dyDescent="0.5">
      <c r="A8" s="916">
        <v>1</v>
      </c>
      <c r="B8" s="777"/>
      <c r="C8" s="1206" t="s">
        <v>971</v>
      </c>
      <c r="D8" s="1206"/>
      <c r="E8" s="655">
        <f>5732400+13396300</f>
        <v>19128700</v>
      </c>
      <c r="F8" s="660">
        <v>0</v>
      </c>
      <c r="G8" s="655">
        <f>+รายจ่ายจริง!K80</f>
        <v>20425685</v>
      </c>
      <c r="H8" s="652">
        <f>+รายจ่ายจริง!K81</f>
        <v>746218</v>
      </c>
      <c r="I8" s="652">
        <f>+รายจ่ายจริง!K82</f>
        <v>15059134.779999999</v>
      </c>
      <c r="J8" s="652">
        <f>+E8-I8</f>
        <v>4069565.2200000007</v>
      </c>
      <c r="K8" s="749">
        <f>+E8-H8-I8</f>
        <v>3323347.2200000007</v>
      </c>
      <c r="L8" s="749">
        <f>+I8*100/E8</f>
        <v>78.725343489102755</v>
      </c>
      <c r="M8" s="749">
        <f>+N8*100/E8</f>
        <v>82.62638224238971</v>
      </c>
      <c r="N8" s="778">
        <f>+H8+I8</f>
        <v>15805352.779999999</v>
      </c>
      <c r="O8" s="779"/>
    </row>
    <row r="9" spans="1:15" s="597" customFormat="1" ht="69" customHeight="1" x14ac:dyDescent="0.5">
      <c r="A9" s="747">
        <v>2</v>
      </c>
      <c r="B9" s="747"/>
      <c r="C9" s="1202" t="s">
        <v>862</v>
      </c>
      <c r="D9" s="1202"/>
      <c r="E9" s="659">
        <f>SUM(E10:E29)</f>
        <v>27161300</v>
      </c>
      <c r="F9" s="659">
        <f t="shared" ref="F9:K9" si="0">SUM(F10:F29)</f>
        <v>27161300</v>
      </c>
      <c r="G9" s="659">
        <f t="shared" si="0"/>
        <v>25864315</v>
      </c>
      <c r="H9" s="659">
        <f t="shared" si="0"/>
        <v>15462850</v>
      </c>
      <c r="I9" s="659">
        <f t="shared" si="0"/>
        <v>2977572.92</v>
      </c>
      <c r="J9" s="659">
        <f t="shared" si="0"/>
        <v>24681175</v>
      </c>
      <c r="K9" s="659">
        <f t="shared" si="0"/>
        <v>9218325</v>
      </c>
      <c r="L9" s="659">
        <f>+I9*100/G9</f>
        <v>11.512282154002532</v>
      </c>
      <c r="M9" s="651">
        <f>+N9*100/E9</f>
        <v>67.892269221281765</v>
      </c>
      <c r="N9" s="651">
        <f t="shared" ref="N9:N45" si="1">+H9+I9</f>
        <v>18440422.920000002</v>
      </c>
      <c r="O9" s="654"/>
    </row>
    <row r="10" spans="1:15" s="661" customFormat="1" ht="48" x14ac:dyDescent="0.5">
      <c r="A10" s="748"/>
      <c r="B10" s="741" t="s">
        <v>570</v>
      </c>
      <c r="C10" s="892">
        <v>2.1</v>
      </c>
      <c r="D10" s="890" t="s">
        <v>883</v>
      </c>
      <c r="E10" s="590">
        <v>252900</v>
      </c>
      <c r="F10" s="590">
        <v>252900</v>
      </c>
      <c r="G10" s="590">
        <v>252900</v>
      </c>
      <c r="H10" s="656">
        <v>0</v>
      </c>
      <c r="I10" s="656">
        <v>233500</v>
      </c>
      <c r="J10" s="746">
        <f>+E10-I10</f>
        <v>19400</v>
      </c>
      <c r="K10" s="651">
        <f>+E10-H10-I10</f>
        <v>19400</v>
      </c>
      <c r="L10" s="659">
        <f t="shared" ref="L10:L39" si="2">+I10*100/E10</f>
        <v>92.328983788058522</v>
      </c>
      <c r="M10" s="651">
        <f t="shared" ref="M10:M39" si="3">+N10*100/E10</f>
        <v>92.328983788058522</v>
      </c>
      <c r="N10" s="651">
        <f t="shared" si="1"/>
        <v>233500</v>
      </c>
      <c r="O10" s="818" t="s">
        <v>662</v>
      </c>
    </row>
    <row r="11" spans="1:15" s="661" customFormat="1" ht="48" x14ac:dyDescent="0.5">
      <c r="A11" s="748"/>
      <c r="B11" s="741" t="s">
        <v>571</v>
      </c>
      <c r="C11" s="892">
        <v>2.2000000000000002</v>
      </c>
      <c r="D11" s="890" t="s">
        <v>978</v>
      </c>
      <c r="E11" s="590">
        <v>5026400</v>
      </c>
      <c r="F11" s="590">
        <v>5026400</v>
      </c>
      <c r="G11" s="590">
        <v>5026400</v>
      </c>
      <c r="H11" s="656">
        <v>4993100</v>
      </c>
      <c r="I11" s="656">
        <v>0</v>
      </c>
      <c r="J11" s="746">
        <f t="shared" ref="J11:J27" si="4">+E11-I11</f>
        <v>5026400</v>
      </c>
      <c r="K11" s="651">
        <f t="shared" ref="K11:K27" si="5">+E11-H11-I11</f>
        <v>33300</v>
      </c>
      <c r="L11" s="659">
        <f t="shared" si="2"/>
        <v>0</v>
      </c>
      <c r="M11" s="651">
        <f t="shared" si="3"/>
        <v>99.337498010504532</v>
      </c>
      <c r="N11" s="651">
        <f t="shared" si="1"/>
        <v>4993100</v>
      </c>
      <c r="O11" s="818" t="s">
        <v>662</v>
      </c>
    </row>
    <row r="12" spans="1:15" s="661" customFormat="1" ht="96" x14ac:dyDescent="0.5">
      <c r="A12" s="748"/>
      <c r="B12" s="741" t="s">
        <v>572</v>
      </c>
      <c r="C12" s="892">
        <v>2.2999999999999998</v>
      </c>
      <c r="D12" s="890" t="s">
        <v>884</v>
      </c>
      <c r="E12" s="590">
        <v>4032000</v>
      </c>
      <c r="F12" s="590">
        <v>4032000</v>
      </c>
      <c r="G12" s="590">
        <v>4032000</v>
      </c>
      <c r="H12" s="656">
        <v>0</v>
      </c>
      <c r="I12" s="656">
        <v>0</v>
      </c>
      <c r="J12" s="746">
        <f t="shared" si="4"/>
        <v>4032000</v>
      </c>
      <c r="K12" s="651">
        <f t="shared" si="5"/>
        <v>4032000</v>
      </c>
      <c r="L12" s="651">
        <f t="shared" si="2"/>
        <v>0</v>
      </c>
      <c r="M12" s="651">
        <f t="shared" si="3"/>
        <v>0</v>
      </c>
      <c r="N12" s="651">
        <f t="shared" si="1"/>
        <v>0</v>
      </c>
      <c r="O12" s="817" t="s">
        <v>1023</v>
      </c>
    </row>
    <row r="13" spans="1:15" s="661" customFormat="1" ht="48" x14ac:dyDescent="0.5">
      <c r="A13" s="748"/>
      <c r="B13" s="741" t="s">
        <v>573</v>
      </c>
      <c r="C13" s="892">
        <v>2.4</v>
      </c>
      <c r="D13" s="890" t="s">
        <v>885</v>
      </c>
      <c r="E13" s="590">
        <v>1948000</v>
      </c>
      <c r="F13" s="590">
        <v>1948000</v>
      </c>
      <c r="G13" s="590">
        <v>1948000</v>
      </c>
      <c r="H13" s="656">
        <v>0</v>
      </c>
      <c r="I13" s="656">
        <v>0</v>
      </c>
      <c r="J13" s="746">
        <f t="shared" si="4"/>
        <v>1948000</v>
      </c>
      <c r="K13" s="651">
        <f t="shared" si="5"/>
        <v>1948000</v>
      </c>
      <c r="L13" s="651">
        <f t="shared" si="2"/>
        <v>0</v>
      </c>
      <c r="M13" s="651">
        <f t="shared" si="3"/>
        <v>0</v>
      </c>
      <c r="N13" s="651">
        <f t="shared" si="1"/>
        <v>0</v>
      </c>
      <c r="O13" s="818" t="s">
        <v>662</v>
      </c>
    </row>
    <row r="14" spans="1:15" s="661" customFormat="1" ht="48" x14ac:dyDescent="0.5">
      <c r="A14" s="748"/>
      <c r="B14" s="741" t="s">
        <v>574</v>
      </c>
      <c r="C14" s="892">
        <v>2.5</v>
      </c>
      <c r="D14" s="890" t="s">
        <v>886</v>
      </c>
      <c r="E14" s="590">
        <v>2245000</v>
      </c>
      <c r="F14" s="590">
        <v>2245000</v>
      </c>
      <c r="G14" s="590">
        <v>2245000</v>
      </c>
      <c r="H14" s="656">
        <v>1757000</v>
      </c>
      <c r="I14" s="656">
        <v>0</v>
      </c>
      <c r="J14" s="746">
        <f t="shared" si="4"/>
        <v>2245000</v>
      </c>
      <c r="K14" s="651">
        <f t="shared" si="5"/>
        <v>488000</v>
      </c>
      <c r="L14" s="651">
        <f t="shared" si="2"/>
        <v>0</v>
      </c>
      <c r="M14" s="651">
        <f t="shared" si="3"/>
        <v>78.262806236080181</v>
      </c>
      <c r="N14" s="651">
        <f t="shared" si="1"/>
        <v>1757000</v>
      </c>
      <c r="O14" s="818" t="s">
        <v>662</v>
      </c>
    </row>
    <row r="15" spans="1:15" s="661" customFormat="1" ht="48" x14ac:dyDescent="0.5">
      <c r="A15" s="748"/>
      <c r="B15" s="741" t="s">
        <v>575</v>
      </c>
      <c r="C15" s="892">
        <v>2.6</v>
      </c>
      <c r="D15" s="890" t="s">
        <v>887</v>
      </c>
      <c r="E15" s="590">
        <v>1397000</v>
      </c>
      <c r="F15" s="590">
        <v>1397000</v>
      </c>
      <c r="G15" s="590">
        <v>1397000</v>
      </c>
      <c r="H15" s="656">
        <v>1038750</v>
      </c>
      <c r="I15" s="656">
        <v>346250</v>
      </c>
      <c r="J15" s="746">
        <f t="shared" si="4"/>
        <v>1050750</v>
      </c>
      <c r="K15" s="651">
        <f t="shared" si="5"/>
        <v>12000</v>
      </c>
      <c r="L15" s="651">
        <f t="shared" si="2"/>
        <v>24.785254115962779</v>
      </c>
      <c r="M15" s="651">
        <f t="shared" si="3"/>
        <v>99.141016463851116</v>
      </c>
      <c r="N15" s="651">
        <f t="shared" si="1"/>
        <v>1385000</v>
      </c>
      <c r="O15" s="818" t="s">
        <v>662</v>
      </c>
    </row>
    <row r="16" spans="1:15" s="661" customFormat="1" ht="48" x14ac:dyDescent="0.5">
      <c r="A16" s="748"/>
      <c r="B16" s="741" t="s">
        <v>576</v>
      </c>
      <c r="C16" s="892">
        <v>2.7</v>
      </c>
      <c r="D16" s="890" t="s">
        <v>888</v>
      </c>
      <c r="E16" s="590">
        <v>210000</v>
      </c>
      <c r="F16" s="590">
        <v>210000</v>
      </c>
      <c r="G16" s="590">
        <v>210000</v>
      </c>
      <c r="H16" s="656">
        <v>0</v>
      </c>
      <c r="I16" s="656">
        <v>210000</v>
      </c>
      <c r="J16" s="746">
        <f t="shared" si="4"/>
        <v>0</v>
      </c>
      <c r="K16" s="651">
        <f t="shared" si="5"/>
        <v>0</v>
      </c>
      <c r="L16" s="651">
        <f t="shared" si="2"/>
        <v>100</v>
      </c>
      <c r="M16" s="651">
        <f t="shared" si="3"/>
        <v>100</v>
      </c>
      <c r="N16" s="651">
        <f t="shared" si="1"/>
        <v>210000</v>
      </c>
      <c r="O16" s="818" t="s">
        <v>662</v>
      </c>
    </row>
    <row r="17" spans="1:15" s="661" customFormat="1" ht="48" x14ac:dyDescent="0.5">
      <c r="A17" s="748"/>
      <c r="B17" s="741" t="s">
        <v>577</v>
      </c>
      <c r="C17" s="892">
        <v>2.8</v>
      </c>
      <c r="D17" s="890" t="s">
        <v>889</v>
      </c>
      <c r="E17" s="590">
        <v>441400</v>
      </c>
      <c r="F17" s="590">
        <v>441400</v>
      </c>
      <c r="G17" s="590">
        <v>441400</v>
      </c>
      <c r="H17" s="656">
        <v>0</v>
      </c>
      <c r="I17" s="656">
        <v>441375</v>
      </c>
      <c r="J17" s="746">
        <f t="shared" si="4"/>
        <v>25</v>
      </c>
      <c r="K17" s="651">
        <f t="shared" si="5"/>
        <v>25</v>
      </c>
      <c r="L17" s="651">
        <f t="shared" si="2"/>
        <v>99.994336202990482</v>
      </c>
      <c r="M17" s="651">
        <f t="shared" si="3"/>
        <v>99.994336202990482</v>
      </c>
      <c r="N17" s="651">
        <f t="shared" si="1"/>
        <v>441375</v>
      </c>
      <c r="O17" s="818" t="s">
        <v>662</v>
      </c>
    </row>
    <row r="18" spans="1:15" s="661" customFormat="1" ht="48" x14ac:dyDescent="0.5">
      <c r="A18" s="748"/>
      <c r="B18" s="741" t="s">
        <v>578</v>
      </c>
      <c r="C18" s="892">
        <v>2.9</v>
      </c>
      <c r="D18" s="890" t="s">
        <v>890</v>
      </c>
      <c r="E18" s="590">
        <v>75600</v>
      </c>
      <c r="F18" s="590">
        <v>75600</v>
      </c>
      <c r="G18" s="590">
        <v>75600</v>
      </c>
      <c r="H18" s="656">
        <v>0</v>
      </c>
      <c r="I18" s="656">
        <v>0</v>
      </c>
      <c r="J18" s="746">
        <f t="shared" si="4"/>
        <v>75600</v>
      </c>
      <c r="K18" s="651">
        <f t="shared" si="5"/>
        <v>75600</v>
      </c>
      <c r="L18" s="651">
        <f t="shared" si="2"/>
        <v>0</v>
      </c>
      <c r="M18" s="651">
        <f t="shared" si="3"/>
        <v>0</v>
      </c>
      <c r="N18" s="651">
        <f t="shared" si="1"/>
        <v>0</v>
      </c>
      <c r="O18" s="818" t="s">
        <v>662</v>
      </c>
    </row>
    <row r="19" spans="1:15" s="661" customFormat="1" ht="48" x14ac:dyDescent="0.5">
      <c r="A19" s="748"/>
      <c r="B19" s="741" t="s">
        <v>579</v>
      </c>
      <c r="C19" s="893">
        <v>2.1</v>
      </c>
      <c r="D19" s="890" t="s">
        <v>891</v>
      </c>
      <c r="E19" s="590">
        <v>275100</v>
      </c>
      <c r="F19" s="590">
        <v>275100</v>
      </c>
      <c r="G19" s="590">
        <v>275100</v>
      </c>
      <c r="H19" s="656">
        <v>275100</v>
      </c>
      <c r="I19" s="656">
        <v>0</v>
      </c>
      <c r="J19" s="746">
        <f t="shared" si="4"/>
        <v>275100</v>
      </c>
      <c r="K19" s="651">
        <f t="shared" si="5"/>
        <v>0</v>
      </c>
      <c r="L19" s="651">
        <f t="shared" si="2"/>
        <v>0</v>
      </c>
      <c r="M19" s="651">
        <f t="shared" si="3"/>
        <v>100</v>
      </c>
      <c r="N19" s="651">
        <f t="shared" si="1"/>
        <v>275100</v>
      </c>
      <c r="O19" s="818" t="s">
        <v>662</v>
      </c>
    </row>
    <row r="20" spans="1:15" s="661" customFormat="1" ht="54.75" customHeight="1" x14ac:dyDescent="0.5">
      <c r="A20" s="748"/>
      <c r="B20" s="741" t="s">
        <v>639</v>
      </c>
      <c r="C20" s="893">
        <v>2.11</v>
      </c>
      <c r="D20" s="890" t="s">
        <v>892</v>
      </c>
      <c r="E20" s="590">
        <v>6047000</v>
      </c>
      <c r="F20" s="590">
        <v>6047000</v>
      </c>
      <c r="G20" s="590">
        <v>6047000</v>
      </c>
      <c r="H20" s="656">
        <v>6040000</v>
      </c>
      <c r="I20" s="656">
        <v>0</v>
      </c>
      <c r="J20" s="746">
        <f t="shared" si="4"/>
        <v>6047000</v>
      </c>
      <c r="K20" s="651">
        <f t="shared" si="5"/>
        <v>7000</v>
      </c>
      <c r="L20" s="651">
        <f t="shared" si="2"/>
        <v>0</v>
      </c>
      <c r="M20" s="651">
        <f t="shared" si="3"/>
        <v>99.8842401190673</v>
      </c>
      <c r="N20" s="651">
        <f t="shared" si="1"/>
        <v>6040000</v>
      </c>
      <c r="O20" s="818" t="s">
        <v>662</v>
      </c>
    </row>
    <row r="21" spans="1:15" s="661" customFormat="1" ht="54.75" customHeight="1" x14ac:dyDescent="0.5">
      <c r="A21" s="748"/>
      <c r="B21" s="741" t="s">
        <v>640</v>
      </c>
      <c r="C21" s="893">
        <v>2.12</v>
      </c>
      <c r="D21" s="890" t="s">
        <v>893</v>
      </c>
      <c r="E21" s="590">
        <v>965000</v>
      </c>
      <c r="F21" s="590">
        <v>965000</v>
      </c>
      <c r="G21" s="590">
        <v>965000</v>
      </c>
      <c r="H21" s="656">
        <v>887000</v>
      </c>
      <c r="I21" s="656">
        <v>0</v>
      </c>
      <c r="J21" s="746">
        <f t="shared" si="4"/>
        <v>965000</v>
      </c>
      <c r="K21" s="651">
        <f t="shared" si="5"/>
        <v>78000</v>
      </c>
      <c r="L21" s="651">
        <f t="shared" si="2"/>
        <v>0</v>
      </c>
      <c r="M21" s="651">
        <f t="shared" si="3"/>
        <v>91.917098445595855</v>
      </c>
      <c r="N21" s="651">
        <f t="shared" si="1"/>
        <v>887000</v>
      </c>
      <c r="O21" s="818" t="s">
        <v>662</v>
      </c>
    </row>
    <row r="22" spans="1:15" s="661" customFormat="1" ht="54.75" customHeight="1" x14ac:dyDescent="0.5">
      <c r="A22" s="748"/>
      <c r="B22" s="741" t="s">
        <v>641</v>
      </c>
      <c r="C22" s="893">
        <v>2.13</v>
      </c>
      <c r="D22" s="890" t="s">
        <v>894</v>
      </c>
      <c r="E22" s="590">
        <v>466000</v>
      </c>
      <c r="F22" s="590">
        <v>466000</v>
      </c>
      <c r="G22" s="590">
        <v>466000</v>
      </c>
      <c r="H22" s="656">
        <v>465000</v>
      </c>
      <c r="I22" s="656">
        <v>0</v>
      </c>
      <c r="J22" s="746">
        <f t="shared" si="4"/>
        <v>466000</v>
      </c>
      <c r="K22" s="651">
        <f t="shared" si="5"/>
        <v>1000</v>
      </c>
      <c r="L22" s="651">
        <f t="shared" si="2"/>
        <v>0</v>
      </c>
      <c r="M22" s="651">
        <f t="shared" si="3"/>
        <v>99.785407725321889</v>
      </c>
      <c r="N22" s="651">
        <f t="shared" si="1"/>
        <v>465000</v>
      </c>
      <c r="O22" s="818" t="s">
        <v>662</v>
      </c>
    </row>
    <row r="23" spans="1:15" s="661" customFormat="1" ht="110.25" customHeight="1" x14ac:dyDescent="0.5">
      <c r="A23" s="748"/>
      <c r="B23" s="741" t="s">
        <v>644</v>
      </c>
      <c r="C23" s="893">
        <v>2.14</v>
      </c>
      <c r="D23" s="890" t="s">
        <v>895</v>
      </c>
      <c r="E23" s="590">
        <v>140000</v>
      </c>
      <c r="F23" s="590">
        <v>140000</v>
      </c>
      <c r="G23" s="590">
        <v>140000</v>
      </c>
      <c r="H23" s="656">
        <v>0</v>
      </c>
      <c r="I23" s="656">
        <v>0</v>
      </c>
      <c r="J23" s="746">
        <f t="shared" si="4"/>
        <v>140000</v>
      </c>
      <c r="K23" s="651">
        <f t="shared" si="5"/>
        <v>140000</v>
      </c>
      <c r="L23" s="651">
        <f t="shared" si="2"/>
        <v>0</v>
      </c>
      <c r="M23" s="651">
        <f t="shared" si="3"/>
        <v>0</v>
      </c>
      <c r="N23" s="651">
        <f t="shared" si="1"/>
        <v>0</v>
      </c>
      <c r="O23" s="817" t="s">
        <v>1023</v>
      </c>
    </row>
    <row r="24" spans="1:15" s="661" customFormat="1" ht="60" customHeight="1" x14ac:dyDescent="0.5">
      <c r="A24" s="748"/>
      <c r="B24" s="741" t="s">
        <v>645</v>
      </c>
      <c r="C24" s="893">
        <v>2.15</v>
      </c>
      <c r="D24" s="890" t="s">
        <v>896</v>
      </c>
      <c r="E24" s="590">
        <v>6900</v>
      </c>
      <c r="F24" s="590">
        <v>6900</v>
      </c>
      <c r="G24" s="590">
        <v>6900</v>
      </c>
      <c r="H24" s="656">
        <v>6900</v>
      </c>
      <c r="I24" s="656">
        <v>0</v>
      </c>
      <c r="J24" s="746">
        <f t="shared" si="4"/>
        <v>6900</v>
      </c>
      <c r="K24" s="651">
        <f t="shared" si="5"/>
        <v>0</v>
      </c>
      <c r="L24" s="651">
        <f t="shared" si="2"/>
        <v>0</v>
      </c>
      <c r="M24" s="651">
        <f t="shared" si="3"/>
        <v>100</v>
      </c>
      <c r="N24" s="651">
        <f t="shared" si="1"/>
        <v>6900</v>
      </c>
      <c r="O24" s="818" t="s">
        <v>662</v>
      </c>
    </row>
    <row r="25" spans="1:15" s="661" customFormat="1" ht="60" customHeight="1" x14ac:dyDescent="0.5">
      <c r="A25" s="748"/>
      <c r="B25" s="741" t="s">
        <v>580</v>
      </c>
      <c r="C25" s="893">
        <v>2.16</v>
      </c>
      <c r="D25" s="890" t="s">
        <v>897</v>
      </c>
      <c r="E25" s="590">
        <v>460000</v>
      </c>
      <c r="F25" s="590">
        <v>460000</v>
      </c>
      <c r="G25" s="590">
        <v>460000</v>
      </c>
      <c r="H25" s="656">
        <v>0</v>
      </c>
      <c r="I25" s="656">
        <v>459000</v>
      </c>
      <c r="J25" s="746">
        <f t="shared" si="4"/>
        <v>1000</v>
      </c>
      <c r="K25" s="651">
        <f t="shared" si="5"/>
        <v>1000</v>
      </c>
      <c r="L25" s="651">
        <f t="shared" si="2"/>
        <v>99.782608695652172</v>
      </c>
      <c r="M25" s="651">
        <f t="shared" si="3"/>
        <v>99.782608695652172</v>
      </c>
      <c r="N25" s="651">
        <f t="shared" si="1"/>
        <v>459000</v>
      </c>
      <c r="O25" s="818" t="s">
        <v>662</v>
      </c>
    </row>
    <row r="26" spans="1:15" s="661" customFormat="1" ht="60" customHeight="1" x14ac:dyDescent="0.5">
      <c r="A26" s="748"/>
      <c r="B26" s="741" t="s">
        <v>581</v>
      </c>
      <c r="C26" s="893">
        <v>2.17</v>
      </c>
      <c r="D26" s="890" t="s">
        <v>898</v>
      </c>
      <c r="E26" s="590">
        <v>1241100</v>
      </c>
      <c r="F26" s="590">
        <v>1241100</v>
      </c>
      <c r="G26" s="590">
        <v>1241100</v>
      </c>
      <c r="H26" s="656">
        <v>0</v>
      </c>
      <c r="I26" s="656">
        <v>790000</v>
      </c>
      <c r="J26" s="746">
        <f t="shared" si="4"/>
        <v>451100</v>
      </c>
      <c r="K26" s="651">
        <f t="shared" si="5"/>
        <v>451100</v>
      </c>
      <c r="L26" s="651">
        <f t="shared" si="2"/>
        <v>63.653210861332688</v>
      </c>
      <c r="M26" s="651">
        <f t="shared" si="3"/>
        <v>63.653210861332688</v>
      </c>
      <c r="N26" s="651">
        <f t="shared" si="1"/>
        <v>790000</v>
      </c>
      <c r="O26" s="818" t="s">
        <v>662</v>
      </c>
    </row>
    <row r="27" spans="1:15" s="661" customFormat="1" ht="96" x14ac:dyDescent="0.5">
      <c r="A27" s="748"/>
      <c r="B27" s="741" t="s">
        <v>582</v>
      </c>
      <c r="C27" s="893">
        <v>2.1800000000000002</v>
      </c>
      <c r="D27" s="890" t="s">
        <v>970</v>
      </c>
      <c r="E27" s="590">
        <v>1931900</v>
      </c>
      <c r="F27" s="590">
        <v>1931900</v>
      </c>
      <c r="G27" s="590">
        <f>1931900-1794432.92</f>
        <v>137467.08000000007</v>
      </c>
      <c r="H27" s="656">
        <v>0</v>
      </c>
      <c r="I27" s="656">
        <v>0</v>
      </c>
      <c r="J27" s="746">
        <f t="shared" si="4"/>
        <v>1931900</v>
      </c>
      <c r="K27" s="651">
        <f t="shared" si="5"/>
        <v>1931900</v>
      </c>
      <c r="L27" s="651">
        <f t="shared" si="2"/>
        <v>0</v>
      </c>
      <c r="M27" s="651">
        <f t="shared" si="3"/>
        <v>0</v>
      </c>
      <c r="N27" s="651">
        <f t="shared" si="1"/>
        <v>0</v>
      </c>
      <c r="O27" s="817" t="s">
        <v>932</v>
      </c>
    </row>
    <row r="28" spans="1:15" s="661" customFormat="1" ht="73.5" customHeight="1" x14ac:dyDescent="0.5">
      <c r="A28" s="748"/>
      <c r="B28" s="784" t="s">
        <v>920</v>
      </c>
      <c r="C28" s="893">
        <v>2.19</v>
      </c>
      <c r="D28" s="891" t="s">
        <v>922</v>
      </c>
      <c r="E28" s="590">
        <v>0</v>
      </c>
      <c r="F28" s="590"/>
      <c r="G28" s="590">
        <v>39000</v>
      </c>
      <c r="H28" s="656">
        <v>0</v>
      </c>
      <c r="I28" s="656">
        <v>39000</v>
      </c>
      <c r="J28" s="746">
        <f>+G28-I28</f>
        <v>0</v>
      </c>
      <c r="K28" s="651">
        <f>+G28-H28-I28</f>
        <v>0</v>
      </c>
      <c r="L28" s="651">
        <v>0</v>
      </c>
      <c r="M28" s="651">
        <v>0</v>
      </c>
      <c r="N28" s="651"/>
      <c r="O28" s="817" t="s">
        <v>924</v>
      </c>
    </row>
    <row r="29" spans="1:15" s="661" customFormat="1" ht="73.5" customHeight="1" x14ac:dyDescent="0.5">
      <c r="A29" s="748"/>
      <c r="B29" s="784" t="s">
        <v>921</v>
      </c>
      <c r="C29" s="893">
        <v>2.2000000000000002</v>
      </c>
      <c r="D29" s="891" t="s">
        <v>923</v>
      </c>
      <c r="E29" s="590">
        <v>0</v>
      </c>
      <c r="F29" s="590"/>
      <c r="G29" s="590">
        <v>458447.92</v>
      </c>
      <c r="H29" s="656">
        <v>0</v>
      </c>
      <c r="I29" s="656">
        <v>458447.92</v>
      </c>
      <c r="J29" s="746">
        <f>+G29-I29</f>
        <v>0</v>
      </c>
      <c r="K29" s="651">
        <f>+G29-H29-I29</f>
        <v>0</v>
      </c>
      <c r="L29" s="651">
        <v>0</v>
      </c>
      <c r="M29" s="651">
        <v>0</v>
      </c>
      <c r="N29" s="651"/>
      <c r="O29" s="817" t="s">
        <v>924</v>
      </c>
    </row>
    <row r="30" spans="1:15" s="776" customFormat="1" ht="42" customHeight="1" x14ac:dyDescent="0.5">
      <c r="A30" s="773">
        <v>3</v>
      </c>
      <c r="B30" s="774"/>
      <c r="C30" s="1207" t="s">
        <v>876</v>
      </c>
      <c r="D30" s="1207"/>
      <c r="E30" s="231">
        <f>SUM(E31:E37)</f>
        <v>72004300</v>
      </c>
      <c r="F30" s="231">
        <f t="shared" ref="F30:N30" si="6">SUM(F31:F37)</f>
        <v>-50070800</v>
      </c>
      <c r="G30" s="231">
        <f t="shared" si="6"/>
        <v>21933500</v>
      </c>
      <c r="H30" s="231">
        <f t="shared" si="6"/>
        <v>6235800</v>
      </c>
      <c r="I30" s="231">
        <f t="shared" si="6"/>
        <v>0</v>
      </c>
      <c r="J30" s="231">
        <f t="shared" si="6"/>
        <v>72004300</v>
      </c>
      <c r="K30" s="231">
        <f t="shared" si="6"/>
        <v>65768500</v>
      </c>
      <c r="L30" s="771">
        <f t="shared" ref="L30" si="7">+I30*100/E30</f>
        <v>0</v>
      </c>
      <c r="M30" s="771">
        <f t="shared" ref="M30" si="8">+N30*100/E30</f>
        <v>8.6603161200094991</v>
      </c>
      <c r="N30" s="231">
        <f t="shared" si="6"/>
        <v>6235800</v>
      </c>
      <c r="O30" s="775"/>
    </row>
    <row r="31" spans="1:15" s="661" customFormat="1" ht="78.75" customHeight="1" x14ac:dyDescent="0.5">
      <c r="A31" s="748"/>
      <c r="B31" s="741" t="s">
        <v>583</v>
      </c>
      <c r="C31" s="894" t="s">
        <v>853</v>
      </c>
      <c r="D31" s="890" t="s">
        <v>900</v>
      </c>
      <c r="E31" s="655">
        <v>1806700</v>
      </c>
      <c r="F31" s="655">
        <f>+G31-E31</f>
        <v>-1806700</v>
      </c>
      <c r="G31" s="809">
        <v>0</v>
      </c>
      <c r="H31" s="660">
        <v>0</v>
      </c>
      <c r="I31" s="660">
        <v>0</v>
      </c>
      <c r="J31" s="652">
        <f>+E31-I31</f>
        <v>1806700</v>
      </c>
      <c r="K31" s="749">
        <f>+E31-H31-I31</f>
        <v>1806700</v>
      </c>
      <c r="L31" s="651">
        <f t="shared" si="2"/>
        <v>0</v>
      </c>
      <c r="M31" s="651">
        <f t="shared" si="3"/>
        <v>0</v>
      </c>
      <c r="N31" s="651">
        <f t="shared" si="1"/>
        <v>0</v>
      </c>
      <c r="O31" s="832" t="s">
        <v>925</v>
      </c>
    </row>
    <row r="32" spans="1:15" s="661" customFormat="1" ht="78.75" customHeight="1" x14ac:dyDescent="0.5">
      <c r="A32" s="748"/>
      <c r="B32" s="741" t="s">
        <v>584</v>
      </c>
      <c r="C32" s="894" t="s">
        <v>854</v>
      </c>
      <c r="D32" s="890" t="s">
        <v>899</v>
      </c>
      <c r="E32" s="655">
        <v>7383400</v>
      </c>
      <c r="F32" s="655">
        <f t="shared" ref="F32:F37" si="9">+G32-E32</f>
        <v>-6328600</v>
      </c>
      <c r="G32" s="652">
        <v>1054800</v>
      </c>
      <c r="H32" s="660">
        <v>1054800</v>
      </c>
      <c r="I32" s="660">
        <v>0</v>
      </c>
      <c r="J32" s="652">
        <f t="shared" ref="J32:J37" si="10">+E32-I32</f>
        <v>7383400</v>
      </c>
      <c r="K32" s="749">
        <f t="shared" ref="K32:K37" si="11">+E32-H32-I32</f>
        <v>6328600</v>
      </c>
      <c r="L32" s="651">
        <f t="shared" ref="L32:L37" si="12">+I32*100/E32</f>
        <v>0</v>
      </c>
      <c r="M32" s="651">
        <f t="shared" ref="M32:M37" si="13">+N32*100/E32</f>
        <v>14.286101254164748</v>
      </c>
      <c r="N32" s="651">
        <f t="shared" si="1"/>
        <v>1054800</v>
      </c>
      <c r="O32" s="658"/>
    </row>
    <row r="33" spans="1:15" s="661" customFormat="1" ht="78.75" customHeight="1" x14ac:dyDescent="0.5">
      <c r="A33" s="748"/>
      <c r="B33" s="741" t="s">
        <v>585</v>
      </c>
      <c r="C33" s="894" t="s">
        <v>855</v>
      </c>
      <c r="D33" s="890" t="s">
        <v>901</v>
      </c>
      <c r="E33" s="655">
        <v>8723000</v>
      </c>
      <c r="F33" s="655">
        <f t="shared" si="9"/>
        <v>-6542000</v>
      </c>
      <c r="G33" s="652">
        <v>2181000</v>
      </c>
      <c r="H33" s="660">
        <v>2181000</v>
      </c>
      <c r="I33" s="660">
        <v>0</v>
      </c>
      <c r="J33" s="652">
        <f t="shared" si="10"/>
        <v>8723000</v>
      </c>
      <c r="K33" s="749">
        <f t="shared" si="11"/>
        <v>6542000</v>
      </c>
      <c r="L33" s="651">
        <f t="shared" si="12"/>
        <v>0</v>
      </c>
      <c r="M33" s="651">
        <f t="shared" si="13"/>
        <v>25.002865986472543</v>
      </c>
      <c r="N33" s="651">
        <f t="shared" si="1"/>
        <v>2181000</v>
      </c>
      <c r="O33" s="662"/>
    </row>
    <row r="34" spans="1:15" s="661" customFormat="1" ht="78.75" customHeight="1" x14ac:dyDescent="0.5">
      <c r="A34" s="748"/>
      <c r="B34" s="741" t="s">
        <v>586</v>
      </c>
      <c r="C34" s="894" t="s">
        <v>856</v>
      </c>
      <c r="D34" s="890" t="s">
        <v>882</v>
      </c>
      <c r="E34" s="655">
        <v>5981700</v>
      </c>
      <c r="F34" s="655">
        <f t="shared" si="9"/>
        <v>0</v>
      </c>
      <c r="G34" s="652">
        <v>5981700</v>
      </c>
      <c r="H34" s="660">
        <v>0</v>
      </c>
      <c r="I34" s="660">
        <v>0</v>
      </c>
      <c r="J34" s="652">
        <f t="shared" si="10"/>
        <v>5981700</v>
      </c>
      <c r="K34" s="749">
        <f t="shared" si="11"/>
        <v>5981700</v>
      </c>
      <c r="L34" s="651">
        <f t="shared" si="12"/>
        <v>0</v>
      </c>
      <c r="M34" s="651">
        <f t="shared" si="13"/>
        <v>0</v>
      </c>
      <c r="N34" s="651">
        <f t="shared" si="1"/>
        <v>0</v>
      </c>
      <c r="O34" s="817" t="s">
        <v>1025</v>
      </c>
    </row>
    <row r="35" spans="1:15" s="661" customFormat="1" ht="78.75" customHeight="1" x14ac:dyDescent="0.5">
      <c r="A35" s="748"/>
      <c r="B35" s="741" t="s">
        <v>589</v>
      </c>
      <c r="C35" s="894" t="s">
        <v>857</v>
      </c>
      <c r="D35" s="890" t="s">
        <v>902</v>
      </c>
      <c r="E35" s="655">
        <v>32954300</v>
      </c>
      <c r="F35" s="655">
        <f t="shared" si="9"/>
        <v>-29954300</v>
      </c>
      <c r="G35" s="652">
        <v>3000000</v>
      </c>
      <c r="H35" s="660">
        <v>3000000</v>
      </c>
      <c r="I35" s="660">
        <v>0</v>
      </c>
      <c r="J35" s="652">
        <f t="shared" si="10"/>
        <v>32954300</v>
      </c>
      <c r="K35" s="749">
        <f t="shared" si="11"/>
        <v>29954300</v>
      </c>
      <c r="L35" s="651">
        <f t="shared" si="12"/>
        <v>0</v>
      </c>
      <c r="M35" s="651">
        <f t="shared" si="13"/>
        <v>9.1035160813611569</v>
      </c>
      <c r="N35" s="651">
        <f t="shared" si="1"/>
        <v>3000000</v>
      </c>
      <c r="O35" s="658"/>
    </row>
    <row r="36" spans="1:15" s="661" customFormat="1" ht="69" customHeight="1" x14ac:dyDescent="0.5">
      <c r="A36" s="748"/>
      <c r="B36" s="741" t="s">
        <v>590</v>
      </c>
      <c r="C36" s="894" t="s">
        <v>858</v>
      </c>
      <c r="D36" s="890" t="s">
        <v>851</v>
      </c>
      <c r="E36" s="655">
        <v>5439200</v>
      </c>
      <c r="F36" s="655">
        <f t="shared" si="9"/>
        <v>-5439200</v>
      </c>
      <c r="G36" s="809">
        <v>0</v>
      </c>
      <c r="H36" s="660">
        <v>0</v>
      </c>
      <c r="I36" s="660">
        <v>0</v>
      </c>
      <c r="J36" s="652">
        <f t="shared" si="10"/>
        <v>5439200</v>
      </c>
      <c r="K36" s="749">
        <f t="shared" si="11"/>
        <v>5439200</v>
      </c>
      <c r="L36" s="651">
        <f t="shared" si="12"/>
        <v>0</v>
      </c>
      <c r="M36" s="651">
        <f t="shared" si="13"/>
        <v>0</v>
      </c>
      <c r="N36" s="651">
        <f t="shared" si="1"/>
        <v>0</v>
      </c>
      <c r="O36" s="832" t="s">
        <v>912</v>
      </c>
    </row>
    <row r="37" spans="1:15" s="661" customFormat="1" ht="81.75" customHeight="1" x14ac:dyDescent="0.5">
      <c r="A37" s="748"/>
      <c r="B37" s="741" t="s">
        <v>850</v>
      </c>
      <c r="C37" s="894" t="s">
        <v>859</v>
      </c>
      <c r="D37" s="890" t="s">
        <v>852</v>
      </c>
      <c r="E37" s="655">
        <v>9716000</v>
      </c>
      <c r="F37" s="655">
        <f t="shared" si="9"/>
        <v>0</v>
      </c>
      <c r="G37" s="652">
        <v>9716000</v>
      </c>
      <c r="H37" s="660">
        <v>0</v>
      </c>
      <c r="I37" s="660">
        <v>0</v>
      </c>
      <c r="J37" s="652">
        <f t="shared" si="10"/>
        <v>9716000</v>
      </c>
      <c r="K37" s="749">
        <f t="shared" si="11"/>
        <v>9716000</v>
      </c>
      <c r="L37" s="651">
        <f t="shared" si="12"/>
        <v>0</v>
      </c>
      <c r="M37" s="651">
        <f t="shared" si="13"/>
        <v>0</v>
      </c>
      <c r="N37" s="651">
        <f t="shared" si="1"/>
        <v>0</v>
      </c>
      <c r="O37" s="817" t="s">
        <v>1025</v>
      </c>
    </row>
    <row r="38" spans="1:15" s="772" customFormat="1" ht="36.75" customHeight="1" x14ac:dyDescent="0.5">
      <c r="A38" s="1200" t="s">
        <v>82</v>
      </c>
      <c r="B38" s="1200"/>
      <c r="C38" s="1200"/>
      <c r="D38" s="1200"/>
      <c r="E38" s="769">
        <f>+E9+E30</f>
        <v>99165600</v>
      </c>
      <c r="F38" s="769">
        <f t="shared" ref="F38:I38" si="14">+F9+F30</f>
        <v>-22909500</v>
      </c>
      <c r="G38" s="769">
        <f t="shared" si="14"/>
        <v>47797815</v>
      </c>
      <c r="H38" s="769">
        <f t="shared" si="14"/>
        <v>21698650</v>
      </c>
      <c r="I38" s="769">
        <f t="shared" si="14"/>
        <v>2977572.92</v>
      </c>
      <c r="J38" s="769">
        <f>+E38-I38</f>
        <v>96188027.079999998</v>
      </c>
      <c r="K38" s="769">
        <f>+E38-H38-I38</f>
        <v>74489377.079999998</v>
      </c>
      <c r="L38" s="770">
        <f t="shared" si="2"/>
        <v>3.0026268383391015</v>
      </c>
      <c r="M38" s="770">
        <f t="shared" si="3"/>
        <v>24.883853796074444</v>
      </c>
      <c r="N38" s="771">
        <f t="shared" si="1"/>
        <v>24676222.920000002</v>
      </c>
      <c r="O38" s="770"/>
    </row>
    <row r="39" spans="1:15" s="901" customFormat="1" ht="36.75" customHeight="1" x14ac:dyDescent="0.5">
      <c r="A39" s="1199" t="s">
        <v>100</v>
      </c>
      <c r="B39" s="1199"/>
      <c r="C39" s="1199"/>
      <c r="D39" s="1199"/>
      <c r="E39" s="898">
        <f>+E38+E8</f>
        <v>118294300</v>
      </c>
      <c r="F39" s="898">
        <f t="shared" ref="F39:I39" si="15">+F38+F8</f>
        <v>-22909500</v>
      </c>
      <c r="G39" s="898">
        <f t="shared" si="15"/>
        <v>68223500</v>
      </c>
      <c r="H39" s="898">
        <f t="shared" si="15"/>
        <v>22444868</v>
      </c>
      <c r="I39" s="898">
        <f t="shared" si="15"/>
        <v>18036707.699999999</v>
      </c>
      <c r="J39" s="898">
        <f>+E39-I39</f>
        <v>100257592.3</v>
      </c>
      <c r="K39" s="898">
        <f>+E39-H39-I39</f>
        <v>77812724.299999997</v>
      </c>
      <c r="L39" s="899">
        <f t="shared" si="2"/>
        <v>15.247317664502855</v>
      </c>
      <c r="M39" s="899">
        <f t="shared" si="3"/>
        <v>34.221070415058044</v>
      </c>
      <c r="N39" s="900">
        <f t="shared" si="1"/>
        <v>40481575.700000003</v>
      </c>
      <c r="O39" s="899"/>
    </row>
    <row r="40" spans="1:15" s="739" customFormat="1" hidden="1" x14ac:dyDescent="0.5">
      <c r="A40" s="1133" t="s">
        <v>357</v>
      </c>
      <c r="B40" s="1134"/>
      <c r="C40" s="1134"/>
      <c r="D40" s="1135"/>
      <c r="E40" s="653">
        <f>+E8+E10+E13+E15+E16+E17+E18+E19+E21+E22+E23+E24+E25+E26+E27+E28+E29+E31</f>
        <v>30746300</v>
      </c>
      <c r="F40" s="931">
        <f t="shared" ref="F40:K40" si="16">+F8+F10+F13+F15+F16+F17+F18+F19+F21+F22+F23+F24+F25+F26+F27+F28+F29+F31</f>
        <v>8004200</v>
      </c>
      <c r="G40" s="931">
        <f t="shared" si="16"/>
        <v>28939600</v>
      </c>
      <c r="H40" s="931">
        <f t="shared" si="16"/>
        <v>3418968</v>
      </c>
      <c r="I40" s="931">
        <f t="shared" si="16"/>
        <v>18036707.700000003</v>
      </c>
      <c r="J40" s="931">
        <f t="shared" si="16"/>
        <v>13207040.220000001</v>
      </c>
      <c r="K40" s="931">
        <f t="shared" si="16"/>
        <v>9788072.2200000007</v>
      </c>
      <c r="L40" s="659">
        <f>+I40*100/G40</f>
        <v>62.325352458223342</v>
      </c>
      <c r="M40" s="659">
        <f t="shared" ref="M40:M42" si="17">+J40*100/H40</f>
        <v>386.28733056290667</v>
      </c>
      <c r="N40" s="651">
        <f t="shared" si="1"/>
        <v>21455675.700000003</v>
      </c>
      <c r="O40" s="740"/>
    </row>
    <row r="41" spans="1:15" s="739" customFormat="1" hidden="1" x14ac:dyDescent="0.5">
      <c r="A41" s="1133" t="s">
        <v>361</v>
      </c>
      <c r="B41" s="1134"/>
      <c r="C41" s="1134"/>
      <c r="D41" s="1134"/>
      <c r="E41" s="1134"/>
      <c r="F41" s="1134"/>
      <c r="G41" s="1134"/>
      <c r="H41" s="659">
        <f>+H40+I40</f>
        <v>21455675.700000003</v>
      </c>
      <c r="I41" s="659"/>
      <c r="J41" s="659">
        <f>+H41/1000000</f>
        <v>21.455675700000004</v>
      </c>
      <c r="K41" s="659"/>
      <c r="L41" s="659"/>
      <c r="M41" s="659"/>
      <c r="N41" s="651">
        <f t="shared" si="1"/>
        <v>21455675.700000003</v>
      </c>
      <c r="O41" s="740"/>
    </row>
    <row r="42" spans="1:15" s="739" customFormat="1" hidden="1" x14ac:dyDescent="0.5">
      <c r="A42" s="1133" t="s">
        <v>356</v>
      </c>
      <c r="B42" s="1134"/>
      <c r="C42" s="1134"/>
      <c r="D42" s="1135"/>
      <c r="E42" s="653">
        <f>+E11+E12+E14+E20+E32+E33+E34+E35+E36+E37</f>
        <v>87548000</v>
      </c>
      <c r="F42" s="931">
        <f t="shared" ref="F42:K42" si="18">+F11+F12+F14+F20+F32+F33+F34+F35+F36+F37</f>
        <v>-30913700</v>
      </c>
      <c r="G42" s="931">
        <f t="shared" si="18"/>
        <v>39283900</v>
      </c>
      <c r="H42" s="931">
        <f t="shared" si="18"/>
        <v>19025900</v>
      </c>
      <c r="I42" s="931">
        <f t="shared" si="18"/>
        <v>0</v>
      </c>
      <c r="J42" s="931">
        <f t="shared" si="18"/>
        <v>87548000</v>
      </c>
      <c r="K42" s="931">
        <f t="shared" si="18"/>
        <v>68522100</v>
      </c>
      <c r="L42" s="659">
        <f>+I42*100/G42</f>
        <v>0</v>
      </c>
      <c r="M42" s="659">
        <f t="shared" si="17"/>
        <v>460.15168796219888</v>
      </c>
      <c r="N42" s="651">
        <f t="shared" si="1"/>
        <v>19025900</v>
      </c>
      <c r="O42" s="740"/>
    </row>
    <row r="43" spans="1:15" s="739" customFormat="1" hidden="1" x14ac:dyDescent="0.5">
      <c r="A43" s="1133" t="s">
        <v>362</v>
      </c>
      <c r="B43" s="1134"/>
      <c r="C43" s="1134"/>
      <c r="D43" s="1134"/>
      <c r="E43" s="1134"/>
      <c r="F43" s="1134"/>
      <c r="G43" s="1134"/>
      <c r="H43" s="659">
        <f>+H42+I42</f>
        <v>19025900</v>
      </c>
      <c r="I43" s="659"/>
      <c r="J43" s="659">
        <f>+H43/1000000</f>
        <v>19.0259</v>
      </c>
      <c r="K43" s="659"/>
      <c r="L43" s="659"/>
      <c r="M43" s="659"/>
      <c r="N43" s="651">
        <f t="shared" si="1"/>
        <v>19025900</v>
      </c>
      <c r="O43" s="740"/>
    </row>
    <row r="44" spans="1:15" s="739" customFormat="1" hidden="1" x14ac:dyDescent="0.5">
      <c r="A44" s="1133" t="s">
        <v>363</v>
      </c>
      <c r="B44" s="1134"/>
      <c r="C44" s="1134"/>
      <c r="D44" s="1134"/>
      <c r="E44" s="1134"/>
      <c r="F44" s="1134"/>
      <c r="G44" s="1134"/>
      <c r="H44" s="659">
        <f>+H41+H43</f>
        <v>40481575.700000003</v>
      </c>
      <c r="I44" s="659"/>
      <c r="J44" s="659">
        <f>+H44/1000000</f>
        <v>40.4815757</v>
      </c>
      <c r="K44" s="659"/>
      <c r="L44" s="659"/>
      <c r="M44" s="659"/>
      <c r="N44" s="651">
        <f t="shared" si="1"/>
        <v>40481575.700000003</v>
      </c>
      <c r="O44" s="740"/>
    </row>
    <row r="45" spans="1:15" s="739" customFormat="1" hidden="1" x14ac:dyDescent="0.5">
      <c r="A45" s="1133" t="s">
        <v>364</v>
      </c>
      <c r="B45" s="1134"/>
      <c r="C45" s="1134"/>
      <c r="D45" s="1134"/>
      <c r="E45" s="1134"/>
      <c r="F45" s="1134"/>
      <c r="G45" s="1134"/>
      <c r="H45" s="659">
        <f>+I40+I42</f>
        <v>18036707.700000003</v>
      </c>
      <c r="I45" s="659"/>
      <c r="J45" s="659">
        <f>+H45/1000000</f>
        <v>18.036707700000004</v>
      </c>
      <c r="K45" s="659"/>
      <c r="L45" s="659"/>
      <c r="M45" s="659"/>
      <c r="N45" s="651">
        <f t="shared" si="1"/>
        <v>18036707.700000003</v>
      </c>
      <c r="O45" s="740"/>
    </row>
    <row r="46" spans="1:15" s="739" customFormat="1" hidden="1" x14ac:dyDescent="0.5">
      <c r="A46" s="1133" t="s">
        <v>10</v>
      </c>
      <c r="B46" s="1134"/>
      <c r="C46" s="1134"/>
      <c r="D46" s="1135"/>
      <c r="E46" s="659">
        <f>+E40+E42</f>
        <v>118294300</v>
      </c>
      <c r="F46" s="659">
        <f t="shared" ref="F46:K46" si="19">+F40+F42</f>
        <v>-22909500</v>
      </c>
      <c r="G46" s="659">
        <f t="shared" si="19"/>
        <v>68223500</v>
      </c>
      <c r="H46" s="659">
        <f t="shared" si="19"/>
        <v>22444868</v>
      </c>
      <c r="I46" s="659">
        <f t="shared" si="19"/>
        <v>18036707.700000003</v>
      </c>
      <c r="J46" s="659">
        <f t="shared" si="19"/>
        <v>100755040.22</v>
      </c>
      <c r="K46" s="659">
        <f t="shared" si="19"/>
        <v>78310172.219999999</v>
      </c>
      <c r="L46" s="659">
        <f>+I46*100/G46</f>
        <v>26.437675727571882</v>
      </c>
      <c r="M46" s="659">
        <f>+J46*100/H46</f>
        <v>448.9001237164772</v>
      </c>
      <c r="N46" s="651">
        <f>+H46+I46</f>
        <v>40481575.700000003</v>
      </c>
      <c r="O46" s="740"/>
    </row>
    <row r="47" spans="1:15" s="739" customFormat="1" hidden="1" x14ac:dyDescent="0.5">
      <c r="A47" s="1125" t="s">
        <v>976</v>
      </c>
      <c r="B47" s="1125"/>
      <c r="C47" s="1125"/>
      <c r="D47" s="1125"/>
      <c r="E47" s="659">
        <f>+G8-E48</f>
        <v>16720185</v>
      </c>
      <c r="F47" s="659">
        <f t="shared" ref="F47" si="20">+H8-F48</f>
        <v>-2959282</v>
      </c>
      <c r="G47" s="659"/>
      <c r="H47" s="659">
        <f>+H8</f>
        <v>746218</v>
      </c>
      <c r="I47" s="659">
        <f>+I8</f>
        <v>15059134.779999999</v>
      </c>
      <c r="J47" s="659"/>
      <c r="K47" s="749"/>
      <c r="L47" s="651">
        <f t="shared" ref="L47:L55" si="21">+I47*100/E47</f>
        <v>90.065599034938913</v>
      </c>
      <c r="M47" s="651">
        <f t="shared" ref="M47:M55" si="22">+N47*100/E47</f>
        <v>0</v>
      </c>
      <c r="N47" s="742"/>
      <c r="O47" s="740"/>
    </row>
    <row r="48" spans="1:15" s="739" customFormat="1" hidden="1" x14ac:dyDescent="0.5">
      <c r="A48" s="1125" t="s">
        <v>973</v>
      </c>
      <c r="B48" s="1125"/>
      <c r="C48" s="1125"/>
      <c r="D48" s="1125"/>
      <c r="E48" s="659">
        <f>1155000+516000+816000+1218500</f>
        <v>3705500</v>
      </c>
      <c r="F48" s="659">
        <f t="shared" ref="F48" si="23">1155000+516000+816000+1218500</f>
        <v>3705500</v>
      </c>
      <c r="G48" s="659"/>
      <c r="H48" s="659">
        <v>0</v>
      </c>
      <c r="I48" s="659">
        <v>0</v>
      </c>
      <c r="J48" s="659">
        <v>0</v>
      </c>
      <c r="K48" s="749">
        <v>0</v>
      </c>
      <c r="L48" s="651">
        <f t="shared" si="21"/>
        <v>0</v>
      </c>
      <c r="M48" s="651">
        <f t="shared" si="22"/>
        <v>0</v>
      </c>
      <c r="N48" s="742"/>
      <c r="O48" s="740"/>
    </row>
    <row r="49" spans="1:15" s="739" customFormat="1" hidden="1" x14ac:dyDescent="0.5">
      <c r="A49" s="653"/>
      <c r="B49" s="653"/>
      <c r="C49" s="653"/>
      <c r="D49" s="653"/>
      <c r="E49" s="659">
        <f>SUM(E47:E48)</f>
        <v>20425685</v>
      </c>
      <c r="F49" s="659">
        <f t="shared" ref="F49:K49" si="24">SUM(F47:F48)</f>
        <v>746218</v>
      </c>
      <c r="G49" s="659">
        <f t="shared" si="24"/>
        <v>0</v>
      </c>
      <c r="H49" s="659">
        <f t="shared" si="24"/>
        <v>746218</v>
      </c>
      <c r="I49" s="659">
        <f t="shared" si="24"/>
        <v>15059134.779999999</v>
      </c>
      <c r="J49" s="659">
        <f t="shared" si="24"/>
        <v>0</v>
      </c>
      <c r="K49" s="659">
        <f t="shared" si="24"/>
        <v>0</v>
      </c>
      <c r="L49" s="651"/>
      <c r="M49" s="651"/>
      <c r="N49" s="742"/>
      <c r="O49" s="740"/>
    </row>
    <row r="50" spans="1:15" s="739" customFormat="1" hidden="1" x14ac:dyDescent="0.5">
      <c r="A50" s="653"/>
      <c r="B50" s="653"/>
      <c r="C50" s="653"/>
      <c r="D50" s="653"/>
      <c r="E50" s="659"/>
      <c r="F50" s="659"/>
      <c r="G50" s="659"/>
      <c r="H50" s="659"/>
      <c r="I50" s="659">
        <f>SUM(H49:I49)</f>
        <v>15805352.779999999</v>
      </c>
      <c r="J50" s="921">
        <f>+I50/1000000</f>
        <v>15.80535278</v>
      </c>
      <c r="K50" s="659"/>
      <c r="L50" s="651"/>
      <c r="M50" s="651"/>
      <c r="N50" s="742"/>
      <c r="O50" s="740"/>
    </row>
    <row r="51" spans="1:15" s="739" customFormat="1" hidden="1" x14ac:dyDescent="0.5">
      <c r="A51" s="653"/>
      <c r="B51" s="653"/>
      <c r="C51" s="653"/>
      <c r="D51" s="653" t="s">
        <v>974</v>
      </c>
      <c r="E51" s="659">
        <f>+G10+G16+G17+G18+G19+G22+G23+G24+G25+G28+G29</f>
        <v>2825347.92</v>
      </c>
      <c r="F51" s="659">
        <f>+H10+H16+H17+H18+H19+H22+H23+H24+H25+H28+H29</f>
        <v>747000</v>
      </c>
      <c r="G51" s="659">
        <v>0</v>
      </c>
      <c r="H51" s="659">
        <f>+H10+H16+H17+H18+H19+H22+H23+H24+H25+H28+H29</f>
        <v>747000</v>
      </c>
      <c r="I51" s="659">
        <f>+I10+I16+I17+I18+I19+I22+I23+I24+I25+I28+I29</f>
        <v>1841322.92</v>
      </c>
      <c r="J51" s="659">
        <f>+L10+L16+L17+L18+L19+L22+L23+L24+L25+L28+L29</f>
        <v>392.10592868670119</v>
      </c>
      <c r="K51" s="749">
        <f t="shared" ref="K51:K52" si="25">+E51-H51-I51</f>
        <v>237025</v>
      </c>
      <c r="L51" s="651">
        <f t="shared" si="21"/>
        <v>65.171546023259324</v>
      </c>
      <c r="M51" s="651">
        <f t="shared" si="22"/>
        <v>0</v>
      </c>
      <c r="N51" s="742"/>
      <c r="O51" s="740"/>
    </row>
    <row r="52" spans="1:15" s="739" customFormat="1" hidden="1" x14ac:dyDescent="0.5">
      <c r="A52" s="653"/>
      <c r="B52" s="653"/>
      <c r="C52" s="653"/>
      <c r="D52" s="653" t="s">
        <v>975</v>
      </c>
      <c r="E52" s="659">
        <f>+E11+E12+E13+E14+E15+E20+E21+E26+G27+E31+E32+E33+E34+E35+E36+E37</f>
        <v>95043267.079999998</v>
      </c>
      <c r="F52" s="659">
        <f>+F11+F12+F13+F14+F15+F20+F21+F26+H27+F31+F32+F33+F34+F35+F36+F37</f>
        <v>-27169300</v>
      </c>
      <c r="G52" s="659">
        <v>0</v>
      </c>
      <c r="H52" s="659">
        <f>+H11+H12+H13+H14+H15+H20+H21+H26+H27+H31+H32+H33+H34+H35+H36+H37</f>
        <v>20951650</v>
      </c>
      <c r="I52" s="659">
        <f>+I11+I12+I13+I14+I15+I20+I21+I26+I27+I31+I32+I33+I34+I35+I36+I37</f>
        <v>1136250</v>
      </c>
      <c r="J52" s="659">
        <f>+J11+J12+J13+J14+J15+J20+J21+J26+L27+J31+J32+J33+J34+J35+J36+J37</f>
        <v>93769550</v>
      </c>
      <c r="K52" s="749">
        <f t="shared" si="25"/>
        <v>72955367.079999998</v>
      </c>
      <c r="L52" s="651">
        <f t="shared" si="21"/>
        <v>1.1955081458254098</v>
      </c>
      <c r="M52" s="651">
        <f t="shared" si="22"/>
        <v>0</v>
      </c>
      <c r="N52" s="742"/>
      <c r="O52" s="740"/>
    </row>
    <row r="53" spans="1:15" s="739" customFormat="1" hidden="1" x14ac:dyDescent="0.5">
      <c r="A53" s="653"/>
      <c r="B53" s="653"/>
      <c r="C53" s="653"/>
      <c r="D53" s="653"/>
      <c r="E53" s="659">
        <f>SUM(E51:E52)</f>
        <v>97868615</v>
      </c>
      <c r="F53" s="659">
        <f t="shared" ref="F53" si="26">SUM(F51:F52)</f>
        <v>-26422300</v>
      </c>
      <c r="G53" s="659">
        <f t="shared" ref="G53" si="27">SUM(G51:G52)</f>
        <v>0</v>
      </c>
      <c r="H53" s="659">
        <f t="shared" ref="H53" si="28">SUM(H51:H52)</f>
        <v>21698650</v>
      </c>
      <c r="I53" s="659">
        <f t="shared" ref="I53" si="29">SUM(I51:I52)</f>
        <v>2977572.92</v>
      </c>
      <c r="J53" s="659">
        <f t="shared" ref="J53" si="30">SUM(J51:J52)</f>
        <v>93769942.105928689</v>
      </c>
      <c r="K53" s="659">
        <f t="shared" ref="K53" si="31">SUM(K51:K52)</f>
        <v>73192392.079999998</v>
      </c>
      <c r="L53" s="651"/>
      <c r="M53" s="651"/>
      <c r="N53" s="742"/>
      <c r="O53" s="740"/>
    </row>
    <row r="54" spans="1:15" s="739" customFormat="1" hidden="1" x14ac:dyDescent="0.5">
      <c r="A54" s="653"/>
      <c r="B54" s="653"/>
      <c r="C54" s="653"/>
      <c r="D54" s="653"/>
      <c r="E54" s="659"/>
      <c r="F54" s="659"/>
      <c r="G54" s="659"/>
      <c r="H54" s="659"/>
      <c r="I54" s="659">
        <f>SUM(H53:I53)</f>
        <v>24676222.920000002</v>
      </c>
      <c r="J54" s="921">
        <f>+I54/1000000</f>
        <v>24.676222920000001</v>
      </c>
      <c r="K54" s="659"/>
      <c r="L54" s="651"/>
      <c r="M54" s="651"/>
      <c r="N54" s="742"/>
      <c r="O54" s="740"/>
    </row>
    <row r="55" spans="1:15" s="739" customFormat="1" hidden="1" x14ac:dyDescent="0.5">
      <c r="A55" s="653"/>
      <c r="B55" s="653"/>
      <c r="C55" s="653"/>
      <c r="D55" s="653"/>
      <c r="E55" s="659">
        <f>+E49+E53</f>
        <v>118294300</v>
      </c>
      <c r="F55" s="659">
        <f t="shared" ref="F55:K55" si="32">+F49+F53</f>
        <v>-25676082</v>
      </c>
      <c r="G55" s="659">
        <f t="shared" si="32"/>
        <v>0</v>
      </c>
      <c r="H55" s="659">
        <f t="shared" si="32"/>
        <v>22444868</v>
      </c>
      <c r="I55" s="659">
        <f t="shared" si="32"/>
        <v>18036707.699999999</v>
      </c>
      <c r="J55" s="659">
        <f t="shared" si="32"/>
        <v>93769942.105928689</v>
      </c>
      <c r="K55" s="659">
        <f t="shared" si="32"/>
        <v>73192392.079999998</v>
      </c>
      <c r="L55" s="651">
        <f t="shared" si="21"/>
        <v>15.247317664502855</v>
      </c>
      <c r="M55" s="651">
        <f t="shared" si="22"/>
        <v>0</v>
      </c>
      <c r="N55" s="742"/>
      <c r="O55" s="740"/>
    </row>
    <row r="56" spans="1:15" s="739" customFormat="1" hidden="1" x14ac:dyDescent="0.5">
      <c r="A56" s="653"/>
      <c r="B56" s="653"/>
      <c r="C56" s="653"/>
      <c r="D56" s="653"/>
      <c r="E56" s="659"/>
      <c r="F56" s="659"/>
      <c r="G56" s="659"/>
      <c r="H56" s="659"/>
      <c r="I56" s="659">
        <f>SUM(H55:I55)</f>
        <v>40481575.700000003</v>
      </c>
      <c r="J56" s="921">
        <f>+I56/1000000</f>
        <v>40.4815757</v>
      </c>
      <c r="K56" s="659"/>
      <c r="L56" s="659"/>
      <c r="M56" s="659"/>
      <c r="N56" s="742"/>
      <c r="O56" s="740"/>
    </row>
    <row r="57" spans="1:15" s="739" customFormat="1" hidden="1" x14ac:dyDescent="0.5">
      <c r="A57" s="121"/>
      <c r="B57" s="121"/>
      <c r="C57" s="121"/>
      <c r="D57" s="121"/>
      <c r="N57" s="742"/>
      <c r="O57" s="740"/>
    </row>
    <row r="58" spans="1:15" s="739" customFormat="1" hidden="1" x14ac:dyDescent="0.5">
      <c r="A58" s="121"/>
      <c r="B58" s="121"/>
      <c r="C58" s="121"/>
      <c r="D58" s="121"/>
      <c r="N58" s="742"/>
      <c r="O58" s="740"/>
    </row>
    <row r="59" spans="1:15" s="739" customFormat="1" hidden="1" x14ac:dyDescent="0.5">
      <c r="A59" s="121"/>
      <c r="B59" s="121"/>
      <c r="C59" s="121"/>
      <c r="D59" s="121"/>
      <c r="N59" s="742"/>
      <c r="O59" s="740"/>
    </row>
    <row r="60" spans="1:15" s="816" customFormat="1" ht="27.75" x14ac:dyDescent="0.5">
      <c r="A60" s="1126" t="s">
        <v>877</v>
      </c>
      <c r="B60" s="1126"/>
      <c r="C60" s="1126"/>
      <c r="D60" s="1126"/>
      <c r="E60" s="1126"/>
      <c r="F60" s="1126"/>
      <c r="G60" s="1126"/>
      <c r="H60" s="1126"/>
      <c r="I60" s="1126"/>
      <c r="J60" s="1126"/>
      <c r="K60" s="1126"/>
      <c r="L60" s="1126"/>
      <c r="M60" s="1126"/>
      <c r="N60" s="1126"/>
      <c r="O60" s="1126"/>
    </row>
    <row r="61" spans="1:15" hidden="1" x14ac:dyDescent="0.5"/>
    <row r="62" spans="1:15" hidden="1" x14ac:dyDescent="0.5">
      <c r="E62" s="596">
        <v>1794432.92</v>
      </c>
    </row>
    <row r="63" spans="1:15" hidden="1" x14ac:dyDescent="0.5">
      <c r="E63" s="596">
        <v>39000</v>
      </c>
    </row>
    <row r="64" spans="1:15" hidden="1" x14ac:dyDescent="0.5">
      <c r="E64" s="596">
        <v>458447.92</v>
      </c>
      <c r="G64" s="597">
        <f>+E38-E67</f>
        <v>97868615</v>
      </c>
    </row>
    <row r="65" spans="5:7" hidden="1" x14ac:dyDescent="0.5">
      <c r="G65" s="597">
        <f>SUM(G31:G34)</f>
        <v>9217500</v>
      </c>
    </row>
    <row r="66" spans="5:7" hidden="1" x14ac:dyDescent="0.5">
      <c r="G66" s="597">
        <f>SUM(G35:G37)</f>
        <v>12716000</v>
      </c>
    </row>
    <row r="67" spans="5:7" hidden="1" x14ac:dyDescent="0.5">
      <c r="E67" s="596">
        <f>+E62-E63-E64</f>
        <v>1296985</v>
      </c>
    </row>
    <row r="68" spans="5:7" hidden="1" x14ac:dyDescent="0.5"/>
    <row r="69" spans="5:7" hidden="1" x14ac:dyDescent="0.5"/>
    <row r="70" spans="5:7" hidden="1" x14ac:dyDescent="0.5"/>
    <row r="71" spans="5:7" hidden="1" x14ac:dyDescent="0.5"/>
    <row r="72" spans="5:7" hidden="1" x14ac:dyDescent="0.5"/>
    <row r="73" spans="5:7" hidden="1" x14ac:dyDescent="0.5"/>
    <row r="74" spans="5:7" hidden="1" x14ac:dyDescent="0.5"/>
    <row r="75" spans="5:7" hidden="1" x14ac:dyDescent="0.5"/>
    <row r="76" spans="5:7" hidden="1" x14ac:dyDescent="0.5"/>
    <row r="77" spans="5:7" hidden="1" x14ac:dyDescent="0.5"/>
    <row r="78" spans="5:7" hidden="1" x14ac:dyDescent="0.5"/>
    <row r="79" spans="5:7" hidden="1" x14ac:dyDescent="0.5"/>
    <row r="80" spans="5:7" hidden="1" x14ac:dyDescent="0.5"/>
    <row r="81" hidden="1" x14ac:dyDescent="0.5"/>
    <row r="82" hidden="1" x14ac:dyDescent="0.5"/>
    <row r="83" hidden="1" x14ac:dyDescent="0.5"/>
    <row r="84" hidden="1" x14ac:dyDescent="0.5"/>
    <row r="85" hidden="1" x14ac:dyDescent="0.5"/>
    <row r="86" hidden="1" x14ac:dyDescent="0.5"/>
    <row r="87" hidden="1" x14ac:dyDescent="0.5"/>
    <row r="88" hidden="1" x14ac:dyDescent="0.5"/>
    <row r="89" hidden="1" x14ac:dyDescent="0.5"/>
    <row r="90" hidden="1" x14ac:dyDescent="0.5"/>
    <row r="91" hidden="1" x14ac:dyDescent="0.5"/>
    <row r="92" hidden="1" x14ac:dyDescent="0.5"/>
    <row r="93" hidden="1" x14ac:dyDescent="0.5"/>
    <row r="94" hidden="1" x14ac:dyDescent="0.5"/>
    <row r="95" hidden="1" x14ac:dyDescent="0.5"/>
    <row r="96" hidden="1" x14ac:dyDescent="0.5"/>
    <row r="97" hidden="1" x14ac:dyDescent="0.5"/>
    <row r="98" hidden="1" x14ac:dyDescent="0.5"/>
    <row r="99" hidden="1" x14ac:dyDescent="0.5"/>
    <row r="100" hidden="1" x14ac:dyDescent="0.5"/>
  </sheetData>
  <mergeCells count="22">
    <mergeCell ref="A45:G45"/>
    <mergeCell ref="A60:O60"/>
    <mergeCell ref="A46:D46"/>
    <mergeCell ref="A43:G43"/>
    <mergeCell ref="A44:G44"/>
    <mergeCell ref="A47:D47"/>
    <mergeCell ref="A48:D48"/>
    <mergeCell ref="A41:G41"/>
    <mergeCell ref="A42:D42"/>
    <mergeCell ref="A40:D40"/>
    <mergeCell ref="A1:O1"/>
    <mergeCell ref="A2:O2"/>
    <mergeCell ref="A3:O3"/>
    <mergeCell ref="A39:D39"/>
    <mergeCell ref="A38:D38"/>
    <mergeCell ref="A4:O4"/>
    <mergeCell ref="C9:D9"/>
    <mergeCell ref="O5:O7"/>
    <mergeCell ref="C5:D7"/>
    <mergeCell ref="C8:D8"/>
    <mergeCell ref="C30:D30"/>
    <mergeCell ref="E5:G5"/>
  </mergeCells>
  <phoneticPr fontId="0" type="noConversion"/>
  <pageMargins left="0.19685039370078741" right="0" top="0.6692913385826772" bottom="0.43307086614173229" header="0.23622047244094491" footer="0.19685039370078741"/>
  <pageSetup paperSize="9" scale="62" orientation="landscape" r:id="rId1"/>
  <headerFooter alignWithMargins="0">
    <oddFooter>&amp;Lกลุ่มบริหารงานบัญชีและงบประมาณ&amp;Rหน้าที่ &amp;P จาก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L669"/>
  <sheetViews>
    <sheetView topLeftCell="A16" zoomScale="80" zoomScaleNormal="80" workbookViewId="0">
      <selection activeCell="H19" sqref="H19"/>
    </sheetView>
  </sheetViews>
  <sheetFormatPr defaultRowHeight="24" x14ac:dyDescent="0.5"/>
  <cols>
    <col min="1" max="1" width="7.7109375" style="787" customWidth="1"/>
    <col min="2" max="2" width="19.5703125" style="693" customWidth="1"/>
    <col min="3" max="3" width="55.7109375" style="695" customWidth="1"/>
    <col min="4" max="4" width="17.5703125" style="592" bestFit="1" customWidth="1"/>
    <col min="5" max="5" width="16.140625" style="592" hidden="1" customWidth="1"/>
    <col min="6" max="6" width="17.5703125" style="513" bestFit="1" customWidth="1"/>
    <col min="7" max="7" width="17.85546875" style="592" customWidth="1"/>
    <col min="8" max="8" width="18.140625" style="592" customWidth="1"/>
    <col min="9" max="9" width="18" style="592" customWidth="1"/>
    <col min="10" max="10" width="18.28515625" style="513" customWidth="1"/>
    <col min="11" max="12" width="13.5703125" style="513" customWidth="1"/>
    <col min="13" max="13" width="15.28515625" style="592" hidden="1" customWidth="1"/>
    <col min="14" max="38" width="12.140625" style="592" hidden="1" customWidth="1"/>
    <col min="39" max="70" width="12.140625" style="592" customWidth="1"/>
    <col min="71" max="74" width="11.7109375" style="592" customWidth="1"/>
    <col min="75" max="16384" width="9.140625" style="592"/>
  </cols>
  <sheetData>
    <row r="1" spans="1:13" s="513" customFormat="1" ht="27.75" x14ac:dyDescent="0.5">
      <c r="A1" s="1208" t="str">
        <f>+งบลงทุน!A1:O1</f>
        <v>กรมพินิจและคุ้มครองเด็กและเยาวชน   กระทรวงยุติธรรม</v>
      </c>
      <c r="B1" s="1208"/>
      <c r="C1" s="1208"/>
      <c r="D1" s="1208"/>
      <c r="E1" s="1208"/>
      <c r="F1" s="1208"/>
      <c r="G1" s="1208"/>
      <c r="H1" s="1208"/>
      <c r="I1" s="1208"/>
      <c r="J1" s="1208"/>
      <c r="K1" s="1208"/>
      <c r="L1" s="1208"/>
    </row>
    <row r="2" spans="1:13" s="513" customFormat="1" ht="27.75" x14ac:dyDescent="0.5">
      <c r="A2" s="1208" t="str">
        <f>+งบลงทุน!A2:O2</f>
        <v>รายละเอียดงบประมาณรายจ่ายประจำปีงบประมาณ  พ.ศ.  2565</v>
      </c>
      <c r="B2" s="1208"/>
      <c r="C2" s="1208"/>
      <c r="D2" s="1208"/>
      <c r="E2" s="1208"/>
      <c r="F2" s="1208"/>
      <c r="G2" s="1208"/>
      <c r="H2" s="1208"/>
      <c r="I2" s="1208"/>
      <c r="J2" s="1208"/>
      <c r="K2" s="1208"/>
      <c r="L2" s="1208"/>
    </row>
    <row r="3" spans="1:13" s="513" customFormat="1" ht="27.75" x14ac:dyDescent="0.5">
      <c r="A3" s="1209" t="s">
        <v>16</v>
      </c>
      <c r="B3" s="1209"/>
      <c r="C3" s="1209"/>
      <c r="D3" s="1209"/>
      <c r="E3" s="1209"/>
      <c r="F3" s="1209"/>
      <c r="G3" s="1209"/>
      <c r="H3" s="1209"/>
      <c r="I3" s="1209"/>
      <c r="J3" s="1209"/>
      <c r="K3" s="1209"/>
      <c r="L3" s="1209"/>
    </row>
    <row r="4" spans="1:13" s="513" customFormat="1" ht="27.75" x14ac:dyDescent="0.5">
      <c r="A4" s="1210" t="str">
        <f>+งบลงทุน!A4:L4</f>
        <v>ตั้งแต่วันที่ 1  ตุลาคม 2564 ถึงวันที่ 31 มกราคม 2565</v>
      </c>
      <c r="B4" s="1210"/>
      <c r="C4" s="1210"/>
      <c r="D4" s="1210"/>
      <c r="E4" s="1210"/>
      <c r="F4" s="1210"/>
      <c r="G4" s="1210"/>
      <c r="H4" s="1210"/>
      <c r="I4" s="1210"/>
      <c r="J4" s="1210"/>
      <c r="K4" s="1210"/>
      <c r="L4" s="1210"/>
    </row>
    <row r="5" spans="1:13" s="589" customFormat="1" x14ac:dyDescent="0.5">
      <c r="A5" s="1215" t="s">
        <v>0</v>
      </c>
      <c r="B5" s="1214" t="s">
        <v>172</v>
      </c>
      <c r="C5" s="1216" t="s">
        <v>320</v>
      </c>
      <c r="D5" s="1218" t="s">
        <v>59</v>
      </c>
      <c r="E5" s="1219"/>
      <c r="F5" s="1220"/>
      <c r="G5" s="664" t="s">
        <v>161</v>
      </c>
      <c r="H5" s="664" t="s">
        <v>17</v>
      </c>
      <c r="I5" s="664" t="s">
        <v>62</v>
      </c>
      <c r="J5" s="664" t="s">
        <v>62</v>
      </c>
      <c r="K5" s="668" t="s">
        <v>701</v>
      </c>
      <c r="L5" s="668" t="s">
        <v>701</v>
      </c>
    </row>
    <row r="6" spans="1:13" s="589" customFormat="1" x14ac:dyDescent="0.5">
      <c r="A6" s="1215"/>
      <c r="B6" s="1214"/>
      <c r="C6" s="1216"/>
      <c r="D6" s="665" t="s">
        <v>624</v>
      </c>
      <c r="E6" s="665" t="s">
        <v>322</v>
      </c>
      <c r="F6" s="647" t="s">
        <v>602</v>
      </c>
      <c r="G6" s="665" t="s">
        <v>873</v>
      </c>
      <c r="H6" s="665" t="s">
        <v>2</v>
      </c>
      <c r="I6" s="665" t="s">
        <v>71</v>
      </c>
      <c r="J6" s="665" t="s">
        <v>98</v>
      </c>
      <c r="K6" s="669" t="s">
        <v>61</v>
      </c>
      <c r="L6" s="669" t="s">
        <v>702</v>
      </c>
    </row>
    <row r="7" spans="1:13" s="589" customFormat="1" x14ac:dyDescent="0.5">
      <c r="A7" s="1215"/>
      <c r="B7" s="1214"/>
      <c r="C7" s="1216"/>
      <c r="D7" s="666" t="s">
        <v>337</v>
      </c>
      <c r="E7" s="666" t="s">
        <v>338</v>
      </c>
      <c r="F7" s="666" t="s">
        <v>338</v>
      </c>
      <c r="G7" s="648" t="s">
        <v>339</v>
      </c>
      <c r="H7" s="648" t="s">
        <v>340</v>
      </c>
      <c r="I7" s="649" t="s">
        <v>623</v>
      </c>
      <c r="J7" s="649" t="s">
        <v>626</v>
      </c>
      <c r="K7" s="667"/>
      <c r="L7" s="667" t="s">
        <v>703</v>
      </c>
    </row>
    <row r="8" spans="1:13" ht="96" x14ac:dyDescent="0.5">
      <c r="A8" s="784" t="s">
        <v>337</v>
      </c>
      <c r="B8" s="741" t="s">
        <v>558</v>
      </c>
      <c r="C8" s="657" t="s">
        <v>317</v>
      </c>
      <c r="D8" s="590">
        <v>621500</v>
      </c>
      <c r="E8" s="590">
        <v>0</v>
      </c>
      <c r="F8" s="590">
        <v>310700</v>
      </c>
      <c r="G8" s="590">
        <v>0</v>
      </c>
      <c r="H8" s="590">
        <v>0</v>
      </c>
      <c r="I8" s="590">
        <f>+D8-H8</f>
        <v>621500</v>
      </c>
      <c r="J8" s="590">
        <f>+D8-G8-H8</f>
        <v>621500</v>
      </c>
      <c r="K8" s="783">
        <f>+H8*100/D8</f>
        <v>0</v>
      </c>
      <c r="L8" s="783">
        <f>+M8*100/D8</f>
        <v>0</v>
      </c>
      <c r="M8" s="593">
        <f>+G8+H8</f>
        <v>0</v>
      </c>
    </row>
    <row r="9" spans="1:13" ht="48" x14ac:dyDescent="0.5">
      <c r="A9" s="561" t="s">
        <v>338</v>
      </c>
      <c r="B9" s="741" t="s">
        <v>559</v>
      </c>
      <c r="C9" s="657" t="s">
        <v>863</v>
      </c>
      <c r="D9" s="590">
        <v>361400</v>
      </c>
      <c r="E9" s="590">
        <v>0</v>
      </c>
      <c r="F9" s="590">
        <v>180700</v>
      </c>
      <c r="G9" s="590">
        <v>0</v>
      </c>
      <c r="H9" s="590">
        <v>0</v>
      </c>
      <c r="I9" s="590">
        <f t="shared" ref="I9:I20" si="0">+D9-H9</f>
        <v>361400</v>
      </c>
      <c r="J9" s="590">
        <f t="shared" ref="J9:J20" si="1">+D9-G9-H9</f>
        <v>361400</v>
      </c>
      <c r="K9" s="783">
        <f t="shared" ref="K9:K21" si="2">+H9*100/D9</f>
        <v>0</v>
      </c>
      <c r="L9" s="783">
        <f t="shared" ref="L9:L21" si="3">+M9*100/D9</f>
        <v>0</v>
      </c>
      <c r="M9" s="593">
        <f t="shared" ref="M9:M22" si="4">+G9+H9</f>
        <v>0</v>
      </c>
    </row>
    <row r="10" spans="1:13" ht="72" x14ac:dyDescent="0.5">
      <c r="A10" s="784" t="s">
        <v>339</v>
      </c>
      <c r="B10" s="741" t="s">
        <v>560</v>
      </c>
      <c r="C10" s="657" t="s">
        <v>633</v>
      </c>
      <c r="D10" s="590">
        <v>5938000</v>
      </c>
      <c r="E10" s="590">
        <v>0</v>
      </c>
      <c r="F10" s="590">
        <v>2969000</v>
      </c>
      <c r="G10" s="590">
        <v>0</v>
      </c>
      <c r="H10" s="590">
        <v>515473.32</v>
      </c>
      <c r="I10" s="590">
        <f t="shared" si="0"/>
        <v>5422526.6799999997</v>
      </c>
      <c r="J10" s="590">
        <f t="shared" si="1"/>
        <v>5422526.6799999997</v>
      </c>
      <c r="K10" s="783">
        <f t="shared" si="2"/>
        <v>8.6809248905355343</v>
      </c>
      <c r="L10" s="783">
        <f t="shared" si="3"/>
        <v>8.6809248905355343</v>
      </c>
      <c r="M10" s="593">
        <f t="shared" si="4"/>
        <v>515473.32</v>
      </c>
    </row>
    <row r="11" spans="1:13" ht="58.5" customHeight="1" x14ac:dyDescent="0.5">
      <c r="A11" s="784" t="s">
        <v>340</v>
      </c>
      <c r="B11" s="741" t="s">
        <v>561</v>
      </c>
      <c r="C11" s="657" t="s">
        <v>926</v>
      </c>
      <c r="D11" s="590">
        <v>5000000</v>
      </c>
      <c r="E11" s="590">
        <v>0</v>
      </c>
      <c r="F11" s="590">
        <v>2500000</v>
      </c>
      <c r="G11" s="590">
        <v>2500000</v>
      </c>
      <c r="H11" s="590">
        <v>0</v>
      </c>
      <c r="I11" s="590">
        <f t="shared" si="0"/>
        <v>5000000</v>
      </c>
      <c r="J11" s="590">
        <f t="shared" si="1"/>
        <v>2500000</v>
      </c>
      <c r="K11" s="783">
        <f t="shared" si="2"/>
        <v>0</v>
      </c>
      <c r="L11" s="783">
        <f t="shared" si="3"/>
        <v>50</v>
      </c>
      <c r="M11" s="593">
        <f t="shared" si="4"/>
        <v>2500000</v>
      </c>
    </row>
    <row r="12" spans="1:13" ht="56.25" customHeight="1" x14ac:dyDescent="0.5">
      <c r="A12" s="784" t="s">
        <v>341</v>
      </c>
      <c r="B12" s="741" t="s">
        <v>562</v>
      </c>
      <c r="C12" s="657" t="s">
        <v>864</v>
      </c>
      <c r="D12" s="590">
        <v>2531500</v>
      </c>
      <c r="E12" s="590">
        <v>0</v>
      </c>
      <c r="F12" s="590">
        <v>1265700</v>
      </c>
      <c r="G12" s="590">
        <v>45410</v>
      </c>
      <c r="H12" s="590">
        <v>82510</v>
      </c>
      <c r="I12" s="590">
        <f t="shared" si="0"/>
        <v>2448990</v>
      </c>
      <c r="J12" s="590">
        <f t="shared" si="1"/>
        <v>2403580</v>
      </c>
      <c r="K12" s="783">
        <f t="shared" si="2"/>
        <v>3.2593324116136677</v>
      </c>
      <c r="L12" s="783">
        <f t="shared" si="3"/>
        <v>5.0531305550069128</v>
      </c>
      <c r="M12" s="593">
        <f t="shared" si="4"/>
        <v>127920</v>
      </c>
    </row>
    <row r="13" spans="1:13" ht="57.75" customHeight="1" x14ac:dyDescent="0.5">
      <c r="A13" s="784" t="s">
        <v>342</v>
      </c>
      <c r="B13" s="741" t="s">
        <v>563</v>
      </c>
      <c r="C13" s="657" t="s">
        <v>634</v>
      </c>
      <c r="D13" s="590">
        <v>2510000</v>
      </c>
      <c r="E13" s="590">
        <v>0</v>
      </c>
      <c r="F13" s="590">
        <v>1255000</v>
      </c>
      <c r="G13" s="590">
        <v>0</v>
      </c>
      <c r="H13" s="590">
        <v>361478</v>
      </c>
      <c r="I13" s="590">
        <f t="shared" si="0"/>
        <v>2148522</v>
      </c>
      <c r="J13" s="590">
        <f t="shared" si="1"/>
        <v>2148522</v>
      </c>
      <c r="K13" s="783">
        <f t="shared" si="2"/>
        <v>14.401513944223108</v>
      </c>
      <c r="L13" s="783">
        <f t="shared" si="3"/>
        <v>14.401513944223108</v>
      </c>
      <c r="M13" s="593">
        <f t="shared" si="4"/>
        <v>361478</v>
      </c>
    </row>
    <row r="14" spans="1:13" ht="57.75" customHeight="1" x14ac:dyDescent="0.5">
      <c r="A14" s="784" t="s">
        <v>343</v>
      </c>
      <c r="B14" s="741" t="s">
        <v>865</v>
      </c>
      <c r="C14" s="657" t="s">
        <v>866</v>
      </c>
      <c r="D14" s="590">
        <v>1567000</v>
      </c>
      <c r="E14" s="590">
        <v>0</v>
      </c>
      <c r="F14" s="590">
        <v>783500</v>
      </c>
      <c r="G14" s="590">
        <v>65710</v>
      </c>
      <c r="H14" s="590">
        <v>99654.5</v>
      </c>
      <c r="I14" s="590">
        <f t="shared" si="0"/>
        <v>1467345.5</v>
      </c>
      <c r="J14" s="590">
        <f t="shared" si="1"/>
        <v>1401635.5</v>
      </c>
      <c r="K14" s="783">
        <f t="shared" si="2"/>
        <v>6.3595724313975746</v>
      </c>
      <c r="L14" s="783">
        <f t="shared" si="3"/>
        <v>10.552935545628589</v>
      </c>
      <c r="M14" s="593">
        <f t="shared" si="4"/>
        <v>165364.5</v>
      </c>
    </row>
    <row r="15" spans="1:13" ht="55.5" customHeight="1" x14ac:dyDescent="0.5">
      <c r="A15" s="784" t="s">
        <v>344</v>
      </c>
      <c r="B15" s="741" t="s">
        <v>867</v>
      </c>
      <c r="C15" s="657" t="s">
        <v>868</v>
      </c>
      <c r="D15" s="590">
        <v>2630600</v>
      </c>
      <c r="E15" s="590">
        <v>0</v>
      </c>
      <c r="F15" s="590">
        <v>1315300</v>
      </c>
      <c r="G15" s="590">
        <v>0</v>
      </c>
      <c r="H15" s="590">
        <v>4000</v>
      </c>
      <c r="I15" s="590">
        <f t="shared" si="0"/>
        <v>2626600</v>
      </c>
      <c r="J15" s="590">
        <f t="shared" si="1"/>
        <v>2626600</v>
      </c>
      <c r="K15" s="783">
        <f t="shared" si="2"/>
        <v>0.1520565650421957</v>
      </c>
      <c r="L15" s="783">
        <f t="shared" si="3"/>
        <v>0.1520565650421957</v>
      </c>
      <c r="M15" s="593">
        <f t="shared" si="4"/>
        <v>4000</v>
      </c>
    </row>
    <row r="16" spans="1:13" ht="55.5" customHeight="1" x14ac:dyDescent="0.5">
      <c r="A16" s="784" t="s">
        <v>345</v>
      </c>
      <c r="B16" s="741" t="s">
        <v>869</v>
      </c>
      <c r="C16" s="657" t="s">
        <v>870</v>
      </c>
      <c r="D16" s="590">
        <v>545000</v>
      </c>
      <c r="E16" s="590">
        <v>0</v>
      </c>
      <c r="F16" s="590">
        <v>272500</v>
      </c>
      <c r="G16" s="590">
        <v>0</v>
      </c>
      <c r="H16" s="590">
        <v>70000</v>
      </c>
      <c r="I16" s="590">
        <f t="shared" si="0"/>
        <v>475000</v>
      </c>
      <c r="J16" s="590">
        <f t="shared" si="1"/>
        <v>475000</v>
      </c>
      <c r="K16" s="783">
        <f t="shared" si="2"/>
        <v>12.844036697247706</v>
      </c>
      <c r="L16" s="783">
        <f t="shared" si="3"/>
        <v>12.844036697247706</v>
      </c>
      <c r="M16" s="593">
        <f t="shared" si="4"/>
        <v>70000</v>
      </c>
    </row>
    <row r="17" spans="1:38" ht="78.75" customHeight="1" x14ac:dyDescent="0.5">
      <c r="A17" s="784" t="s">
        <v>346</v>
      </c>
      <c r="B17" s="741" t="s">
        <v>871</v>
      </c>
      <c r="C17" s="657" t="s">
        <v>565</v>
      </c>
      <c r="D17" s="590">
        <v>1449000</v>
      </c>
      <c r="E17" s="590">
        <v>0</v>
      </c>
      <c r="F17" s="590">
        <v>724500</v>
      </c>
      <c r="G17" s="590">
        <v>0</v>
      </c>
      <c r="H17" s="590">
        <v>2280</v>
      </c>
      <c r="I17" s="590">
        <f t="shared" si="0"/>
        <v>1446720</v>
      </c>
      <c r="J17" s="590">
        <f t="shared" si="1"/>
        <v>1446720</v>
      </c>
      <c r="K17" s="783">
        <f t="shared" si="2"/>
        <v>0.15734989648033126</v>
      </c>
      <c r="L17" s="783">
        <f t="shared" si="3"/>
        <v>0.15734989648033126</v>
      </c>
      <c r="M17" s="593">
        <f t="shared" si="4"/>
        <v>2280</v>
      </c>
    </row>
    <row r="18" spans="1:38" ht="54.75" customHeight="1" x14ac:dyDescent="0.5">
      <c r="A18" s="784" t="s">
        <v>347</v>
      </c>
      <c r="B18" s="741" t="s">
        <v>566</v>
      </c>
      <c r="C18" s="657" t="s">
        <v>319</v>
      </c>
      <c r="D18" s="590">
        <v>750000</v>
      </c>
      <c r="E18" s="590">
        <v>0</v>
      </c>
      <c r="F18" s="590">
        <v>375000</v>
      </c>
      <c r="G18" s="590">
        <v>0</v>
      </c>
      <c r="H18" s="590">
        <v>0</v>
      </c>
      <c r="I18" s="590">
        <f t="shared" si="0"/>
        <v>750000</v>
      </c>
      <c r="J18" s="590">
        <f t="shared" si="1"/>
        <v>750000</v>
      </c>
      <c r="K18" s="783">
        <f t="shared" si="2"/>
        <v>0</v>
      </c>
      <c r="L18" s="783">
        <f t="shared" si="3"/>
        <v>0</v>
      </c>
      <c r="M18" s="593">
        <f t="shared" si="4"/>
        <v>0</v>
      </c>
    </row>
    <row r="19" spans="1:38" ht="54" customHeight="1" x14ac:dyDescent="0.5">
      <c r="A19" s="784" t="s">
        <v>348</v>
      </c>
      <c r="B19" s="741" t="s">
        <v>567</v>
      </c>
      <c r="C19" s="657" t="s">
        <v>872</v>
      </c>
      <c r="D19" s="590">
        <v>4366200</v>
      </c>
      <c r="E19" s="590">
        <v>0</v>
      </c>
      <c r="F19" s="590">
        <v>2183100</v>
      </c>
      <c r="G19" s="590">
        <v>0</v>
      </c>
      <c r="H19" s="590">
        <v>115323.6</v>
      </c>
      <c r="I19" s="590">
        <f t="shared" si="0"/>
        <v>4250876.4000000004</v>
      </c>
      <c r="J19" s="590">
        <f t="shared" si="1"/>
        <v>4250876.4000000004</v>
      </c>
      <c r="K19" s="783">
        <f t="shared" si="2"/>
        <v>2.641280747560808</v>
      </c>
      <c r="L19" s="783">
        <f t="shared" si="3"/>
        <v>2.641280747560808</v>
      </c>
      <c r="M19" s="593">
        <f t="shared" si="4"/>
        <v>115323.6</v>
      </c>
    </row>
    <row r="20" spans="1:38" ht="77.25" customHeight="1" x14ac:dyDescent="0.5">
      <c r="A20" s="784" t="s">
        <v>349</v>
      </c>
      <c r="B20" s="741" t="s">
        <v>568</v>
      </c>
      <c r="C20" s="657" t="s">
        <v>635</v>
      </c>
      <c r="D20" s="590">
        <v>523700</v>
      </c>
      <c r="E20" s="590">
        <v>0</v>
      </c>
      <c r="F20" s="590">
        <v>261800</v>
      </c>
      <c r="G20" s="590">
        <v>0</v>
      </c>
      <c r="H20" s="590">
        <v>0</v>
      </c>
      <c r="I20" s="590">
        <f t="shared" si="0"/>
        <v>523700</v>
      </c>
      <c r="J20" s="590">
        <f t="shared" si="1"/>
        <v>523700</v>
      </c>
      <c r="K20" s="783">
        <f t="shared" si="2"/>
        <v>0</v>
      </c>
      <c r="L20" s="783">
        <f t="shared" si="3"/>
        <v>0</v>
      </c>
      <c r="M20" s="593">
        <f t="shared" si="4"/>
        <v>0</v>
      </c>
      <c r="AK20" s="593"/>
    </row>
    <row r="21" spans="1:38" s="764" customFormat="1" ht="33.75" customHeight="1" x14ac:dyDescent="0.5">
      <c r="A21" s="1213" t="s">
        <v>367</v>
      </c>
      <c r="B21" s="1213"/>
      <c r="C21" s="1213"/>
      <c r="D21" s="888">
        <f t="shared" ref="D21:J21" si="5">SUM(D8:D20)</f>
        <v>28793900</v>
      </c>
      <c r="E21" s="888">
        <f t="shared" si="5"/>
        <v>0</v>
      </c>
      <c r="F21" s="888">
        <f t="shared" si="5"/>
        <v>14396800</v>
      </c>
      <c r="G21" s="888">
        <f t="shared" si="5"/>
        <v>2611120</v>
      </c>
      <c r="H21" s="888">
        <f t="shared" si="5"/>
        <v>1250719.4200000002</v>
      </c>
      <c r="I21" s="888">
        <f t="shared" si="5"/>
        <v>27543180.579999998</v>
      </c>
      <c r="J21" s="888">
        <f t="shared" si="5"/>
        <v>24932060.579999998</v>
      </c>
      <c r="K21" s="889">
        <f t="shared" si="2"/>
        <v>4.3436957827873268</v>
      </c>
      <c r="L21" s="889">
        <f t="shared" si="3"/>
        <v>13.412005390030528</v>
      </c>
      <c r="M21" s="593">
        <f t="shared" si="4"/>
        <v>3861839.42</v>
      </c>
      <c r="AL21" s="765" t="e">
        <f>+#REF!-#REF!</f>
        <v>#REF!</v>
      </c>
    </row>
    <row r="22" spans="1:38" s="805" customFormat="1" ht="30.75" x14ac:dyDescent="0.5">
      <c r="A22" s="1212" t="s">
        <v>907</v>
      </c>
      <c r="B22" s="1212"/>
      <c r="C22" s="1212"/>
      <c r="D22" s="1212"/>
      <c r="E22" s="1212"/>
      <c r="F22" s="1212"/>
      <c r="G22" s="1212"/>
      <c r="H22" s="1212"/>
      <c r="I22" s="1212"/>
      <c r="J22" s="1212"/>
      <c r="K22" s="1212"/>
      <c r="L22" s="1212"/>
      <c r="M22" s="804">
        <f t="shared" si="4"/>
        <v>0</v>
      </c>
      <c r="AL22" s="806" t="e">
        <f>+AL21*100/31733400</f>
        <v>#REF!</v>
      </c>
    </row>
    <row r="23" spans="1:38" s="513" customFormat="1" hidden="1" x14ac:dyDescent="0.5">
      <c r="A23" s="785"/>
      <c r="B23" s="1217" t="s">
        <v>874</v>
      </c>
      <c r="C23" s="1217"/>
      <c r="D23" s="1217"/>
      <c r="E23" s="1217"/>
      <c r="F23" s="1217"/>
      <c r="G23" s="1217"/>
      <c r="H23" s="1217"/>
      <c r="I23" s="1217"/>
      <c r="J23" s="1217"/>
      <c r="K23" s="1217"/>
      <c r="L23" s="1217"/>
      <c r="AL23" s="603"/>
    </row>
    <row r="24" spans="1:38" s="513" customFormat="1" hidden="1" x14ac:dyDescent="0.5">
      <c r="A24" s="785"/>
      <c r="B24" s="1211" t="s">
        <v>720</v>
      </c>
      <c r="C24" s="1211"/>
      <c r="D24" s="1211"/>
      <c r="E24" s="1211"/>
      <c r="F24" s="1211"/>
      <c r="G24" s="1211"/>
      <c r="H24" s="1211"/>
      <c r="I24" s="1211"/>
      <c r="J24" s="1211"/>
      <c r="K24" s="1211"/>
    </row>
    <row r="25" spans="1:38" s="513" customFormat="1" hidden="1" x14ac:dyDescent="0.5">
      <c r="A25" s="785"/>
      <c r="B25" s="1211" t="s">
        <v>726</v>
      </c>
      <c r="C25" s="1211"/>
      <c r="D25" s="1211"/>
      <c r="E25" s="1211"/>
      <c r="F25" s="1211"/>
      <c r="G25" s="1211"/>
      <c r="H25" s="1211"/>
      <c r="I25" s="1211"/>
      <c r="J25" s="1211"/>
      <c r="K25" s="1211"/>
    </row>
    <row r="26" spans="1:38" s="513" customFormat="1" hidden="1" x14ac:dyDescent="0.5">
      <c r="A26" s="785"/>
      <c r="B26" s="1211" t="s">
        <v>725</v>
      </c>
      <c r="C26" s="1211"/>
      <c r="D26" s="1211"/>
      <c r="E26" s="1211"/>
      <c r="F26" s="1211"/>
      <c r="G26" s="1211"/>
      <c r="H26" s="1211"/>
      <c r="I26" s="1211"/>
      <c r="J26" s="1211"/>
      <c r="K26" s="1211"/>
    </row>
    <row r="27" spans="1:38" s="513" customFormat="1" hidden="1" x14ac:dyDescent="0.5">
      <c r="A27" s="785"/>
      <c r="B27" s="1211" t="s">
        <v>727</v>
      </c>
      <c r="C27" s="1211"/>
      <c r="D27" s="1211"/>
      <c r="E27" s="1211"/>
      <c r="F27" s="1211"/>
      <c r="G27" s="1211"/>
      <c r="H27" s="1211"/>
      <c r="I27" s="1211"/>
      <c r="J27" s="1211"/>
      <c r="K27" s="1211"/>
    </row>
    <row r="28" spans="1:38" s="513" customFormat="1" hidden="1" x14ac:dyDescent="0.5">
      <c r="A28" s="785"/>
      <c r="B28" s="1211" t="s">
        <v>716</v>
      </c>
      <c r="C28" s="1211"/>
      <c r="D28" s="1211"/>
      <c r="E28" s="1211"/>
      <c r="F28" s="1211"/>
      <c r="G28" s="1211"/>
      <c r="H28" s="1211"/>
      <c r="I28" s="1211"/>
      <c r="J28" s="1211"/>
      <c r="K28" s="1211"/>
    </row>
    <row r="29" spans="1:38" s="513" customFormat="1" hidden="1" x14ac:dyDescent="0.5">
      <c r="A29" s="785"/>
      <c r="B29" s="766"/>
      <c r="C29" s="767"/>
      <c r="D29" s="766"/>
      <c r="E29" s="766"/>
      <c r="F29" s="766"/>
      <c r="G29" s="766"/>
      <c r="H29" s="766"/>
      <c r="I29" s="766"/>
      <c r="J29" s="768">
        <f>SUM(D8:D20)</f>
        <v>28793900</v>
      </c>
      <c r="K29" s="768" t="e">
        <f>SUM(#REF!)</f>
        <v>#REF!</v>
      </c>
    </row>
    <row r="30" spans="1:38" s="513" customFormat="1" hidden="1" x14ac:dyDescent="0.5">
      <c r="A30" s="785"/>
      <c r="B30" s="766"/>
      <c r="C30" s="767"/>
      <c r="D30" s="766"/>
      <c r="E30" s="766"/>
      <c r="F30" s="766"/>
      <c r="G30" s="766"/>
      <c r="H30" s="766"/>
      <c r="I30" s="766"/>
      <c r="J30" s="768" t="e">
        <f>+#REF!-#REF!-#REF!-#REF!-#REF!</f>
        <v>#REF!</v>
      </c>
      <c r="K30" s="768"/>
    </row>
    <row r="31" spans="1:38" s="513" customFormat="1" hidden="1" x14ac:dyDescent="0.5">
      <c r="A31" s="785"/>
      <c r="B31" s="766"/>
      <c r="C31" s="767"/>
      <c r="D31" s="766"/>
      <c r="E31" s="766"/>
      <c r="F31" s="766"/>
      <c r="G31" s="766"/>
      <c r="H31" s="766"/>
      <c r="I31" s="766"/>
      <c r="J31" s="768" t="e">
        <f>+#REF!-#REF!-#REF!-#REF!-#REF!</f>
        <v>#REF!</v>
      </c>
      <c r="K31" s="768"/>
    </row>
    <row r="32" spans="1:38" hidden="1" x14ac:dyDescent="0.5">
      <c r="A32" s="786" t="s">
        <v>355</v>
      </c>
      <c r="J32" s="768" t="e">
        <f>+#REF!-#REF!-#REF!-#REF!-#REF!</f>
        <v>#REF!</v>
      </c>
      <c r="K32" s="595"/>
    </row>
    <row r="33" spans="1:12" s="596" customFormat="1" hidden="1" x14ac:dyDescent="0.5">
      <c r="A33" s="786" t="s">
        <v>371</v>
      </c>
      <c r="B33" s="694"/>
      <c r="C33" s="696"/>
      <c r="F33" s="742"/>
      <c r="J33" s="768" t="e">
        <f>+#REF!-#REF!-#REF!-#REF!-#REF!</f>
        <v>#REF!</v>
      </c>
      <c r="K33" s="598"/>
      <c r="L33" s="742"/>
    </row>
    <row r="34" spans="1:12" s="596" customFormat="1" hidden="1" x14ac:dyDescent="0.5">
      <c r="A34" s="786" t="s">
        <v>373</v>
      </c>
      <c r="B34" s="694"/>
      <c r="C34" s="696"/>
      <c r="F34" s="742"/>
      <c r="J34" s="768" t="e">
        <f>+#REF!-#REF!-#REF!-#REF!-#REF!</f>
        <v>#REF!</v>
      </c>
      <c r="K34" s="598"/>
      <c r="L34" s="742"/>
    </row>
    <row r="35" spans="1:12" hidden="1" x14ac:dyDescent="0.5">
      <c r="A35" s="786" t="s">
        <v>372</v>
      </c>
      <c r="J35" s="768" t="e">
        <f>+#REF!-#REF!-#REF!-#REF!-#REF!</f>
        <v>#REF!</v>
      </c>
      <c r="K35" s="595"/>
    </row>
    <row r="36" spans="1:12" hidden="1" x14ac:dyDescent="0.5">
      <c r="J36" s="768" t="e">
        <f>+#REF!-#REF!-#REF!-#REF!-#REF!</f>
        <v>#REF!</v>
      </c>
      <c r="K36" s="595"/>
    </row>
    <row r="37" spans="1:12" hidden="1" x14ac:dyDescent="0.5">
      <c r="G37" s="592" t="e">
        <f>+#REF!*100/31733400</f>
        <v>#REF!</v>
      </c>
      <c r="H37" s="599"/>
      <c r="J37" s="768" t="e">
        <f>+#REF!-#REF!-#REF!-#REF!-#REF!</f>
        <v>#REF!</v>
      </c>
      <c r="K37" s="595"/>
    </row>
    <row r="38" spans="1:12" hidden="1" x14ac:dyDescent="0.5">
      <c r="J38" s="768"/>
      <c r="K38" s="600" t="e">
        <f>+K29*100/J29</f>
        <v>#REF!</v>
      </c>
    </row>
    <row r="39" spans="1:12" hidden="1" x14ac:dyDescent="0.5">
      <c r="G39" s="591"/>
    </row>
    <row r="40" spans="1:12" hidden="1" x14ac:dyDescent="0.5"/>
    <row r="41" spans="1:12" hidden="1" x14ac:dyDescent="0.5"/>
    <row r="42" spans="1:12" hidden="1" x14ac:dyDescent="0.5"/>
    <row r="43" spans="1:12" hidden="1" x14ac:dyDescent="0.5"/>
    <row r="44" spans="1:12" hidden="1" x14ac:dyDescent="0.5"/>
    <row r="45" spans="1:12" hidden="1" x14ac:dyDescent="0.5"/>
    <row r="46" spans="1:12" hidden="1" x14ac:dyDescent="0.5"/>
    <row r="47" spans="1:12" hidden="1" x14ac:dyDescent="0.5"/>
    <row r="48" spans="1:12" hidden="1" x14ac:dyDescent="0.5"/>
    <row r="49" hidden="1" x14ac:dyDescent="0.5"/>
    <row r="50" hidden="1" x14ac:dyDescent="0.5"/>
    <row r="51" hidden="1" x14ac:dyDescent="0.5"/>
    <row r="52" hidden="1" x14ac:dyDescent="0.5"/>
    <row r="53" hidden="1" x14ac:dyDescent="0.5"/>
    <row r="54" hidden="1" x14ac:dyDescent="0.5"/>
    <row r="55" hidden="1" x14ac:dyDescent="0.5"/>
    <row r="56" hidden="1" x14ac:dyDescent="0.5"/>
    <row r="57" hidden="1" x14ac:dyDescent="0.5"/>
    <row r="58" hidden="1" x14ac:dyDescent="0.5"/>
    <row r="59" hidden="1" x14ac:dyDescent="0.5"/>
    <row r="60" hidden="1" x14ac:dyDescent="0.5"/>
    <row r="61" hidden="1" x14ac:dyDescent="0.5"/>
    <row r="62" hidden="1" x14ac:dyDescent="0.5"/>
    <row r="63" hidden="1" x14ac:dyDescent="0.5"/>
    <row r="64" hidden="1" x14ac:dyDescent="0.5"/>
    <row r="65" hidden="1" x14ac:dyDescent="0.5"/>
    <row r="66" hidden="1" x14ac:dyDescent="0.5"/>
    <row r="67" hidden="1" x14ac:dyDescent="0.5"/>
    <row r="68" hidden="1" x14ac:dyDescent="0.5"/>
    <row r="69" hidden="1" x14ac:dyDescent="0.5"/>
    <row r="70" hidden="1" x14ac:dyDescent="0.5"/>
    <row r="71" hidden="1" x14ac:dyDescent="0.5"/>
    <row r="72" hidden="1" x14ac:dyDescent="0.5"/>
    <row r="73" hidden="1" x14ac:dyDescent="0.5"/>
    <row r="74" hidden="1" x14ac:dyDescent="0.5"/>
    <row r="75" hidden="1" x14ac:dyDescent="0.5"/>
    <row r="76" hidden="1" x14ac:dyDescent="0.5"/>
    <row r="77" hidden="1" x14ac:dyDescent="0.5"/>
    <row r="78" hidden="1" x14ac:dyDescent="0.5"/>
    <row r="79" hidden="1" x14ac:dyDescent="0.5"/>
    <row r="80" hidden="1" x14ac:dyDescent="0.5"/>
    <row r="81" hidden="1" x14ac:dyDescent="0.5"/>
    <row r="82" hidden="1" x14ac:dyDescent="0.5"/>
    <row r="83" hidden="1" x14ac:dyDescent="0.5"/>
    <row r="84" hidden="1" x14ac:dyDescent="0.5"/>
    <row r="85" hidden="1" x14ac:dyDescent="0.5"/>
    <row r="86" hidden="1" x14ac:dyDescent="0.5"/>
    <row r="87" hidden="1" x14ac:dyDescent="0.5"/>
    <row r="88" hidden="1" x14ac:dyDescent="0.5"/>
    <row r="89" hidden="1" x14ac:dyDescent="0.5"/>
    <row r="90" hidden="1" x14ac:dyDescent="0.5"/>
    <row r="91" hidden="1" x14ac:dyDescent="0.5"/>
    <row r="92" hidden="1" x14ac:dyDescent="0.5"/>
    <row r="93" hidden="1" x14ac:dyDescent="0.5"/>
    <row r="94" hidden="1" x14ac:dyDescent="0.5"/>
    <row r="95" hidden="1" x14ac:dyDescent="0.5"/>
    <row r="96" hidden="1" x14ac:dyDescent="0.5"/>
    <row r="97" hidden="1" x14ac:dyDescent="0.5"/>
    <row r="98" hidden="1" x14ac:dyDescent="0.5"/>
    <row r="99" hidden="1" x14ac:dyDescent="0.5"/>
    <row r="100" hidden="1" x14ac:dyDescent="0.5"/>
    <row r="101" hidden="1" x14ac:dyDescent="0.5"/>
    <row r="102" hidden="1" x14ac:dyDescent="0.5"/>
    <row r="103" hidden="1" x14ac:dyDescent="0.5"/>
    <row r="104" hidden="1" x14ac:dyDescent="0.5"/>
    <row r="105" hidden="1" x14ac:dyDescent="0.5"/>
    <row r="106" hidden="1" x14ac:dyDescent="0.5"/>
    <row r="107" hidden="1" x14ac:dyDescent="0.5"/>
    <row r="108" hidden="1" x14ac:dyDescent="0.5"/>
    <row r="109" hidden="1" x14ac:dyDescent="0.5"/>
    <row r="110" hidden="1" x14ac:dyDescent="0.5"/>
    <row r="111" hidden="1" x14ac:dyDescent="0.5"/>
    <row r="112" hidden="1" x14ac:dyDescent="0.5"/>
    <row r="113" hidden="1" x14ac:dyDescent="0.5"/>
    <row r="114" hidden="1" x14ac:dyDescent="0.5"/>
    <row r="115" hidden="1" x14ac:dyDescent="0.5"/>
    <row r="116" hidden="1" x14ac:dyDescent="0.5"/>
    <row r="117" hidden="1" x14ac:dyDescent="0.5"/>
    <row r="118" hidden="1" x14ac:dyDescent="0.5"/>
    <row r="119" hidden="1" x14ac:dyDescent="0.5"/>
    <row r="120" hidden="1" x14ac:dyDescent="0.5"/>
    <row r="121" hidden="1" x14ac:dyDescent="0.5"/>
    <row r="122" hidden="1" x14ac:dyDescent="0.5"/>
    <row r="123" hidden="1" x14ac:dyDescent="0.5"/>
    <row r="124" hidden="1" x14ac:dyDescent="0.5"/>
    <row r="125" hidden="1" x14ac:dyDescent="0.5"/>
    <row r="126" hidden="1" x14ac:dyDescent="0.5"/>
    <row r="127" hidden="1" x14ac:dyDescent="0.5"/>
    <row r="128" hidden="1" x14ac:dyDescent="0.5"/>
    <row r="129" hidden="1" x14ac:dyDescent="0.5"/>
    <row r="130" hidden="1" x14ac:dyDescent="0.5"/>
    <row r="131" hidden="1" x14ac:dyDescent="0.5"/>
    <row r="132" hidden="1" x14ac:dyDescent="0.5"/>
    <row r="133" hidden="1" x14ac:dyDescent="0.5"/>
    <row r="134" hidden="1" x14ac:dyDescent="0.5"/>
    <row r="135" hidden="1" x14ac:dyDescent="0.5"/>
    <row r="136" hidden="1" x14ac:dyDescent="0.5"/>
    <row r="137" hidden="1" x14ac:dyDescent="0.5"/>
    <row r="138" hidden="1" x14ac:dyDescent="0.5"/>
    <row r="139" hidden="1" x14ac:dyDescent="0.5"/>
    <row r="140" hidden="1" x14ac:dyDescent="0.5"/>
    <row r="141" hidden="1" x14ac:dyDescent="0.5"/>
    <row r="142" hidden="1" x14ac:dyDescent="0.5"/>
    <row r="143" hidden="1" x14ac:dyDescent="0.5"/>
    <row r="144" hidden="1" x14ac:dyDescent="0.5"/>
    <row r="145" hidden="1" x14ac:dyDescent="0.5"/>
    <row r="146" hidden="1" x14ac:dyDescent="0.5"/>
    <row r="147" hidden="1" x14ac:dyDescent="0.5"/>
    <row r="148" hidden="1" x14ac:dyDescent="0.5"/>
    <row r="149" hidden="1" x14ac:dyDescent="0.5"/>
    <row r="150" hidden="1" x14ac:dyDescent="0.5"/>
    <row r="151" hidden="1" x14ac:dyDescent="0.5"/>
    <row r="152" hidden="1" x14ac:dyDescent="0.5"/>
    <row r="153" hidden="1" x14ac:dyDescent="0.5"/>
    <row r="154" hidden="1" x14ac:dyDescent="0.5"/>
    <row r="155" hidden="1" x14ac:dyDescent="0.5"/>
    <row r="156" hidden="1" x14ac:dyDescent="0.5"/>
    <row r="157" hidden="1" x14ac:dyDescent="0.5"/>
    <row r="158" hidden="1" x14ac:dyDescent="0.5"/>
    <row r="159" hidden="1" x14ac:dyDescent="0.5"/>
    <row r="160" hidden="1" x14ac:dyDescent="0.5"/>
    <row r="161" hidden="1" x14ac:dyDescent="0.5"/>
    <row r="162" hidden="1" x14ac:dyDescent="0.5"/>
    <row r="163" hidden="1" x14ac:dyDescent="0.5"/>
    <row r="164" hidden="1" x14ac:dyDescent="0.5"/>
    <row r="165" hidden="1" x14ac:dyDescent="0.5"/>
    <row r="166" hidden="1" x14ac:dyDescent="0.5"/>
    <row r="167" hidden="1" x14ac:dyDescent="0.5"/>
    <row r="168" hidden="1" x14ac:dyDescent="0.5"/>
    <row r="169" hidden="1" x14ac:dyDescent="0.5"/>
    <row r="170" hidden="1" x14ac:dyDescent="0.5"/>
    <row r="171" hidden="1" x14ac:dyDescent="0.5"/>
    <row r="172" hidden="1" x14ac:dyDescent="0.5"/>
    <row r="173" hidden="1" x14ac:dyDescent="0.5"/>
    <row r="174" hidden="1" x14ac:dyDescent="0.5"/>
    <row r="175" hidden="1" x14ac:dyDescent="0.5"/>
    <row r="176" hidden="1" x14ac:dyDescent="0.5"/>
    <row r="177" hidden="1" x14ac:dyDescent="0.5"/>
    <row r="178" hidden="1" x14ac:dyDescent="0.5"/>
    <row r="179" hidden="1" x14ac:dyDescent="0.5"/>
    <row r="180" hidden="1" x14ac:dyDescent="0.5"/>
    <row r="181" hidden="1" x14ac:dyDescent="0.5"/>
    <row r="182" hidden="1" x14ac:dyDescent="0.5"/>
    <row r="183" hidden="1" x14ac:dyDescent="0.5"/>
    <row r="184" hidden="1" x14ac:dyDescent="0.5"/>
    <row r="185" hidden="1" x14ac:dyDescent="0.5"/>
    <row r="186" hidden="1" x14ac:dyDescent="0.5"/>
    <row r="187" hidden="1" x14ac:dyDescent="0.5"/>
    <row r="188" hidden="1" x14ac:dyDescent="0.5"/>
    <row r="189" hidden="1" x14ac:dyDescent="0.5"/>
    <row r="190" hidden="1" x14ac:dyDescent="0.5"/>
    <row r="191" hidden="1" x14ac:dyDescent="0.5"/>
    <row r="192" hidden="1" x14ac:dyDescent="0.5"/>
    <row r="193" hidden="1" x14ac:dyDescent="0.5"/>
    <row r="194" hidden="1" x14ac:dyDescent="0.5"/>
    <row r="195" hidden="1" x14ac:dyDescent="0.5"/>
    <row r="196" hidden="1" x14ac:dyDescent="0.5"/>
    <row r="197" hidden="1" x14ac:dyDescent="0.5"/>
    <row r="198" hidden="1" x14ac:dyDescent="0.5"/>
    <row r="199" hidden="1" x14ac:dyDescent="0.5"/>
    <row r="200" hidden="1" x14ac:dyDescent="0.5"/>
    <row r="201" hidden="1" x14ac:dyDescent="0.5"/>
    <row r="202" hidden="1" x14ac:dyDescent="0.5"/>
    <row r="203" hidden="1" x14ac:dyDescent="0.5"/>
    <row r="204" hidden="1" x14ac:dyDescent="0.5"/>
    <row r="205" hidden="1" x14ac:dyDescent="0.5"/>
    <row r="206" hidden="1" x14ac:dyDescent="0.5"/>
    <row r="207" hidden="1" x14ac:dyDescent="0.5"/>
    <row r="208" hidden="1" x14ac:dyDescent="0.5"/>
    <row r="209" hidden="1" x14ac:dyDescent="0.5"/>
    <row r="210" hidden="1" x14ac:dyDescent="0.5"/>
    <row r="211" hidden="1" x14ac:dyDescent="0.5"/>
    <row r="212" hidden="1" x14ac:dyDescent="0.5"/>
    <row r="213" hidden="1" x14ac:dyDescent="0.5"/>
    <row r="214" hidden="1" x14ac:dyDescent="0.5"/>
    <row r="215" hidden="1" x14ac:dyDescent="0.5"/>
    <row r="216" hidden="1" x14ac:dyDescent="0.5"/>
    <row r="217" hidden="1" x14ac:dyDescent="0.5"/>
    <row r="218" hidden="1" x14ac:dyDescent="0.5"/>
    <row r="219" hidden="1" x14ac:dyDescent="0.5"/>
    <row r="220" hidden="1" x14ac:dyDescent="0.5"/>
    <row r="221" hidden="1" x14ac:dyDescent="0.5"/>
    <row r="222" hidden="1" x14ac:dyDescent="0.5"/>
    <row r="223" hidden="1" x14ac:dyDescent="0.5"/>
    <row r="224" hidden="1" x14ac:dyDescent="0.5"/>
    <row r="225" hidden="1" x14ac:dyDescent="0.5"/>
    <row r="226" hidden="1" x14ac:dyDescent="0.5"/>
    <row r="227" hidden="1" x14ac:dyDescent="0.5"/>
    <row r="228" hidden="1" x14ac:dyDescent="0.5"/>
    <row r="229" hidden="1" x14ac:dyDescent="0.5"/>
    <row r="230" hidden="1" x14ac:dyDescent="0.5"/>
    <row r="231" hidden="1" x14ac:dyDescent="0.5"/>
    <row r="232" hidden="1" x14ac:dyDescent="0.5"/>
    <row r="233" hidden="1" x14ac:dyDescent="0.5"/>
    <row r="234" hidden="1" x14ac:dyDescent="0.5"/>
    <row r="235" hidden="1" x14ac:dyDescent="0.5"/>
    <row r="236" hidden="1" x14ac:dyDescent="0.5"/>
    <row r="237" hidden="1" x14ac:dyDescent="0.5"/>
    <row r="238" hidden="1" x14ac:dyDescent="0.5"/>
    <row r="239" hidden="1" x14ac:dyDescent="0.5"/>
    <row r="240" hidden="1" x14ac:dyDescent="0.5"/>
    <row r="241" hidden="1" x14ac:dyDescent="0.5"/>
    <row r="242" hidden="1" x14ac:dyDescent="0.5"/>
    <row r="243" hidden="1" x14ac:dyDescent="0.5"/>
    <row r="244" hidden="1" x14ac:dyDescent="0.5"/>
    <row r="245" hidden="1" x14ac:dyDescent="0.5"/>
    <row r="246" hidden="1" x14ac:dyDescent="0.5"/>
    <row r="247" hidden="1" x14ac:dyDescent="0.5"/>
    <row r="248" hidden="1" x14ac:dyDescent="0.5"/>
    <row r="249" hidden="1" x14ac:dyDescent="0.5"/>
    <row r="250" hidden="1" x14ac:dyDescent="0.5"/>
    <row r="251" hidden="1" x14ac:dyDescent="0.5"/>
    <row r="252" hidden="1" x14ac:dyDescent="0.5"/>
    <row r="253" hidden="1" x14ac:dyDescent="0.5"/>
    <row r="254" hidden="1" x14ac:dyDescent="0.5"/>
    <row r="255" hidden="1" x14ac:dyDescent="0.5"/>
    <row r="256" hidden="1" x14ac:dyDescent="0.5"/>
    <row r="257" hidden="1" x14ac:dyDescent="0.5"/>
    <row r="258" hidden="1" x14ac:dyDescent="0.5"/>
    <row r="259" hidden="1" x14ac:dyDescent="0.5"/>
    <row r="260" hidden="1" x14ac:dyDescent="0.5"/>
    <row r="261" hidden="1" x14ac:dyDescent="0.5"/>
    <row r="262" hidden="1" x14ac:dyDescent="0.5"/>
    <row r="263" hidden="1" x14ac:dyDescent="0.5"/>
    <row r="264" hidden="1" x14ac:dyDescent="0.5"/>
    <row r="265" hidden="1" x14ac:dyDescent="0.5"/>
    <row r="266" hidden="1" x14ac:dyDescent="0.5"/>
    <row r="267" hidden="1" x14ac:dyDescent="0.5"/>
    <row r="268" hidden="1" x14ac:dyDescent="0.5"/>
    <row r="269" hidden="1" x14ac:dyDescent="0.5"/>
    <row r="270" hidden="1" x14ac:dyDescent="0.5"/>
    <row r="271" hidden="1" x14ac:dyDescent="0.5"/>
    <row r="272" hidden="1" x14ac:dyDescent="0.5"/>
    <row r="273" hidden="1" x14ac:dyDescent="0.5"/>
    <row r="274" hidden="1" x14ac:dyDescent="0.5"/>
    <row r="275" hidden="1" x14ac:dyDescent="0.5"/>
    <row r="276" hidden="1" x14ac:dyDescent="0.5"/>
    <row r="277" hidden="1" x14ac:dyDescent="0.5"/>
    <row r="278" hidden="1" x14ac:dyDescent="0.5"/>
    <row r="279" hidden="1" x14ac:dyDescent="0.5"/>
    <row r="280" hidden="1" x14ac:dyDescent="0.5"/>
    <row r="281" hidden="1" x14ac:dyDescent="0.5"/>
    <row r="282" hidden="1" x14ac:dyDescent="0.5"/>
    <row r="283" hidden="1" x14ac:dyDescent="0.5"/>
    <row r="284" hidden="1" x14ac:dyDescent="0.5"/>
    <row r="285" hidden="1" x14ac:dyDescent="0.5"/>
    <row r="286" hidden="1" x14ac:dyDescent="0.5"/>
    <row r="287" hidden="1" x14ac:dyDescent="0.5"/>
    <row r="288" hidden="1" x14ac:dyDescent="0.5"/>
    <row r="289" hidden="1" x14ac:dyDescent="0.5"/>
    <row r="290" hidden="1" x14ac:dyDescent="0.5"/>
    <row r="291" hidden="1" x14ac:dyDescent="0.5"/>
    <row r="292" hidden="1" x14ac:dyDescent="0.5"/>
    <row r="293" hidden="1" x14ac:dyDescent="0.5"/>
    <row r="294" hidden="1" x14ac:dyDescent="0.5"/>
    <row r="295" hidden="1" x14ac:dyDescent="0.5"/>
    <row r="296" hidden="1" x14ac:dyDescent="0.5"/>
    <row r="297" hidden="1" x14ac:dyDescent="0.5"/>
    <row r="298" hidden="1" x14ac:dyDescent="0.5"/>
    <row r="299" hidden="1" x14ac:dyDescent="0.5"/>
    <row r="300" hidden="1" x14ac:dyDescent="0.5"/>
    <row r="301" hidden="1" x14ac:dyDescent="0.5"/>
    <row r="302" hidden="1" x14ac:dyDescent="0.5"/>
    <row r="303" hidden="1" x14ac:dyDescent="0.5"/>
    <row r="304" hidden="1" x14ac:dyDescent="0.5"/>
    <row r="305" hidden="1" x14ac:dyDescent="0.5"/>
    <row r="306" hidden="1" x14ac:dyDescent="0.5"/>
    <row r="307" hidden="1" x14ac:dyDescent="0.5"/>
    <row r="308" hidden="1" x14ac:dyDescent="0.5"/>
    <row r="309" hidden="1" x14ac:dyDescent="0.5"/>
    <row r="310" hidden="1" x14ac:dyDescent="0.5"/>
    <row r="311" hidden="1" x14ac:dyDescent="0.5"/>
    <row r="312" hidden="1" x14ac:dyDescent="0.5"/>
    <row r="313" hidden="1" x14ac:dyDescent="0.5"/>
    <row r="314" hidden="1" x14ac:dyDescent="0.5"/>
    <row r="315" hidden="1" x14ac:dyDescent="0.5"/>
    <row r="316" hidden="1" x14ac:dyDescent="0.5"/>
    <row r="317" hidden="1" x14ac:dyDescent="0.5"/>
    <row r="318" hidden="1" x14ac:dyDescent="0.5"/>
    <row r="319" hidden="1" x14ac:dyDescent="0.5"/>
    <row r="320" hidden="1" x14ac:dyDescent="0.5"/>
    <row r="321" hidden="1" x14ac:dyDescent="0.5"/>
    <row r="322" hidden="1" x14ac:dyDescent="0.5"/>
    <row r="323" hidden="1" x14ac:dyDescent="0.5"/>
    <row r="324" hidden="1" x14ac:dyDescent="0.5"/>
    <row r="325" hidden="1" x14ac:dyDescent="0.5"/>
    <row r="326" hidden="1" x14ac:dyDescent="0.5"/>
    <row r="327" hidden="1" x14ac:dyDescent="0.5"/>
    <row r="328" hidden="1" x14ac:dyDescent="0.5"/>
    <row r="329" hidden="1" x14ac:dyDescent="0.5"/>
    <row r="330" hidden="1" x14ac:dyDescent="0.5"/>
    <row r="331" hidden="1" x14ac:dyDescent="0.5"/>
    <row r="332" hidden="1" x14ac:dyDescent="0.5"/>
    <row r="333" hidden="1" x14ac:dyDescent="0.5"/>
    <row r="334" hidden="1" x14ac:dyDescent="0.5"/>
    <row r="335" hidden="1" x14ac:dyDescent="0.5"/>
    <row r="336" hidden="1" x14ac:dyDescent="0.5"/>
    <row r="337" hidden="1" x14ac:dyDescent="0.5"/>
    <row r="338" hidden="1" x14ac:dyDescent="0.5"/>
    <row r="339" hidden="1" x14ac:dyDescent="0.5"/>
    <row r="340" hidden="1" x14ac:dyDescent="0.5"/>
    <row r="341" hidden="1" x14ac:dyDescent="0.5"/>
    <row r="342" hidden="1" x14ac:dyDescent="0.5"/>
    <row r="343" hidden="1" x14ac:dyDescent="0.5"/>
    <row r="344" hidden="1" x14ac:dyDescent="0.5"/>
    <row r="345" hidden="1" x14ac:dyDescent="0.5"/>
    <row r="346" hidden="1" x14ac:dyDescent="0.5"/>
    <row r="347" hidden="1" x14ac:dyDescent="0.5"/>
    <row r="348" hidden="1" x14ac:dyDescent="0.5"/>
    <row r="349" hidden="1" x14ac:dyDescent="0.5"/>
    <row r="350" hidden="1" x14ac:dyDescent="0.5"/>
    <row r="351" hidden="1" x14ac:dyDescent="0.5"/>
    <row r="352" hidden="1" x14ac:dyDescent="0.5"/>
    <row r="353" hidden="1" x14ac:dyDescent="0.5"/>
    <row r="354" hidden="1" x14ac:dyDescent="0.5"/>
    <row r="355" hidden="1" x14ac:dyDescent="0.5"/>
    <row r="356" hidden="1" x14ac:dyDescent="0.5"/>
    <row r="357" hidden="1" x14ac:dyDescent="0.5"/>
    <row r="358" hidden="1" x14ac:dyDescent="0.5"/>
    <row r="359" hidden="1" x14ac:dyDescent="0.5"/>
    <row r="360" hidden="1" x14ac:dyDescent="0.5"/>
    <row r="361" hidden="1" x14ac:dyDescent="0.5"/>
    <row r="362" hidden="1" x14ac:dyDescent="0.5"/>
    <row r="363" hidden="1" x14ac:dyDescent="0.5"/>
    <row r="364" hidden="1" x14ac:dyDescent="0.5"/>
    <row r="365" hidden="1" x14ac:dyDescent="0.5"/>
    <row r="366" hidden="1" x14ac:dyDescent="0.5"/>
    <row r="367" hidden="1" x14ac:dyDescent="0.5"/>
    <row r="368" hidden="1" x14ac:dyDescent="0.5"/>
    <row r="369" hidden="1" x14ac:dyDescent="0.5"/>
    <row r="370" hidden="1" x14ac:dyDescent="0.5"/>
    <row r="371" hidden="1" x14ac:dyDescent="0.5"/>
    <row r="372" hidden="1" x14ac:dyDescent="0.5"/>
    <row r="373" hidden="1" x14ac:dyDescent="0.5"/>
    <row r="374" hidden="1" x14ac:dyDescent="0.5"/>
    <row r="375" hidden="1" x14ac:dyDescent="0.5"/>
    <row r="376" hidden="1" x14ac:dyDescent="0.5"/>
    <row r="377" hidden="1" x14ac:dyDescent="0.5"/>
    <row r="378" hidden="1" x14ac:dyDescent="0.5"/>
    <row r="379" hidden="1" x14ac:dyDescent="0.5"/>
    <row r="380" hidden="1" x14ac:dyDescent="0.5"/>
    <row r="381" hidden="1" x14ac:dyDescent="0.5"/>
    <row r="382" hidden="1" x14ac:dyDescent="0.5"/>
    <row r="383" hidden="1" x14ac:dyDescent="0.5"/>
    <row r="384" hidden="1" x14ac:dyDescent="0.5"/>
    <row r="385" spans="6:7" hidden="1" x14ac:dyDescent="0.5"/>
    <row r="386" spans="6:7" hidden="1" x14ac:dyDescent="0.5"/>
    <row r="387" spans="6:7" hidden="1" x14ac:dyDescent="0.5"/>
    <row r="388" spans="6:7" hidden="1" x14ac:dyDescent="0.5"/>
    <row r="389" spans="6:7" hidden="1" x14ac:dyDescent="0.5"/>
    <row r="390" spans="6:7" hidden="1" x14ac:dyDescent="0.5">
      <c r="F390" s="702">
        <v>32136900</v>
      </c>
    </row>
    <row r="391" spans="6:7" hidden="1" x14ac:dyDescent="0.5">
      <c r="F391" s="702">
        <v>5000000</v>
      </c>
    </row>
    <row r="392" spans="6:7" hidden="1" x14ac:dyDescent="0.5">
      <c r="F392" s="703">
        <f>SUM(F390:F391)</f>
        <v>37136900</v>
      </c>
      <c r="G392" s="593"/>
    </row>
    <row r="393" spans="6:7" hidden="1" x14ac:dyDescent="0.5"/>
    <row r="394" spans="6:7" hidden="1" x14ac:dyDescent="0.5">
      <c r="F394" s="703"/>
    </row>
    <row r="395" spans="6:7" hidden="1" x14ac:dyDescent="0.5"/>
    <row r="396" spans="6:7" hidden="1" x14ac:dyDescent="0.5"/>
    <row r="397" spans="6:7" hidden="1" x14ac:dyDescent="0.5"/>
    <row r="398" spans="6:7" hidden="1" x14ac:dyDescent="0.5"/>
    <row r="399" spans="6:7" hidden="1" x14ac:dyDescent="0.5"/>
    <row r="400" spans="6:7" hidden="1" x14ac:dyDescent="0.5"/>
    <row r="401" hidden="1" x14ac:dyDescent="0.5"/>
    <row r="402" hidden="1" x14ac:dyDescent="0.5"/>
    <row r="403" hidden="1" x14ac:dyDescent="0.5"/>
    <row r="404" hidden="1" x14ac:dyDescent="0.5"/>
    <row r="405" hidden="1" x14ac:dyDescent="0.5"/>
    <row r="406" hidden="1" x14ac:dyDescent="0.5"/>
    <row r="407" hidden="1" x14ac:dyDescent="0.5"/>
    <row r="408" hidden="1" x14ac:dyDescent="0.5"/>
    <row r="409" hidden="1" x14ac:dyDescent="0.5"/>
    <row r="410" hidden="1" x14ac:dyDescent="0.5"/>
    <row r="411" hidden="1" x14ac:dyDescent="0.5"/>
    <row r="412" hidden="1" x14ac:dyDescent="0.5"/>
    <row r="413" hidden="1" x14ac:dyDescent="0.5"/>
    <row r="414" hidden="1" x14ac:dyDescent="0.5"/>
    <row r="415" hidden="1" x14ac:dyDescent="0.5"/>
    <row r="416" hidden="1" x14ac:dyDescent="0.5"/>
    <row r="417" hidden="1" x14ac:dyDescent="0.5"/>
    <row r="418" hidden="1" x14ac:dyDescent="0.5"/>
    <row r="419" hidden="1" x14ac:dyDescent="0.5"/>
    <row r="420" hidden="1" x14ac:dyDescent="0.5"/>
    <row r="421" hidden="1" x14ac:dyDescent="0.5"/>
    <row r="422" hidden="1" x14ac:dyDescent="0.5"/>
    <row r="423" hidden="1" x14ac:dyDescent="0.5"/>
    <row r="424" hidden="1" x14ac:dyDescent="0.5"/>
    <row r="425" hidden="1" x14ac:dyDescent="0.5"/>
    <row r="426" hidden="1" x14ac:dyDescent="0.5"/>
    <row r="427" hidden="1" x14ac:dyDescent="0.5"/>
    <row r="428" hidden="1" x14ac:dyDescent="0.5"/>
    <row r="429" hidden="1" x14ac:dyDescent="0.5"/>
    <row r="430" hidden="1" x14ac:dyDescent="0.5"/>
    <row r="431" hidden="1" x14ac:dyDescent="0.5"/>
    <row r="432" hidden="1" x14ac:dyDescent="0.5"/>
    <row r="433" hidden="1" x14ac:dyDescent="0.5"/>
    <row r="434" hidden="1" x14ac:dyDescent="0.5"/>
    <row r="435" hidden="1" x14ac:dyDescent="0.5"/>
    <row r="436" hidden="1" x14ac:dyDescent="0.5"/>
    <row r="437" hidden="1" x14ac:dyDescent="0.5"/>
    <row r="438" hidden="1" x14ac:dyDescent="0.5"/>
    <row r="439" hidden="1" x14ac:dyDescent="0.5"/>
    <row r="440" hidden="1" x14ac:dyDescent="0.5"/>
    <row r="441" hidden="1" x14ac:dyDescent="0.5"/>
    <row r="442" hidden="1" x14ac:dyDescent="0.5"/>
    <row r="443" hidden="1" x14ac:dyDescent="0.5"/>
    <row r="444" hidden="1" x14ac:dyDescent="0.5"/>
    <row r="445" hidden="1" x14ac:dyDescent="0.5"/>
    <row r="446" hidden="1" x14ac:dyDescent="0.5"/>
    <row r="447" hidden="1" x14ac:dyDescent="0.5"/>
    <row r="448" hidden="1" x14ac:dyDescent="0.5"/>
    <row r="449" hidden="1" x14ac:dyDescent="0.5"/>
    <row r="450" hidden="1" x14ac:dyDescent="0.5"/>
    <row r="451" hidden="1" x14ac:dyDescent="0.5"/>
    <row r="452" hidden="1" x14ac:dyDescent="0.5"/>
    <row r="453" hidden="1" x14ac:dyDescent="0.5"/>
    <row r="454" hidden="1" x14ac:dyDescent="0.5"/>
    <row r="455" hidden="1" x14ac:dyDescent="0.5"/>
    <row r="456" hidden="1" x14ac:dyDescent="0.5"/>
    <row r="457" hidden="1" x14ac:dyDescent="0.5"/>
    <row r="458" hidden="1" x14ac:dyDescent="0.5"/>
    <row r="459" hidden="1" x14ac:dyDescent="0.5"/>
    <row r="460" hidden="1" x14ac:dyDescent="0.5"/>
    <row r="461" hidden="1" x14ac:dyDescent="0.5"/>
    <row r="462" hidden="1" x14ac:dyDescent="0.5"/>
    <row r="463" hidden="1" x14ac:dyDescent="0.5"/>
    <row r="464" hidden="1" x14ac:dyDescent="0.5"/>
    <row r="465" hidden="1" x14ac:dyDescent="0.5"/>
    <row r="466" hidden="1" x14ac:dyDescent="0.5"/>
    <row r="467" hidden="1" x14ac:dyDescent="0.5"/>
    <row r="468" hidden="1" x14ac:dyDescent="0.5"/>
    <row r="469" hidden="1" x14ac:dyDescent="0.5"/>
    <row r="470" hidden="1" x14ac:dyDescent="0.5"/>
    <row r="471" hidden="1" x14ac:dyDescent="0.5"/>
    <row r="472" hidden="1" x14ac:dyDescent="0.5"/>
    <row r="473" hidden="1" x14ac:dyDescent="0.5"/>
    <row r="474" hidden="1" x14ac:dyDescent="0.5"/>
    <row r="475" hidden="1" x14ac:dyDescent="0.5"/>
    <row r="476" hidden="1" x14ac:dyDescent="0.5"/>
    <row r="477" hidden="1" x14ac:dyDescent="0.5"/>
    <row r="478" hidden="1" x14ac:dyDescent="0.5"/>
    <row r="479" hidden="1" x14ac:dyDescent="0.5"/>
    <row r="480" hidden="1" x14ac:dyDescent="0.5"/>
    <row r="481" hidden="1" x14ac:dyDescent="0.5"/>
    <row r="482" hidden="1" x14ac:dyDescent="0.5"/>
    <row r="483" hidden="1" x14ac:dyDescent="0.5"/>
    <row r="484" hidden="1" x14ac:dyDescent="0.5"/>
    <row r="485" hidden="1" x14ac:dyDescent="0.5"/>
    <row r="486" hidden="1" x14ac:dyDescent="0.5"/>
    <row r="487" hidden="1" x14ac:dyDescent="0.5"/>
    <row r="488" hidden="1" x14ac:dyDescent="0.5"/>
    <row r="489" hidden="1" x14ac:dyDescent="0.5"/>
    <row r="490" hidden="1" x14ac:dyDescent="0.5"/>
    <row r="491" hidden="1" x14ac:dyDescent="0.5"/>
    <row r="492" hidden="1" x14ac:dyDescent="0.5"/>
    <row r="493" hidden="1" x14ac:dyDescent="0.5"/>
    <row r="494" hidden="1" x14ac:dyDescent="0.5"/>
    <row r="495" hidden="1" x14ac:dyDescent="0.5"/>
    <row r="496" hidden="1" x14ac:dyDescent="0.5"/>
    <row r="497" hidden="1" x14ac:dyDescent="0.5"/>
    <row r="498" hidden="1" x14ac:dyDescent="0.5"/>
    <row r="499" hidden="1" x14ac:dyDescent="0.5"/>
    <row r="500" hidden="1" x14ac:dyDescent="0.5"/>
    <row r="501" hidden="1" x14ac:dyDescent="0.5"/>
    <row r="502" hidden="1" x14ac:dyDescent="0.5"/>
    <row r="503" hidden="1" x14ac:dyDescent="0.5"/>
    <row r="504" hidden="1" x14ac:dyDescent="0.5"/>
    <row r="505" hidden="1" x14ac:dyDescent="0.5"/>
    <row r="506" hidden="1" x14ac:dyDescent="0.5"/>
    <row r="507" hidden="1" x14ac:dyDescent="0.5"/>
    <row r="508" hidden="1" x14ac:dyDescent="0.5"/>
    <row r="509" hidden="1" x14ac:dyDescent="0.5"/>
    <row r="510" hidden="1" x14ac:dyDescent="0.5"/>
    <row r="511" hidden="1" x14ac:dyDescent="0.5"/>
    <row r="512" hidden="1" x14ac:dyDescent="0.5"/>
    <row r="513" hidden="1" x14ac:dyDescent="0.5"/>
    <row r="514" hidden="1" x14ac:dyDescent="0.5"/>
    <row r="515" hidden="1" x14ac:dyDescent="0.5"/>
    <row r="516" hidden="1" x14ac:dyDescent="0.5"/>
    <row r="517" hidden="1" x14ac:dyDescent="0.5"/>
    <row r="518" hidden="1" x14ac:dyDescent="0.5"/>
    <row r="519" hidden="1" x14ac:dyDescent="0.5"/>
    <row r="520" hidden="1" x14ac:dyDescent="0.5"/>
    <row r="521" hidden="1" x14ac:dyDescent="0.5"/>
    <row r="522" hidden="1" x14ac:dyDescent="0.5"/>
    <row r="523" hidden="1" x14ac:dyDescent="0.5"/>
    <row r="524" hidden="1" x14ac:dyDescent="0.5"/>
    <row r="525" hidden="1" x14ac:dyDescent="0.5"/>
    <row r="526" hidden="1" x14ac:dyDescent="0.5"/>
    <row r="527" hidden="1" x14ac:dyDescent="0.5"/>
    <row r="528" hidden="1" x14ac:dyDescent="0.5"/>
    <row r="529" hidden="1" x14ac:dyDescent="0.5"/>
    <row r="530" hidden="1" x14ac:dyDescent="0.5"/>
    <row r="531" hidden="1" x14ac:dyDescent="0.5"/>
    <row r="532" hidden="1" x14ac:dyDescent="0.5"/>
    <row r="533" hidden="1" x14ac:dyDescent="0.5"/>
    <row r="534" hidden="1" x14ac:dyDescent="0.5"/>
    <row r="535" hidden="1" x14ac:dyDescent="0.5"/>
    <row r="536" hidden="1" x14ac:dyDescent="0.5"/>
    <row r="537" hidden="1" x14ac:dyDescent="0.5"/>
    <row r="538" hidden="1" x14ac:dyDescent="0.5"/>
    <row r="539" hidden="1" x14ac:dyDescent="0.5"/>
    <row r="540" hidden="1" x14ac:dyDescent="0.5"/>
    <row r="541" hidden="1" x14ac:dyDescent="0.5"/>
    <row r="542" hidden="1" x14ac:dyDescent="0.5"/>
    <row r="543" hidden="1" x14ac:dyDescent="0.5"/>
    <row r="544" hidden="1" x14ac:dyDescent="0.5"/>
    <row r="545" hidden="1" x14ac:dyDescent="0.5"/>
    <row r="546" hidden="1" x14ac:dyDescent="0.5"/>
    <row r="547" hidden="1" x14ac:dyDescent="0.5"/>
    <row r="548" hidden="1" x14ac:dyDescent="0.5"/>
    <row r="549" hidden="1" x14ac:dyDescent="0.5"/>
    <row r="550" hidden="1" x14ac:dyDescent="0.5"/>
    <row r="551" hidden="1" x14ac:dyDescent="0.5"/>
    <row r="552" hidden="1" x14ac:dyDescent="0.5"/>
    <row r="553" hidden="1" x14ac:dyDescent="0.5"/>
    <row r="554" hidden="1" x14ac:dyDescent="0.5"/>
    <row r="555" hidden="1" x14ac:dyDescent="0.5"/>
    <row r="556" hidden="1" x14ac:dyDescent="0.5"/>
    <row r="557" hidden="1" x14ac:dyDescent="0.5"/>
    <row r="558" hidden="1" x14ac:dyDescent="0.5"/>
    <row r="559" hidden="1" x14ac:dyDescent="0.5"/>
    <row r="560" hidden="1" x14ac:dyDescent="0.5"/>
    <row r="561" hidden="1" x14ac:dyDescent="0.5"/>
    <row r="562" hidden="1" x14ac:dyDescent="0.5"/>
    <row r="563" hidden="1" x14ac:dyDescent="0.5"/>
    <row r="564" hidden="1" x14ac:dyDescent="0.5"/>
    <row r="565" hidden="1" x14ac:dyDescent="0.5"/>
    <row r="566" hidden="1" x14ac:dyDescent="0.5"/>
    <row r="567" hidden="1" x14ac:dyDescent="0.5"/>
    <row r="568" hidden="1" x14ac:dyDescent="0.5"/>
    <row r="569" hidden="1" x14ac:dyDescent="0.5"/>
    <row r="570" hidden="1" x14ac:dyDescent="0.5"/>
    <row r="571" hidden="1" x14ac:dyDescent="0.5"/>
    <row r="572" hidden="1" x14ac:dyDescent="0.5"/>
    <row r="573" hidden="1" x14ac:dyDescent="0.5"/>
    <row r="574" hidden="1" x14ac:dyDescent="0.5"/>
    <row r="575" hidden="1" x14ac:dyDescent="0.5"/>
    <row r="576" hidden="1" x14ac:dyDescent="0.5"/>
    <row r="577" hidden="1" x14ac:dyDescent="0.5"/>
    <row r="578" hidden="1" x14ac:dyDescent="0.5"/>
    <row r="579" hidden="1" x14ac:dyDescent="0.5"/>
    <row r="580" hidden="1" x14ac:dyDescent="0.5"/>
    <row r="581" hidden="1" x14ac:dyDescent="0.5"/>
    <row r="582" hidden="1" x14ac:dyDescent="0.5"/>
    <row r="583" hidden="1" x14ac:dyDescent="0.5"/>
    <row r="584" hidden="1" x14ac:dyDescent="0.5"/>
    <row r="585" hidden="1" x14ac:dyDescent="0.5"/>
    <row r="586" hidden="1" x14ac:dyDescent="0.5"/>
    <row r="587" hidden="1" x14ac:dyDescent="0.5"/>
    <row r="588" hidden="1" x14ac:dyDescent="0.5"/>
    <row r="589" hidden="1" x14ac:dyDescent="0.5"/>
    <row r="590" hidden="1" x14ac:dyDescent="0.5"/>
    <row r="591" hidden="1" x14ac:dyDescent="0.5"/>
    <row r="592" hidden="1" x14ac:dyDescent="0.5"/>
    <row r="593" hidden="1" x14ac:dyDescent="0.5"/>
    <row r="594" hidden="1" x14ac:dyDescent="0.5"/>
    <row r="595" hidden="1" x14ac:dyDescent="0.5"/>
    <row r="596" hidden="1" x14ac:dyDescent="0.5"/>
    <row r="597" hidden="1" x14ac:dyDescent="0.5"/>
    <row r="598" hidden="1" x14ac:dyDescent="0.5"/>
    <row r="599" hidden="1" x14ac:dyDescent="0.5"/>
    <row r="600" hidden="1" x14ac:dyDescent="0.5"/>
    <row r="601" hidden="1" x14ac:dyDescent="0.5"/>
    <row r="602" hidden="1" x14ac:dyDescent="0.5"/>
    <row r="603" hidden="1" x14ac:dyDescent="0.5"/>
    <row r="604" hidden="1" x14ac:dyDescent="0.5"/>
    <row r="605" hidden="1" x14ac:dyDescent="0.5"/>
    <row r="606" hidden="1" x14ac:dyDescent="0.5"/>
    <row r="607" hidden="1" x14ac:dyDescent="0.5"/>
    <row r="608" hidden="1" x14ac:dyDescent="0.5"/>
    <row r="609" hidden="1" x14ac:dyDescent="0.5"/>
    <row r="610" hidden="1" x14ac:dyDescent="0.5"/>
    <row r="611" hidden="1" x14ac:dyDescent="0.5"/>
    <row r="612" hidden="1" x14ac:dyDescent="0.5"/>
    <row r="613" hidden="1" x14ac:dyDescent="0.5"/>
    <row r="614" hidden="1" x14ac:dyDescent="0.5"/>
    <row r="615" hidden="1" x14ac:dyDescent="0.5"/>
    <row r="616" hidden="1" x14ac:dyDescent="0.5"/>
    <row r="617" hidden="1" x14ac:dyDescent="0.5"/>
    <row r="618" hidden="1" x14ac:dyDescent="0.5"/>
    <row r="619" hidden="1" x14ac:dyDescent="0.5"/>
    <row r="620" hidden="1" x14ac:dyDescent="0.5"/>
    <row r="621" hidden="1" x14ac:dyDescent="0.5"/>
    <row r="622" hidden="1" x14ac:dyDescent="0.5"/>
    <row r="623" hidden="1" x14ac:dyDescent="0.5"/>
    <row r="624" hidden="1" x14ac:dyDescent="0.5"/>
    <row r="625" hidden="1" x14ac:dyDescent="0.5"/>
    <row r="626" hidden="1" x14ac:dyDescent="0.5"/>
    <row r="627" hidden="1" x14ac:dyDescent="0.5"/>
    <row r="628" hidden="1" x14ac:dyDescent="0.5"/>
    <row r="629" hidden="1" x14ac:dyDescent="0.5"/>
    <row r="630" hidden="1" x14ac:dyDescent="0.5"/>
    <row r="631" hidden="1" x14ac:dyDescent="0.5"/>
    <row r="632" hidden="1" x14ac:dyDescent="0.5"/>
    <row r="633" hidden="1" x14ac:dyDescent="0.5"/>
    <row r="634" hidden="1" x14ac:dyDescent="0.5"/>
    <row r="635" hidden="1" x14ac:dyDescent="0.5"/>
    <row r="636" hidden="1" x14ac:dyDescent="0.5"/>
    <row r="637" hidden="1" x14ac:dyDescent="0.5"/>
    <row r="638" hidden="1" x14ac:dyDescent="0.5"/>
    <row r="639" hidden="1" x14ac:dyDescent="0.5"/>
    <row r="640" hidden="1" x14ac:dyDescent="0.5"/>
    <row r="641" hidden="1" x14ac:dyDescent="0.5"/>
    <row r="642" hidden="1" x14ac:dyDescent="0.5"/>
    <row r="643" hidden="1" x14ac:dyDescent="0.5"/>
    <row r="644" hidden="1" x14ac:dyDescent="0.5"/>
    <row r="645" hidden="1" x14ac:dyDescent="0.5"/>
    <row r="646" hidden="1" x14ac:dyDescent="0.5"/>
    <row r="647" hidden="1" x14ac:dyDescent="0.5"/>
    <row r="648" hidden="1" x14ac:dyDescent="0.5"/>
    <row r="649" hidden="1" x14ac:dyDescent="0.5"/>
    <row r="650" hidden="1" x14ac:dyDescent="0.5"/>
    <row r="651" hidden="1" x14ac:dyDescent="0.5"/>
    <row r="652" hidden="1" x14ac:dyDescent="0.5"/>
    <row r="653" hidden="1" x14ac:dyDescent="0.5"/>
    <row r="654" hidden="1" x14ac:dyDescent="0.5"/>
    <row r="655" hidden="1" x14ac:dyDescent="0.5"/>
    <row r="656" hidden="1" x14ac:dyDescent="0.5"/>
    <row r="657" hidden="1" x14ac:dyDescent="0.5"/>
    <row r="658" hidden="1" x14ac:dyDescent="0.5"/>
    <row r="659" hidden="1" x14ac:dyDescent="0.5"/>
    <row r="660" hidden="1" x14ac:dyDescent="0.5"/>
    <row r="661" hidden="1" x14ac:dyDescent="0.5"/>
    <row r="662" hidden="1" x14ac:dyDescent="0.5"/>
    <row r="663" hidden="1" x14ac:dyDescent="0.5"/>
    <row r="664" hidden="1" x14ac:dyDescent="0.5"/>
    <row r="665" hidden="1" x14ac:dyDescent="0.5"/>
    <row r="666" hidden="1" x14ac:dyDescent="0.5"/>
    <row r="667" hidden="1" x14ac:dyDescent="0.5"/>
    <row r="668" hidden="1" x14ac:dyDescent="0.5"/>
    <row r="669" hidden="1" x14ac:dyDescent="0.5"/>
  </sheetData>
  <mergeCells count="16">
    <mergeCell ref="A1:L1"/>
    <mergeCell ref="A2:L2"/>
    <mergeCell ref="A3:L3"/>
    <mergeCell ref="A4:L4"/>
    <mergeCell ref="B28:K28"/>
    <mergeCell ref="A22:L22"/>
    <mergeCell ref="A21:C21"/>
    <mergeCell ref="B5:B7"/>
    <mergeCell ref="A5:A7"/>
    <mergeCell ref="C5:C7"/>
    <mergeCell ref="B24:K24"/>
    <mergeCell ref="B26:K26"/>
    <mergeCell ref="B23:L23"/>
    <mergeCell ref="B27:K27"/>
    <mergeCell ref="B25:K25"/>
    <mergeCell ref="D5:F5"/>
  </mergeCells>
  <phoneticPr fontId="92" type="noConversion"/>
  <pageMargins left="0.19685039370078741" right="0" top="0.74803149606299213" bottom="0.39370078740157483" header="0.31496062992125984" footer="0.27559055118110237"/>
  <pageSetup paperSize="9" scale="69" orientation="landscape" r:id="rId1"/>
  <headerFooter>
    <oddFooter>&amp;Lกลุ่มบริหารงานบัญชีและงบประมาณ&amp;Rหน้าที่ &amp;P จาก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C983A-5174-4096-B4CB-AFBAF2E0F6E5}">
  <sheetPr>
    <tabColor rgb="FF00B050"/>
  </sheetPr>
  <dimension ref="A1:M71"/>
  <sheetViews>
    <sheetView topLeftCell="A34" zoomScale="70" zoomScaleNormal="70" workbookViewId="0">
      <selection activeCell="H40" sqref="H40"/>
    </sheetView>
  </sheetViews>
  <sheetFormatPr defaultRowHeight="24" x14ac:dyDescent="0.5"/>
  <cols>
    <col min="1" max="1" width="8" style="728" bestFit="1" customWidth="1"/>
    <col min="2" max="2" width="28.140625" style="716" bestFit="1" customWidth="1"/>
    <col min="3" max="3" width="12.7109375" style="728" bestFit="1" customWidth="1"/>
    <col min="4" max="4" width="11.85546875" style="728" bestFit="1" customWidth="1"/>
    <col min="5" max="5" width="21.42578125" style="790" bestFit="1" customWidth="1"/>
    <col min="6" max="6" width="12.42578125" style="728" bestFit="1" customWidth="1"/>
    <col min="7" max="7" width="36.140625" style="729" customWidth="1"/>
    <col min="8" max="8" width="18.85546875" style="716" customWidth="1"/>
    <col min="9" max="9" width="18.140625" style="716" customWidth="1"/>
    <col min="10" max="10" width="18.85546875" style="730" bestFit="1" customWidth="1"/>
    <col min="11" max="11" width="9.28515625" style="718" bestFit="1" customWidth="1"/>
    <col min="12" max="12" width="16.5703125" style="792" customWidth="1"/>
    <col min="13" max="13" width="41.7109375" style="718" customWidth="1"/>
    <col min="14" max="79" width="9.140625" style="716"/>
    <col min="80" max="80" width="6.42578125" style="716" bestFit="1" customWidth="1"/>
    <col min="81" max="81" width="32" style="716" bestFit="1" customWidth="1"/>
    <col min="82" max="82" width="14.5703125" style="716" bestFit="1" customWidth="1"/>
    <col min="83" max="83" width="12.42578125" style="716" bestFit="1" customWidth="1"/>
    <col min="84" max="84" width="51.28515625" style="716" bestFit="1" customWidth="1"/>
    <col min="85" max="85" width="14.85546875" style="716" bestFit="1" customWidth="1"/>
    <col min="86" max="86" width="25" style="716" bestFit="1" customWidth="1"/>
    <col min="87" max="88" width="12.28515625" style="716" bestFit="1" customWidth="1"/>
    <col min="89" max="89" width="24.7109375" style="716" bestFit="1" customWidth="1"/>
    <col min="90" max="90" width="15" style="716" bestFit="1" customWidth="1"/>
    <col min="91" max="335" width="9.140625" style="716"/>
    <col min="336" max="336" width="6.42578125" style="716" bestFit="1" customWidth="1"/>
    <col min="337" max="337" width="32" style="716" bestFit="1" customWidth="1"/>
    <col min="338" max="338" width="14.5703125" style="716" bestFit="1" customWidth="1"/>
    <col min="339" max="339" width="12.42578125" style="716" bestFit="1" customWidth="1"/>
    <col min="340" max="340" width="51.28515625" style="716" bestFit="1" customWidth="1"/>
    <col min="341" max="341" width="14.85546875" style="716" bestFit="1" customWidth="1"/>
    <col min="342" max="342" width="25" style="716" bestFit="1" customWidth="1"/>
    <col min="343" max="344" width="12.28515625" style="716" bestFit="1" customWidth="1"/>
    <col min="345" max="345" width="24.7109375" style="716" bestFit="1" customWidth="1"/>
    <col min="346" max="346" width="15" style="716" bestFit="1" customWidth="1"/>
    <col min="347" max="591" width="9.140625" style="716"/>
    <col min="592" max="592" width="6.42578125" style="716" bestFit="1" customWidth="1"/>
    <col min="593" max="593" width="32" style="716" bestFit="1" customWidth="1"/>
    <col min="594" max="594" width="14.5703125" style="716" bestFit="1" customWidth="1"/>
    <col min="595" max="595" width="12.42578125" style="716" bestFit="1" customWidth="1"/>
    <col min="596" max="596" width="51.28515625" style="716" bestFit="1" customWidth="1"/>
    <col min="597" max="597" width="14.85546875" style="716" bestFit="1" customWidth="1"/>
    <col min="598" max="598" width="25" style="716" bestFit="1" customWidth="1"/>
    <col min="599" max="600" width="12.28515625" style="716" bestFit="1" customWidth="1"/>
    <col min="601" max="601" width="24.7109375" style="716" bestFit="1" customWidth="1"/>
    <col min="602" max="602" width="15" style="716" bestFit="1" customWidth="1"/>
    <col min="603" max="847" width="9.140625" style="716"/>
    <col min="848" max="848" width="6.42578125" style="716" bestFit="1" customWidth="1"/>
    <col min="849" max="849" width="32" style="716" bestFit="1" customWidth="1"/>
    <col min="850" max="850" width="14.5703125" style="716" bestFit="1" customWidth="1"/>
    <col min="851" max="851" width="12.42578125" style="716" bestFit="1" customWidth="1"/>
    <col min="852" max="852" width="51.28515625" style="716" bestFit="1" customWidth="1"/>
    <col min="853" max="853" width="14.85546875" style="716" bestFit="1" customWidth="1"/>
    <col min="854" max="854" width="25" style="716" bestFit="1" customWidth="1"/>
    <col min="855" max="856" width="12.28515625" style="716" bestFit="1" customWidth="1"/>
    <col min="857" max="857" width="24.7109375" style="716" bestFit="1" customWidth="1"/>
    <col min="858" max="858" width="15" style="716" bestFit="1" customWidth="1"/>
    <col min="859" max="1103" width="9.140625" style="716"/>
    <col min="1104" max="1104" width="6.42578125" style="716" bestFit="1" customWidth="1"/>
    <col min="1105" max="1105" width="32" style="716" bestFit="1" customWidth="1"/>
    <col min="1106" max="1106" width="14.5703125" style="716" bestFit="1" customWidth="1"/>
    <col min="1107" max="1107" width="12.42578125" style="716" bestFit="1" customWidth="1"/>
    <col min="1108" max="1108" width="51.28515625" style="716" bestFit="1" customWidth="1"/>
    <col min="1109" max="1109" width="14.85546875" style="716" bestFit="1" customWidth="1"/>
    <col min="1110" max="1110" width="25" style="716" bestFit="1" customWidth="1"/>
    <col min="1111" max="1112" width="12.28515625" style="716" bestFit="1" customWidth="1"/>
    <col min="1113" max="1113" width="24.7109375" style="716" bestFit="1" customWidth="1"/>
    <col min="1114" max="1114" width="15" style="716" bestFit="1" customWidth="1"/>
    <col min="1115" max="1359" width="9.140625" style="716"/>
    <col min="1360" max="1360" width="6.42578125" style="716" bestFit="1" customWidth="1"/>
    <col min="1361" max="1361" width="32" style="716" bestFit="1" customWidth="1"/>
    <col min="1362" max="1362" width="14.5703125" style="716" bestFit="1" customWidth="1"/>
    <col min="1363" max="1363" width="12.42578125" style="716" bestFit="1" customWidth="1"/>
    <col min="1364" max="1364" width="51.28515625" style="716" bestFit="1" customWidth="1"/>
    <col min="1365" max="1365" width="14.85546875" style="716" bestFit="1" customWidth="1"/>
    <col min="1366" max="1366" width="25" style="716" bestFit="1" customWidth="1"/>
    <col min="1367" max="1368" width="12.28515625" style="716" bestFit="1" customWidth="1"/>
    <col min="1369" max="1369" width="24.7109375" style="716" bestFit="1" customWidth="1"/>
    <col min="1370" max="1370" width="15" style="716" bestFit="1" customWidth="1"/>
    <col min="1371" max="1615" width="9.140625" style="716"/>
    <col min="1616" max="1616" width="6.42578125" style="716" bestFit="1" customWidth="1"/>
    <col min="1617" max="1617" width="32" style="716" bestFit="1" customWidth="1"/>
    <col min="1618" max="1618" width="14.5703125" style="716" bestFit="1" customWidth="1"/>
    <col min="1619" max="1619" width="12.42578125" style="716" bestFit="1" customWidth="1"/>
    <col min="1620" max="1620" width="51.28515625" style="716" bestFit="1" customWidth="1"/>
    <col min="1621" max="1621" width="14.85546875" style="716" bestFit="1" customWidth="1"/>
    <col min="1622" max="1622" width="25" style="716" bestFit="1" customWidth="1"/>
    <col min="1623" max="1624" width="12.28515625" style="716" bestFit="1" customWidth="1"/>
    <col min="1625" max="1625" width="24.7109375" style="716" bestFit="1" customWidth="1"/>
    <col min="1626" max="1626" width="15" style="716" bestFit="1" customWidth="1"/>
    <col min="1627" max="1871" width="9.140625" style="716"/>
    <col min="1872" max="1872" width="6.42578125" style="716" bestFit="1" customWidth="1"/>
    <col min="1873" max="1873" width="32" style="716" bestFit="1" customWidth="1"/>
    <col min="1874" max="1874" width="14.5703125" style="716" bestFit="1" customWidth="1"/>
    <col min="1875" max="1875" width="12.42578125" style="716" bestFit="1" customWidth="1"/>
    <col min="1876" max="1876" width="51.28515625" style="716" bestFit="1" customWidth="1"/>
    <col min="1877" max="1877" width="14.85546875" style="716" bestFit="1" customWidth="1"/>
    <col min="1878" max="1878" width="25" style="716" bestFit="1" customWidth="1"/>
    <col min="1879" max="1880" width="12.28515625" style="716" bestFit="1" customWidth="1"/>
    <col min="1881" max="1881" width="24.7109375" style="716" bestFit="1" customWidth="1"/>
    <col min="1882" max="1882" width="15" style="716" bestFit="1" customWidth="1"/>
    <col min="1883" max="2127" width="9.140625" style="716"/>
    <col min="2128" max="2128" width="6.42578125" style="716" bestFit="1" customWidth="1"/>
    <col min="2129" max="2129" width="32" style="716" bestFit="1" customWidth="1"/>
    <col min="2130" max="2130" width="14.5703125" style="716" bestFit="1" customWidth="1"/>
    <col min="2131" max="2131" width="12.42578125" style="716" bestFit="1" customWidth="1"/>
    <col min="2132" max="2132" width="51.28515625" style="716" bestFit="1" customWidth="1"/>
    <col min="2133" max="2133" width="14.85546875" style="716" bestFit="1" customWidth="1"/>
    <col min="2134" max="2134" width="25" style="716" bestFit="1" customWidth="1"/>
    <col min="2135" max="2136" width="12.28515625" style="716" bestFit="1" customWidth="1"/>
    <col min="2137" max="2137" width="24.7109375" style="716" bestFit="1" customWidth="1"/>
    <col min="2138" max="2138" width="15" style="716" bestFit="1" customWidth="1"/>
    <col min="2139" max="2383" width="9.140625" style="716"/>
    <col min="2384" max="2384" width="6.42578125" style="716" bestFit="1" customWidth="1"/>
    <col min="2385" max="2385" width="32" style="716" bestFit="1" customWidth="1"/>
    <col min="2386" max="2386" width="14.5703125" style="716" bestFit="1" customWidth="1"/>
    <col min="2387" max="2387" width="12.42578125" style="716" bestFit="1" customWidth="1"/>
    <col min="2388" max="2388" width="51.28515625" style="716" bestFit="1" customWidth="1"/>
    <col min="2389" max="2389" width="14.85546875" style="716" bestFit="1" customWidth="1"/>
    <col min="2390" max="2390" width="25" style="716" bestFit="1" customWidth="1"/>
    <col min="2391" max="2392" width="12.28515625" style="716" bestFit="1" customWidth="1"/>
    <col min="2393" max="2393" width="24.7109375" style="716" bestFit="1" customWidth="1"/>
    <col min="2394" max="2394" width="15" style="716" bestFit="1" customWidth="1"/>
    <col min="2395" max="2639" width="9.140625" style="716"/>
    <col min="2640" max="2640" width="6.42578125" style="716" bestFit="1" customWidth="1"/>
    <col min="2641" max="2641" width="32" style="716" bestFit="1" customWidth="1"/>
    <col min="2642" max="2642" width="14.5703125" style="716" bestFit="1" customWidth="1"/>
    <col min="2643" max="2643" width="12.42578125" style="716" bestFit="1" customWidth="1"/>
    <col min="2644" max="2644" width="51.28515625" style="716" bestFit="1" customWidth="1"/>
    <col min="2645" max="2645" width="14.85546875" style="716" bestFit="1" customWidth="1"/>
    <col min="2646" max="2646" width="25" style="716" bestFit="1" customWidth="1"/>
    <col min="2647" max="2648" width="12.28515625" style="716" bestFit="1" customWidth="1"/>
    <col min="2649" max="2649" width="24.7109375" style="716" bestFit="1" customWidth="1"/>
    <col min="2650" max="2650" width="15" style="716" bestFit="1" customWidth="1"/>
    <col min="2651" max="2895" width="9.140625" style="716"/>
    <col min="2896" max="2896" width="6.42578125" style="716" bestFit="1" customWidth="1"/>
    <col min="2897" max="2897" width="32" style="716" bestFit="1" customWidth="1"/>
    <col min="2898" max="2898" width="14.5703125" style="716" bestFit="1" customWidth="1"/>
    <col min="2899" max="2899" width="12.42578125" style="716" bestFit="1" customWidth="1"/>
    <col min="2900" max="2900" width="51.28515625" style="716" bestFit="1" customWidth="1"/>
    <col min="2901" max="2901" width="14.85546875" style="716" bestFit="1" customWidth="1"/>
    <col min="2902" max="2902" width="25" style="716" bestFit="1" customWidth="1"/>
    <col min="2903" max="2904" width="12.28515625" style="716" bestFit="1" customWidth="1"/>
    <col min="2905" max="2905" width="24.7109375" style="716" bestFit="1" customWidth="1"/>
    <col min="2906" max="2906" width="15" style="716" bestFit="1" customWidth="1"/>
    <col min="2907" max="3151" width="9.140625" style="716"/>
    <col min="3152" max="3152" width="6.42578125" style="716" bestFit="1" customWidth="1"/>
    <col min="3153" max="3153" width="32" style="716" bestFit="1" customWidth="1"/>
    <col min="3154" max="3154" width="14.5703125" style="716" bestFit="1" customWidth="1"/>
    <col min="3155" max="3155" width="12.42578125" style="716" bestFit="1" customWidth="1"/>
    <col min="3156" max="3156" width="51.28515625" style="716" bestFit="1" customWidth="1"/>
    <col min="3157" max="3157" width="14.85546875" style="716" bestFit="1" customWidth="1"/>
    <col min="3158" max="3158" width="25" style="716" bestFit="1" customWidth="1"/>
    <col min="3159" max="3160" width="12.28515625" style="716" bestFit="1" customWidth="1"/>
    <col min="3161" max="3161" width="24.7109375" style="716" bestFit="1" customWidth="1"/>
    <col min="3162" max="3162" width="15" style="716" bestFit="1" customWidth="1"/>
    <col min="3163" max="3407" width="9.140625" style="716"/>
    <col min="3408" max="3408" width="6.42578125" style="716" bestFit="1" customWidth="1"/>
    <col min="3409" max="3409" width="32" style="716" bestFit="1" customWidth="1"/>
    <col min="3410" max="3410" width="14.5703125" style="716" bestFit="1" customWidth="1"/>
    <col min="3411" max="3411" width="12.42578125" style="716" bestFit="1" customWidth="1"/>
    <col min="3412" max="3412" width="51.28515625" style="716" bestFit="1" customWidth="1"/>
    <col min="3413" max="3413" width="14.85546875" style="716" bestFit="1" customWidth="1"/>
    <col min="3414" max="3414" width="25" style="716" bestFit="1" customWidth="1"/>
    <col min="3415" max="3416" width="12.28515625" style="716" bestFit="1" customWidth="1"/>
    <col min="3417" max="3417" width="24.7109375" style="716" bestFit="1" customWidth="1"/>
    <col min="3418" max="3418" width="15" style="716" bestFit="1" customWidth="1"/>
    <col min="3419" max="3663" width="9.140625" style="716"/>
    <col min="3664" max="3664" width="6.42578125" style="716" bestFit="1" customWidth="1"/>
    <col min="3665" max="3665" width="32" style="716" bestFit="1" customWidth="1"/>
    <col min="3666" max="3666" width="14.5703125" style="716" bestFit="1" customWidth="1"/>
    <col min="3667" max="3667" width="12.42578125" style="716" bestFit="1" customWidth="1"/>
    <col min="3668" max="3668" width="51.28515625" style="716" bestFit="1" customWidth="1"/>
    <col min="3669" max="3669" width="14.85546875" style="716" bestFit="1" customWidth="1"/>
    <col min="3670" max="3670" width="25" style="716" bestFit="1" customWidth="1"/>
    <col min="3671" max="3672" width="12.28515625" style="716" bestFit="1" customWidth="1"/>
    <col min="3673" max="3673" width="24.7109375" style="716" bestFit="1" customWidth="1"/>
    <col min="3674" max="3674" width="15" style="716" bestFit="1" customWidth="1"/>
    <col min="3675" max="3919" width="9.140625" style="716"/>
    <col min="3920" max="3920" width="6.42578125" style="716" bestFit="1" customWidth="1"/>
    <col min="3921" max="3921" width="32" style="716" bestFit="1" customWidth="1"/>
    <col min="3922" max="3922" width="14.5703125" style="716" bestFit="1" customWidth="1"/>
    <col min="3923" max="3923" width="12.42578125" style="716" bestFit="1" customWidth="1"/>
    <col min="3924" max="3924" width="51.28515625" style="716" bestFit="1" customWidth="1"/>
    <col min="3925" max="3925" width="14.85546875" style="716" bestFit="1" customWidth="1"/>
    <col min="3926" max="3926" width="25" style="716" bestFit="1" customWidth="1"/>
    <col min="3927" max="3928" width="12.28515625" style="716" bestFit="1" customWidth="1"/>
    <col min="3929" max="3929" width="24.7109375" style="716" bestFit="1" customWidth="1"/>
    <col min="3930" max="3930" width="15" style="716" bestFit="1" customWidth="1"/>
    <col min="3931" max="4175" width="9.140625" style="716"/>
    <col min="4176" max="4176" width="6.42578125" style="716" bestFit="1" customWidth="1"/>
    <col min="4177" max="4177" width="32" style="716" bestFit="1" customWidth="1"/>
    <col min="4178" max="4178" width="14.5703125" style="716" bestFit="1" customWidth="1"/>
    <col min="4179" max="4179" width="12.42578125" style="716" bestFit="1" customWidth="1"/>
    <col min="4180" max="4180" width="51.28515625" style="716" bestFit="1" customWidth="1"/>
    <col min="4181" max="4181" width="14.85546875" style="716" bestFit="1" customWidth="1"/>
    <col min="4182" max="4182" width="25" style="716" bestFit="1" customWidth="1"/>
    <col min="4183" max="4184" width="12.28515625" style="716" bestFit="1" customWidth="1"/>
    <col min="4185" max="4185" width="24.7109375" style="716" bestFit="1" customWidth="1"/>
    <col min="4186" max="4186" width="15" style="716" bestFit="1" customWidth="1"/>
    <col min="4187" max="4431" width="9.140625" style="716"/>
    <col min="4432" max="4432" width="6.42578125" style="716" bestFit="1" customWidth="1"/>
    <col min="4433" max="4433" width="32" style="716" bestFit="1" customWidth="1"/>
    <col min="4434" max="4434" width="14.5703125" style="716" bestFit="1" customWidth="1"/>
    <col min="4435" max="4435" width="12.42578125" style="716" bestFit="1" customWidth="1"/>
    <col min="4436" max="4436" width="51.28515625" style="716" bestFit="1" customWidth="1"/>
    <col min="4437" max="4437" width="14.85546875" style="716" bestFit="1" customWidth="1"/>
    <col min="4438" max="4438" width="25" style="716" bestFit="1" customWidth="1"/>
    <col min="4439" max="4440" width="12.28515625" style="716" bestFit="1" customWidth="1"/>
    <col min="4441" max="4441" width="24.7109375" style="716" bestFit="1" customWidth="1"/>
    <col min="4442" max="4442" width="15" style="716" bestFit="1" customWidth="1"/>
    <col min="4443" max="4687" width="9.140625" style="716"/>
    <col min="4688" max="4688" width="6.42578125" style="716" bestFit="1" customWidth="1"/>
    <col min="4689" max="4689" width="32" style="716" bestFit="1" customWidth="1"/>
    <col min="4690" max="4690" width="14.5703125" style="716" bestFit="1" customWidth="1"/>
    <col min="4691" max="4691" width="12.42578125" style="716" bestFit="1" customWidth="1"/>
    <col min="4692" max="4692" width="51.28515625" style="716" bestFit="1" customWidth="1"/>
    <col min="4693" max="4693" width="14.85546875" style="716" bestFit="1" customWidth="1"/>
    <col min="4694" max="4694" width="25" style="716" bestFit="1" customWidth="1"/>
    <col min="4695" max="4696" width="12.28515625" style="716" bestFit="1" customWidth="1"/>
    <col min="4697" max="4697" width="24.7109375" style="716" bestFit="1" customWidth="1"/>
    <col min="4698" max="4698" width="15" style="716" bestFit="1" customWidth="1"/>
    <col min="4699" max="4943" width="9.140625" style="716"/>
    <col min="4944" max="4944" width="6.42578125" style="716" bestFit="1" customWidth="1"/>
    <col min="4945" max="4945" width="32" style="716" bestFit="1" customWidth="1"/>
    <col min="4946" max="4946" width="14.5703125" style="716" bestFit="1" customWidth="1"/>
    <col min="4947" max="4947" width="12.42578125" style="716" bestFit="1" customWidth="1"/>
    <col min="4948" max="4948" width="51.28515625" style="716" bestFit="1" customWidth="1"/>
    <col min="4949" max="4949" width="14.85546875" style="716" bestFit="1" customWidth="1"/>
    <col min="4950" max="4950" width="25" style="716" bestFit="1" customWidth="1"/>
    <col min="4951" max="4952" width="12.28515625" style="716" bestFit="1" customWidth="1"/>
    <col min="4953" max="4953" width="24.7109375" style="716" bestFit="1" customWidth="1"/>
    <col min="4954" max="4954" width="15" style="716" bestFit="1" customWidth="1"/>
    <col min="4955" max="5199" width="9.140625" style="716"/>
    <col min="5200" max="5200" width="6.42578125" style="716" bestFit="1" customWidth="1"/>
    <col min="5201" max="5201" width="32" style="716" bestFit="1" customWidth="1"/>
    <col min="5202" max="5202" width="14.5703125" style="716" bestFit="1" customWidth="1"/>
    <col min="5203" max="5203" width="12.42578125" style="716" bestFit="1" customWidth="1"/>
    <col min="5204" max="5204" width="51.28515625" style="716" bestFit="1" customWidth="1"/>
    <col min="5205" max="5205" width="14.85546875" style="716" bestFit="1" customWidth="1"/>
    <col min="5206" max="5206" width="25" style="716" bestFit="1" customWidth="1"/>
    <col min="5207" max="5208" width="12.28515625" style="716" bestFit="1" customWidth="1"/>
    <col min="5209" max="5209" width="24.7109375" style="716" bestFit="1" customWidth="1"/>
    <col min="5210" max="5210" width="15" style="716" bestFit="1" customWidth="1"/>
    <col min="5211" max="5455" width="9.140625" style="716"/>
    <col min="5456" max="5456" width="6.42578125" style="716" bestFit="1" customWidth="1"/>
    <col min="5457" max="5457" width="32" style="716" bestFit="1" customWidth="1"/>
    <col min="5458" max="5458" width="14.5703125" style="716" bestFit="1" customWidth="1"/>
    <col min="5459" max="5459" width="12.42578125" style="716" bestFit="1" customWidth="1"/>
    <col min="5460" max="5460" width="51.28515625" style="716" bestFit="1" customWidth="1"/>
    <col min="5461" max="5461" width="14.85546875" style="716" bestFit="1" customWidth="1"/>
    <col min="5462" max="5462" width="25" style="716" bestFit="1" customWidth="1"/>
    <col min="5463" max="5464" width="12.28515625" style="716" bestFit="1" customWidth="1"/>
    <col min="5465" max="5465" width="24.7109375" style="716" bestFit="1" customWidth="1"/>
    <col min="5466" max="5466" width="15" style="716" bestFit="1" customWidth="1"/>
    <col min="5467" max="5711" width="9.140625" style="716"/>
    <col min="5712" max="5712" width="6.42578125" style="716" bestFit="1" customWidth="1"/>
    <col min="5713" max="5713" width="32" style="716" bestFit="1" customWidth="1"/>
    <col min="5714" max="5714" width="14.5703125" style="716" bestFit="1" customWidth="1"/>
    <col min="5715" max="5715" width="12.42578125" style="716" bestFit="1" customWidth="1"/>
    <col min="5716" max="5716" width="51.28515625" style="716" bestFit="1" customWidth="1"/>
    <col min="5717" max="5717" width="14.85546875" style="716" bestFit="1" customWidth="1"/>
    <col min="5718" max="5718" width="25" style="716" bestFit="1" customWidth="1"/>
    <col min="5719" max="5720" width="12.28515625" style="716" bestFit="1" customWidth="1"/>
    <col min="5721" max="5721" width="24.7109375" style="716" bestFit="1" customWidth="1"/>
    <col min="5722" max="5722" width="15" style="716" bestFit="1" customWidth="1"/>
    <col min="5723" max="5967" width="9.140625" style="716"/>
    <col min="5968" max="5968" width="6.42578125" style="716" bestFit="1" customWidth="1"/>
    <col min="5969" max="5969" width="32" style="716" bestFit="1" customWidth="1"/>
    <col min="5970" max="5970" width="14.5703125" style="716" bestFit="1" customWidth="1"/>
    <col min="5971" max="5971" width="12.42578125" style="716" bestFit="1" customWidth="1"/>
    <col min="5972" max="5972" width="51.28515625" style="716" bestFit="1" customWidth="1"/>
    <col min="5973" max="5973" width="14.85546875" style="716" bestFit="1" customWidth="1"/>
    <col min="5974" max="5974" width="25" style="716" bestFit="1" customWidth="1"/>
    <col min="5975" max="5976" width="12.28515625" style="716" bestFit="1" customWidth="1"/>
    <col min="5977" max="5977" width="24.7109375" style="716" bestFit="1" customWidth="1"/>
    <col min="5978" max="5978" width="15" style="716" bestFit="1" customWidth="1"/>
    <col min="5979" max="6223" width="9.140625" style="716"/>
    <col min="6224" max="6224" width="6.42578125" style="716" bestFit="1" customWidth="1"/>
    <col min="6225" max="6225" width="32" style="716" bestFit="1" customWidth="1"/>
    <col min="6226" max="6226" width="14.5703125" style="716" bestFit="1" customWidth="1"/>
    <col min="6227" max="6227" width="12.42578125" style="716" bestFit="1" customWidth="1"/>
    <col min="6228" max="6228" width="51.28515625" style="716" bestFit="1" customWidth="1"/>
    <col min="6229" max="6229" width="14.85546875" style="716" bestFit="1" customWidth="1"/>
    <col min="6230" max="6230" width="25" style="716" bestFit="1" customWidth="1"/>
    <col min="6231" max="6232" width="12.28515625" style="716" bestFit="1" customWidth="1"/>
    <col min="6233" max="6233" width="24.7109375" style="716" bestFit="1" customWidth="1"/>
    <col min="6234" max="6234" width="15" style="716" bestFit="1" customWidth="1"/>
    <col min="6235" max="6479" width="9.140625" style="716"/>
    <col min="6480" max="6480" width="6.42578125" style="716" bestFit="1" customWidth="1"/>
    <col min="6481" max="6481" width="32" style="716" bestFit="1" customWidth="1"/>
    <col min="6482" max="6482" width="14.5703125" style="716" bestFit="1" customWidth="1"/>
    <col min="6483" max="6483" width="12.42578125" style="716" bestFit="1" customWidth="1"/>
    <col min="6484" max="6484" width="51.28515625" style="716" bestFit="1" customWidth="1"/>
    <col min="6485" max="6485" width="14.85546875" style="716" bestFit="1" customWidth="1"/>
    <col min="6486" max="6486" width="25" style="716" bestFit="1" customWidth="1"/>
    <col min="6487" max="6488" width="12.28515625" style="716" bestFit="1" customWidth="1"/>
    <col min="6489" max="6489" width="24.7109375" style="716" bestFit="1" customWidth="1"/>
    <col min="6490" max="6490" width="15" style="716" bestFit="1" customWidth="1"/>
    <col min="6491" max="6735" width="9.140625" style="716"/>
    <col min="6736" max="6736" width="6.42578125" style="716" bestFit="1" customWidth="1"/>
    <col min="6737" max="6737" width="32" style="716" bestFit="1" customWidth="1"/>
    <col min="6738" max="6738" width="14.5703125" style="716" bestFit="1" customWidth="1"/>
    <col min="6739" max="6739" width="12.42578125" style="716" bestFit="1" customWidth="1"/>
    <col min="6740" max="6740" width="51.28515625" style="716" bestFit="1" customWidth="1"/>
    <col min="6741" max="6741" width="14.85546875" style="716" bestFit="1" customWidth="1"/>
    <col min="6742" max="6742" width="25" style="716" bestFit="1" customWidth="1"/>
    <col min="6743" max="6744" width="12.28515625" style="716" bestFit="1" customWidth="1"/>
    <col min="6745" max="6745" width="24.7109375" style="716" bestFit="1" customWidth="1"/>
    <col min="6746" max="6746" width="15" style="716" bestFit="1" customWidth="1"/>
    <col min="6747" max="6991" width="9.140625" style="716"/>
    <col min="6992" max="6992" width="6.42578125" style="716" bestFit="1" customWidth="1"/>
    <col min="6993" max="6993" width="32" style="716" bestFit="1" customWidth="1"/>
    <col min="6994" max="6994" width="14.5703125" style="716" bestFit="1" customWidth="1"/>
    <col min="6995" max="6995" width="12.42578125" style="716" bestFit="1" customWidth="1"/>
    <col min="6996" max="6996" width="51.28515625" style="716" bestFit="1" customWidth="1"/>
    <col min="6997" max="6997" width="14.85546875" style="716" bestFit="1" customWidth="1"/>
    <col min="6998" max="6998" width="25" style="716" bestFit="1" customWidth="1"/>
    <col min="6999" max="7000" width="12.28515625" style="716" bestFit="1" customWidth="1"/>
    <col min="7001" max="7001" width="24.7109375" style="716" bestFit="1" customWidth="1"/>
    <col min="7002" max="7002" width="15" style="716" bestFit="1" customWidth="1"/>
    <col min="7003" max="7247" width="9.140625" style="716"/>
    <col min="7248" max="7248" width="6.42578125" style="716" bestFit="1" customWidth="1"/>
    <col min="7249" max="7249" width="32" style="716" bestFit="1" customWidth="1"/>
    <col min="7250" max="7250" width="14.5703125" style="716" bestFit="1" customWidth="1"/>
    <col min="7251" max="7251" width="12.42578125" style="716" bestFit="1" customWidth="1"/>
    <col min="7252" max="7252" width="51.28515625" style="716" bestFit="1" customWidth="1"/>
    <col min="7253" max="7253" width="14.85546875" style="716" bestFit="1" customWidth="1"/>
    <col min="7254" max="7254" width="25" style="716" bestFit="1" customWidth="1"/>
    <col min="7255" max="7256" width="12.28515625" style="716" bestFit="1" customWidth="1"/>
    <col min="7257" max="7257" width="24.7109375" style="716" bestFit="1" customWidth="1"/>
    <col min="7258" max="7258" width="15" style="716" bestFit="1" customWidth="1"/>
    <col min="7259" max="7503" width="9.140625" style="716"/>
    <col min="7504" max="7504" width="6.42578125" style="716" bestFit="1" customWidth="1"/>
    <col min="7505" max="7505" width="32" style="716" bestFit="1" customWidth="1"/>
    <col min="7506" max="7506" width="14.5703125" style="716" bestFit="1" customWidth="1"/>
    <col min="7507" max="7507" width="12.42578125" style="716" bestFit="1" customWidth="1"/>
    <col min="7508" max="7508" width="51.28515625" style="716" bestFit="1" customWidth="1"/>
    <col min="7509" max="7509" width="14.85546875" style="716" bestFit="1" customWidth="1"/>
    <col min="7510" max="7510" width="25" style="716" bestFit="1" customWidth="1"/>
    <col min="7511" max="7512" width="12.28515625" style="716" bestFit="1" customWidth="1"/>
    <col min="7513" max="7513" width="24.7109375" style="716" bestFit="1" customWidth="1"/>
    <col min="7514" max="7514" width="15" style="716" bestFit="1" customWidth="1"/>
    <col min="7515" max="7759" width="9.140625" style="716"/>
    <col min="7760" max="7760" width="6.42578125" style="716" bestFit="1" customWidth="1"/>
    <col min="7761" max="7761" width="32" style="716" bestFit="1" customWidth="1"/>
    <col min="7762" max="7762" width="14.5703125" style="716" bestFit="1" customWidth="1"/>
    <col min="7763" max="7763" width="12.42578125" style="716" bestFit="1" customWidth="1"/>
    <col min="7764" max="7764" width="51.28515625" style="716" bestFit="1" customWidth="1"/>
    <col min="7765" max="7765" width="14.85546875" style="716" bestFit="1" customWidth="1"/>
    <col min="7766" max="7766" width="25" style="716" bestFit="1" customWidth="1"/>
    <col min="7767" max="7768" width="12.28515625" style="716" bestFit="1" customWidth="1"/>
    <col min="7769" max="7769" width="24.7109375" style="716" bestFit="1" customWidth="1"/>
    <col min="7770" max="7770" width="15" style="716" bestFit="1" customWidth="1"/>
    <col min="7771" max="8015" width="9.140625" style="716"/>
    <col min="8016" max="8016" width="6.42578125" style="716" bestFit="1" customWidth="1"/>
    <col min="8017" max="8017" width="32" style="716" bestFit="1" customWidth="1"/>
    <col min="8018" max="8018" width="14.5703125" style="716" bestFit="1" customWidth="1"/>
    <col min="8019" max="8019" width="12.42578125" style="716" bestFit="1" customWidth="1"/>
    <col min="8020" max="8020" width="51.28515625" style="716" bestFit="1" customWidth="1"/>
    <col min="8021" max="8021" width="14.85546875" style="716" bestFit="1" customWidth="1"/>
    <col min="8022" max="8022" width="25" style="716" bestFit="1" customWidth="1"/>
    <col min="8023" max="8024" width="12.28515625" style="716" bestFit="1" customWidth="1"/>
    <col min="8025" max="8025" width="24.7109375" style="716" bestFit="1" customWidth="1"/>
    <col min="8026" max="8026" width="15" style="716" bestFit="1" customWidth="1"/>
    <col min="8027" max="8271" width="9.140625" style="716"/>
    <col min="8272" max="8272" width="6.42578125" style="716" bestFit="1" customWidth="1"/>
    <col min="8273" max="8273" width="32" style="716" bestFit="1" customWidth="1"/>
    <col min="8274" max="8274" width="14.5703125" style="716" bestFit="1" customWidth="1"/>
    <col min="8275" max="8275" width="12.42578125" style="716" bestFit="1" customWidth="1"/>
    <col min="8276" max="8276" width="51.28515625" style="716" bestFit="1" customWidth="1"/>
    <col min="8277" max="8277" width="14.85546875" style="716" bestFit="1" customWidth="1"/>
    <col min="8278" max="8278" width="25" style="716" bestFit="1" customWidth="1"/>
    <col min="8279" max="8280" width="12.28515625" style="716" bestFit="1" customWidth="1"/>
    <col min="8281" max="8281" width="24.7109375" style="716" bestFit="1" customWidth="1"/>
    <col min="8282" max="8282" width="15" style="716" bestFit="1" customWidth="1"/>
    <col min="8283" max="8527" width="9.140625" style="716"/>
    <col min="8528" max="8528" width="6.42578125" style="716" bestFit="1" customWidth="1"/>
    <col min="8529" max="8529" width="32" style="716" bestFit="1" customWidth="1"/>
    <col min="8530" max="8530" width="14.5703125" style="716" bestFit="1" customWidth="1"/>
    <col min="8531" max="8531" width="12.42578125" style="716" bestFit="1" customWidth="1"/>
    <col min="8532" max="8532" width="51.28515625" style="716" bestFit="1" customWidth="1"/>
    <col min="8533" max="8533" width="14.85546875" style="716" bestFit="1" customWidth="1"/>
    <col min="8534" max="8534" width="25" style="716" bestFit="1" customWidth="1"/>
    <col min="8535" max="8536" width="12.28515625" style="716" bestFit="1" customWidth="1"/>
    <col min="8537" max="8537" width="24.7109375" style="716" bestFit="1" customWidth="1"/>
    <col min="8538" max="8538" width="15" style="716" bestFit="1" customWidth="1"/>
    <col min="8539" max="8783" width="9.140625" style="716"/>
    <col min="8784" max="8784" width="6.42578125" style="716" bestFit="1" customWidth="1"/>
    <col min="8785" max="8785" width="32" style="716" bestFit="1" customWidth="1"/>
    <col min="8786" max="8786" width="14.5703125" style="716" bestFit="1" customWidth="1"/>
    <col min="8787" max="8787" width="12.42578125" style="716" bestFit="1" customWidth="1"/>
    <col min="8788" max="8788" width="51.28515625" style="716" bestFit="1" customWidth="1"/>
    <col min="8789" max="8789" width="14.85546875" style="716" bestFit="1" customWidth="1"/>
    <col min="8790" max="8790" width="25" style="716" bestFit="1" customWidth="1"/>
    <col min="8791" max="8792" width="12.28515625" style="716" bestFit="1" customWidth="1"/>
    <col min="8793" max="8793" width="24.7109375" style="716" bestFit="1" customWidth="1"/>
    <col min="8794" max="8794" width="15" style="716" bestFit="1" customWidth="1"/>
    <col min="8795" max="9039" width="9.140625" style="716"/>
    <col min="9040" max="9040" width="6.42578125" style="716" bestFit="1" customWidth="1"/>
    <col min="9041" max="9041" width="32" style="716" bestFit="1" customWidth="1"/>
    <col min="9042" max="9042" width="14.5703125" style="716" bestFit="1" customWidth="1"/>
    <col min="9043" max="9043" width="12.42578125" style="716" bestFit="1" customWidth="1"/>
    <col min="9044" max="9044" width="51.28515625" style="716" bestFit="1" customWidth="1"/>
    <col min="9045" max="9045" width="14.85546875" style="716" bestFit="1" customWidth="1"/>
    <col min="9046" max="9046" width="25" style="716" bestFit="1" customWidth="1"/>
    <col min="9047" max="9048" width="12.28515625" style="716" bestFit="1" customWidth="1"/>
    <col min="9049" max="9049" width="24.7109375" style="716" bestFit="1" customWidth="1"/>
    <col min="9050" max="9050" width="15" style="716" bestFit="1" customWidth="1"/>
    <col min="9051" max="9295" width="9.140625" style="716"/>
    <col min="9296" max="9296" width="6.42578125" style="716" bestFit="1" customWidth="1"/>
    <col min="9297" max="9297" width="32" style="716" bestFit="1" customWidth="1"/>
    <col min="9298" max="9298" width="14.5703125" style="716" bestFit="1" customWidth="1"/>
    <col min="9299" max="9299" width="12.42578125" style="716" bestFit="1" customWidth="1"/>
    <col min="9300" max="9300" width="51.28515625" style="716" bestFit="1" customWidth="1"/>
    <col min="9301" max="9301" width="14.85546875" style="716" bestFit="1" customWidth="1"/>
    <col min="9302" max="9302" width="25" style="716" bestFit="1" customWidth="1"/>
    <col min="9303" max="9304" width="12.28515625" style="716" bestFit="1" customWidth="1"/>
    <col min="9305" max="9305" width="24.7109375" style="716" bestFit="1" customWidth="1"/>
    <col min="9306" max="9306" width="15" style="716" bestFit="1" customWidth="1"/>
    <col min="9307" max="9551" width="9.140625" style="716"/>
    <col min="9552" max="9552" width="6.42578125" style="716" bestFit="1" customWidth="1"/>
    <col min="9553" max="9553" width="32" style="716" bestFit="1" customWidth="1"/>
    <col min="9554" max="9554" width="14.5703125" style="716" bestFit="1" customWidth="1"/>
    <col min="9555" max="9555" width="12.42578125" style="716" bestFit="1" customWidth="1"/>
    <col min="9556" max="9556" width="51.28515625" style="716" bestFit="1" customWidth="1"/>
    <col min="9557" max="9557" width="14.85546875" style="716" bestFit="1" customWidth="1"/>
    <col min="9558" max="9558" width="25" style="716" bestFit="1" customWidth="1"/>
    <col min="9559" max="9560" width="12.28515625" style="716" bestFit="1" customWidth="1"/>
    <col min="9561" max="9561" width="24.7109375" style="716" bestFit="1" customWidth="1"/>
    <col min="9562" max="9562" width="15" style="716" bestFit="1" customWidth="1"/>
    <col min="9563" max="9807" width="9.140625" style="716"/>
    <col min="9808" max="9808" width="6.42578125" style="716" bestFit="1" customWidth="1"/>
    <col min="9809" max="9809" width="32" style="716" bestFit="1" customWidth="1"/>
    <col min="9810" max="9810" width="14.5703125" style="716" bestFit="1" customWidth="1"/>
    <col min="9811" max="9811" width="12.42578125" style="716" bestFit="1" customWidth="1"/>
    <col min="9812" max="9812" width="51.28515625" style="716" bestFit="1" customWidth="1"/>
    <col min="9813" max="9813" width="14.85546875" style="716" bestFit="1" customWidth="1"/>
    <col min="9814" max="9814" width="25" style="716" bestFit="1" customWidth="1"/>
    <col min="9815" max="9816" width="12.28515625" style="716" bestFit="1" customWidth="1"/>
    <col min="9817" max="9817" width="24.7109375" style="716" bestFit="1" customWidth="1"/>
    <col min="9818" max="9818" width="15" style="716" bestFit="1" customWidth="1"/>
    <col min="9819" max="10063" width="9.140625" style="716"/>
    <col min="10064" max="10064" width="6.42578125" style="716" bestFit="1" customWidth="1"/>
    <col min="10065" max="10065" width="32" style="716" bestFit="1" customWidth="1"/>
    <col min="10066" max="10066" width="14.5703125" style="716" bestFit="1" customWidth="1"/>
    <col min="10067" max="10067" width="12.42578125" style="716" bestFit="1" customWidth="1"/>
    <col min="10068" max="10068" width="51.28515625" style="716" bestFit="1" customWidth="1"/>
    <col min="10069" max="10069" width="14.85546875" style="716" bestFit="1" customWidth="1"/>
    <col min="10070" max="10070" width="25" style="716" bestFit="1" customWidth="1"/>
    <col min="10071" max="10072" width="12.28515625" style="716" bestFit="1" customWidth="1"/>
    <col min="10073" max="10073" width="24.7109375" style="716" bestFit="1" customWidth="1"/>
    <col min="10074" max="10074" width="15" style="716" bestFit="1" customWidth="1"/>
    <col min="10075" max="10319" width="9.140625" style="716"/>
    <col min="10320" max="10320" width="6.42578125" style="716" bestFit="1" customWidth="1"/>
    <col min="10321" max="10321" width="32" style="716" bestFit="1" customWidth="1"/>
    <col min="10322" max="10322" width="14.5703125" style="716" bestFit="1" customWidth="1"/>
    <col min="10323" max="10323" width="12.42578125" style="716" bestFit="1" customWidth="1"/>
    <col min="10324" max="10324" width="51.28515625" style="716" bestFit="1" customWidth="1"/>
    <col min="10325" max="10325" width="14.85546875" style="716" bestFit="1" customWidth="1"/>
    <col min="10326" max="10326" width="25" style="716" bestFit="1" customWidth="1"/>
    <col min="10327" max="10328" width="12.28515625" style="716" bestFit="1" customWidth="1"/>
    <col min="10329" max="10329" width="24.7109375" style="716" bestFit="1" customWidth="1"/>
    <col min="10330" max="10330" width="15" style="716" bestFit="1" customWidth="1"/>
    <col min="10331" max="10575" width="9.140625" style="716"/>
    <col min="10576" max="10576" width="6.42578125" style="716" bestFit="1" customWidth="1"/>
    <col min="10577" max="10577" width="32" style="716" bestFit="1" customWidth="1"/>
    <col min="10578" max="10578" width="14.5703125" style="716" bestFit="1" customWidth="1"/>
    <col min="10579" max="10579" width="12.42578125" style="716" bestFit="1" customWidth="1"/>
    <col min="10580" max="10580" width="51.28515625" style="716" bestFit="1" customWidth="1"/>
    <col min="10581" max="10581" width="14.85546875" style="716" bestFit="1" customWidth="1"/>
    <col min="10582" max="10582" width="25" style="716" bestFit="1" customWidth="1"/>
    <col min="10583" max="10584" width="12.28515625" style="716" bestFit="1" customWidth="1"/>
    <col min="10585" max="10585" width="24.7109375" style="716" bestFit="1" customWidth="1"/>
    <col min="10586" max="10586" width="15" style="716" bestFit="1" customWidth="1"/>
    <col min="10587" max="10831" width="9.140625" style="716"/>
    <col min="10832" max="10832" width="6.42578125" style="716" bestFit="1" customWidth="1"/>
    <col min="10833" max="10833" width="32" style="716" bestFit="1" customWidth="1"/>
    <col min="10834" max="10834" width="14.5703125" style="716" bestFit="1" customWidth="1"/>
    <col min="10835" max="10835" width="12.42578125" style="716" bestFit="1" customWidth="1"/>
    <col min="10836" max="10836" width="51.28515625" style="716" bestFit="1" customWidth="1"/>
    <col min="10837" max="10837" width="14.85546875" style="716" bestFit="1" customWidth="1"/>
    <col min="10838" max="10838" width="25" style="716" bestFit="1" customWidth="1"/>
    <col min="10839" max="10840" width="12.28515625" style="716" bestFit="1" customWidth="1"/>
    <col min="10841" max="10841" width="24.7109375" style="716" bestFit="1" customWidth="1"/>
    <col min="10842" max="10842" width="15" style="716" bestFit="1" customWidth="1"/>
    <col min="10843" max="11087" width="9.140625" style="716"/>
    <col min="11088" max="11088" width="6.42578125" style="716" bestFit="1" customWidth="1"/>
    <col min="11089" max="11089" width="32" style="716" bestFit="1" customWidth="1"/>
    <col min="11090" max="11090" width="14.5703125" style="716" bestFit="1" customWidth="1"/>
    <col min="11091" max="11091" width="12.42578125" style="716" bestFit="1" customWidth="1"/>
    <col min="11092" max="11092" width="51.28515625" style="716" bestFit="1" customWidth="1"/>
    <col min="11093" max="11093" width="14.85546875" style="716" bestFit="1" customWidth="1"/>
    <col min="11094" max="11094" width="25" style="716" bestFit="1" customWidth="1"/>
    <col min="11095" max="11096" width="12.28515625" style="716" bestFit="1" customWidth="1"/>
    <col min="11097" max="11097" width="24.7109375" style="716" bestFit="1" customWidth="1"/>
    <col min="11098" max="11098" width="15" style="716" bestFit="1" customWidth="1"/>
    <col min="11099" max="11343" width="9.140625" style="716"/>
    <col min="11344" max="11344" width="6.42578125" style="716" bestFit="1" customWidth="1"/>
    <col min="11345" max="11345" width="32" style="716" bestFit="1" customWidth="1"/>
    <col min="11346" max="11346" width="14.5703125" style="716" bestFit="1" customWidth="1"/>
    <col min="11347" max="11347" width="12.42578125" style="716" bestFit="1" customWidth="1"/>
    <col min="11348" max="11348" width="51.28515625" style="716" bestFit="1" customWidth="1"/>
    <col min="11349" max="11349" width="14.85546875" style="716" bestFit="1" customWidth="1"/>
    <col min="11350" max="11350" width="25" style="716" bestFit="1" customWidth="1"/>
    <col min="11351" max="11352" width="12.28515625" style="716" bestFit="1" customWidth="1"/>
    <col min="11353" max="11353" width="24.7109375" style="716" bestFit="1" customWidth="1"/>
    <col min="11354" max="11354" width="15" style="716" bestFit="1" customWidth="1"/>
    <col min="11355" max="11599" width="9.140625" style="716"/>
    <col min="11600" max="11600" width="6.42578125" style="716" bestFit="1" customWidth="1"/>
    <col min="11601" max="11601" width="32" style="716" bestFit="1" customWidth="1"/>
    <col min="11602" max="11602" width="14.5703125" style="716" bestFit="1" customWidth="1"/>
    <col min="11603" max="11603" width="12.42578125" style="716" bestFit="1" customWidth="1"/>
    <col min="11604" max="11604" width="51.28515625" style="716" bestFit="1" customWidth="1"/>
    <col min="11605" max="11605" width="14.85546875" style="716" bestFit="1" customWidth="1"/>
    <col min="11606" max="11606" width="25" style="716" bestFit="1" customWidth="1"/>
    <col min="11607" max="11608" width="12.28515625" style="716" bestFit="1" customWidth="1"/>
    <col min="11609" max="11609" width="24.7109375" style="716" bestFit="1" customWidth="1"/>
    <col min="11610" max="11610" width="15" style="716" bestFit="1" customWidth="1"/>
    <col min="11611" max="11855" width="9.140625" style="716"/>
    <col min="11856" max="11856" width="6.42578125" style="716" bestFit="1" customWidth="1"/>
    <col min="11857" max="11857" width="32" style="716" bestFit="1" customWidth="1"/>
    <col min="11858" max="11858" width="14.5703125" style="716" bestFit="1" customWidth="1"/>
    <col min="11859" max="11859" width="12.42578125" style="716" bestFit="1" customWidth="1"/>
    <col min="11860" max="11860" width="51.28515625" style="716" bestFit="1" customWidth="1"/>
    <col min="11861" max="11861" width="14.85546875" style="716" bestFit="1" customWidth="1"/>
    <col min="11862" max="11862" width="25" style="716" bestFit="1" customWidth="1"/>
    <col min="11863" max="11864" width="12.28515625" style="716" bestFit="1" customWidth="1"/>
    <col min="11865" max="11865" width="24.7109375" style="716" bestFit="1" customWidth="1"/>
    <col min="11866" max="11866" width="15" style="716" bestFit="1" customWidth="1"/>
    <col min="11867" max="12111" width="9.140625" style="716"/>
    <col min="12112" max="12112" width="6.42578125" style="716" bestFit="1" customWidth="1"/>
    <col min="12113" max="12113" width="32" style="716" bestFit="1" customWidth="1"/>
    <col min="12114" max="12114" width="14.5703125" style="716" bestFit="1" customWidth="1"/>
    <col min="12115" max="12115" width="12.42578125" style="716" bestFit="1" customWidth="1"/>
    <col min="12116" max="12116" width="51.28515625" style="716" bestFit="1" customWidth="1"/>
    <col min="12117" max="12117" width="14.85546875" style="716" bestFit="1" customWidth="1"/>
    <col min="12118" max="12118" width="25" style="716" bestFit="1" customWidth="1"/>
    <col min="12119" max="12120" width="12.28515625" style="716" bestFit="1" customWidth="1"/>
    <col min="12121" max="12121" width="24.7109375" style="716" bestFit="1" customWidth="1"/>
    <col min="12122" max="12122" width="15" style="716" bestFit="1" customWidth="1"/>
    <col min="12123" max="12367" width="9.140625" style="716"/>
    <col min="12368" max="12368" width="6.42578125" style="716" bestFit="1" customWidth="1"/>
    <col min="12369" max="12369" width="32" style="716" bestFit="1" customWidth="1"/>
    <col min="12370" max="12370" width="14.5703125" style="716" bestFit="1" customWidth="1"/>
    <col min="12371" max="12371" width="12.42578125" style="716" bestFit="1" customWidth="1"/>
    <col min="12372" max="12372" width="51.28515625" style="716" bestFit="1" customWidth="1"/>
    <col min="12373" max="12373" width="14.85546875" style="716" bestFit="1" customWidth="1"/>
    <col min="12374" max="12374" width="25" style="716" bestFit="1" customWidth="1"/>
    <col min="12375" max="12376" width="12.28515625" style="716" bestFit="1" customWidth="1"/>
    <col min="12377" max="12377" width="24.7109375" style="716" bestFit="1" customWidth="1"/>
    <col min="12378" max="12378" width="15" style="716" bestFit="1" customWidth="1"/>
    <col min="12379" max="12623" width="9.140625" style="716"/>
    <col min="12624" max="12624" width="6.42578125" style="716" bestFit="1" customWidth="1"/>
    <col min="12625" max="12625" width="32" style="716" bestFit="1" customWidth="1"/>
    <col min="12626" max="12626" width="14.5703125" style="716" bestFit="1" customWidth="1"/>
    <col min="12627" max="12627" width="12.42578125" style="716" bestFit="1" customWidth="1"/>
    <col min="12628" max="12628" width="51.28515625" style="716" bestFit="1" customWidth="1"/>
    <col min="12629" max="12629" width="14.85546875" style="716" bestFit="1" customWidth="1"/>
    <col min="12630" max="12630" width="25" style="716" bestFit="1" customWidth="1"/>
    <col min="12631" max="12632" width="12.28515625" style="716" bestFit="1" customWidth="1"/>
    <col min="12633" max="12633" width="24.7109375" style="716" bestFit="1" customWidth="1"/>
    <col min="12634" max="12634" width="15" style="716" bestFit="1" customWidth="1"/>
    <col min="12635" max="12879" width="9.140625" style="716"/>
    <col min="12880" max="12880" width="6.42578125" style="716" bestFit="1" customWidth="1"/>
    <col min="12881" max="12881" width="32" style="716" bestFit="1" customWidth="1"/>
    <col min="12882" max="12882" width="14.5703125" style="716" bestFit="1" customWidth="1"/>
    <col min="12883" max="12883" width="12.42578125" style="716" bestFit="1" customWidth="1"/>
    <col min="12884" max="12884" width="51.28515625" style="716" bestFit="1" customWidth="1"/>
    <col min="12885" max="12885" width="14.85546875" style="716" bestFit="1" customWidth="1"/>
    <col min="12886" max="12886" width="25" style="716" bestFit="1" customWidth="1"/>
    <col min="12887" max="12888" width="12.28515625" style="716" bestFit="1" customWidth="1"/>
    <col min="12889" max="12889" width="24.7109375" style="716" bestFit="1" customWidth="1"/>
    <col min="12890" max="12890" width="15" style="716" bestFit="1" customWidth="1"/>
    <col min="12891" max="13135" width="9.140625" style="716"/>
    <col min="13136" max="13136" width="6.42578125" style="716" bestFit="1" customWidth="1"/>
    <col min="13137" max="13137" width="32" style="716" bestFit="1" customWidth="1"/>
    <col min="13138" max="13138" width="14.5703125" style="716" bestFit="1" customWidth="1"/>
    <col min="13139" max="13139" width="12.42578125" style="716" bestFit="1" customWidth="1"/>
    <col min="13140" max="13140" width="51.28515625" style="716" bestFit="1" customWidth="1"/>
    <col min="13141" max="13141" width="14.85546875" style="716" bestFit="1" customWidth="1"/>
    <col min="13142" max="13142" width="25" style="716" bestFit="1" customWidth="1"/>
    <col min="13143" max="13144" width="12.28515625" style="716" bestFit="1" customWidth="1"/>
    <col min="13145" max="13145" width="24.7109375" style="716" bestFit="1" customWidth="1"/>
    <col min="13146" max="13146" width="15" style="716" bestFit="1" customWidth="1"/>
    <col min="13147" max="13391" width="9.140625" style="716"/>
    <col min="13392" max="13392" width="6.42578125" style="716" bestFit="1" customWidth="1"/>
    <col min="13393" max="13393" width="32" style="716" bestFit="1" customWidth="1"/>
    <col min="13394" max="13394" width="14.5703125" style="716" bestFit="1" customWidth="1"/>
    <col min="13395" max="13395" width="12.42578125" style="716" bestFit="1" customWidth="1"/>
    <col min="13396" max="13396" width="51.28515625" style="716" bestFit="1" customWidth="1"/>
    <col min="13397" max="13397" width="14.85546875" style="716" bestFit="1" customWidth="1"/>
    <col min="13398" max="13398" width="25" style="716" bestFit="1" customWidth="1"/>
    <col min="13399" max="13400" width="12.28515625" style="716" bestFit="1" customWidth="1"/>
    <col min="13401" max="13401" width="24.7109375" style="716" bestFit="1" customWidth="1"/>
    <col min="13402" max="13402" width="15" style="716" bestFit="1" customWidth="1"/>
    <col min="13403" max="13647" width="9.140625" style="716"/>
    <col min="13648" max="13648" width="6.42578125" style="716" bestFit="1" customWidth="1"/>
    <col min="13649" max="13649" width="32" style="716" bestFit="1" customWidth="1"/>
    <col min="13650" max="13650" width="14.5703125" style="716" bestFit="1" customWidth="1"/>
    <col min="13651" max="13651" width="12.42578125" style="716" bestFit="1" customWidth="1"/>
    <col min="13652" max="13652" width="51.28515625" style="716" bestFit="1" customWidth="1"/>
    <col min="13653" max="13653" width="14.85546875" style="716" bestFit="1" customWidth="1"/>
    <col min="13654" max="13654" width="25" style="716" bestFit="1" customWidth="1"/>
    <col min="13655" max="13656" width="12.28515625" style="716" bestFit="1" customWidth="1"/>
    <col min="13657" max="13657" width="24.7109375" style="716" bestFit="1" customWidth="1"/>
    <col min="13658" max="13658" width="15" style="716" bestFit="1" customWidth="1"/>
    <col min="13659" max="13903" width="9.140625" style="716"/>
    <col min="13904" max="13904" width="6.42578125" style="716" bestFit="1" customWidth="1"/>
    <col min="13905" max="13905" width="32" style="716" bestFit="1" customWidth="1"/>
    <col min="13906" max="13906" width="14.5703125" style="716" bestFit="1" customWidth="1"/>
    <col min="13907" max="13907" width="12.42578125" style="716" bestFit="1" customWidth="1"/>
    <col min="13908" max="13908" width="51.28515625" style="716" bestFit="1" customWidth="1"/>
    <col min="13909" max="13909" width="14.85546875" style="716" bestFit="1" customWidth="1"/>
    <col min="13910" max="13910" width="25" style="716" bestFit="1" customWidth="1"/>
    <col min="13911" max="13912" width="12.28515625" style="716" bestFit="1" customWidth="1"/>
    <col min="13913" max="13913" width="24.7109375" style="716" bestFit="1" customWidth="1"/>
    <col min="13914" max="13914" width="15" style="716" bestFit="1" customWidth="1"/>
    <col min="13915" max="14159" width="9.140625" style="716"/>
    <col min="14160" max="14160" width="6.42578125" style="716" bestFit="1" customWidth="1"/>
    <col min="14161" max="14161" width="32" style="716" bestFit="1" customWidth="1"/>
    <col min="14162" max="14162" width="14.5703125" style="716" bestFit="1" customWidth="1"/>
    <col min="14163" max="14163" width="12.42578125" style="716" bestFit="1" customWidth="1"/>
    <col min="14164" max="14164" width="51.28515625" style="716" bestFit="1" customWidth="1"/>
    <col min="14165" max="14165" width="14.85546875" style="716" bestFit="1" customWidth="1"/>
    <col min="14166" max="14166" width="25" style="716" bestFit="1" customWidth="1"/>
    <col min="14167" max="14168" width="12.28515625" style="716" bestFit="1" customWidth="1"/>
    <col min="14169" max="14169" width="24.7109375" style="716" bestFit="1" customWidth="1"/>
    <col min="14170" max="14170" width="15" style="716" bestFit="1" customWidth="1"/>
    <col min="14171" max="14415" width="9.140625" style="716"/>
    <col min="14416" max="14416" width="6.42578125" style="716" bestFit="1" customWidth="1"/>
    <col min="14417" max="14417" width="32" style="716" bestFit="1" customWidth="1"/>
    <col min="14418" max="14418" width="14.5703125" style="716" bestFit="1" customWidth="1"/>
    <col min="14419" max="14419" width="12.42578125" style="716" bestFit="1" customWidth="1"/>
    <col min="14420" max="14420" width="51.28515625" style="716" bestFit="1" customWidth="1"/>
    <col min="14421" max="14421" width="14.85546875" style="716" bestFit="1" customWidth="1"/>
    <col min="14422" max="14422" width="25" style="716" bestFit="1" customWidth="1"/>
    <col min="14423" max="14424" width="12.28515625" style="716" bestFit="1" customWidth="1"/>
    <col min="14425" max="14425" width="24.7109375" style="716" bestFit="1" customWidth="1"/>
    <col min="14426" max="14426" width="15" style="716" bestFit="1" customWidth="1"/>
    <col min="14427" max="14671" width="9.140625" style="716"/>
    <col min="14672" max="14672" width="6.42578125" style="716" bestFit="1" customWidth="1"/>
    <col min="14673" max="14673" width="32" style="716" bestFit="1" customWidth="1"/>
    <col min="14674" max="14674" width="14.5703125" style="716" bestFit="1" customWidth="1"/>
    <col min="14675" max="14675" width="12.42578125" style="716" bestFit="1" customWidth="1"/>
    <col min="14676" max="14676" width="51.28515625" style="716" bestFit="1" customWidth="1"/>
    <col min="14677" max="14677" width="14.85546875" style="716" bestFit="1" customWidth="1"/>
    <col min="14678" max="14678" width="25" style="716" bestFit="1" customWidth="1"/>
    <col min="14679" max="14680" width="12.28515625" style="716" bestFit="1" customWidth="1"/>
    <col min="14681" max="14681" width="24.7109375" style="716" bestFit="1" customWidth="1"/>
    <col min="14682" max="14682" width="15" style="716" bestFit="1" customWidth="1"/>
    <col min="14683" max="14927" width="9.140625" style="716"/>
    <col min="14928" max="14928" width="6.42578125" style="716" bestFit="1" customWidth="1"/>
    <col min="14929" max="14929" width="32" style="716" bestFit="1" customWidth="1"/>
    <col min="14930" max="14930" width="14.5703125" style="716" bestFit="1" customWidth="1"/>
    <col min="14931" max="14931" width="12.42578125" style="716" bestFit="1" customWidth="1"/>
    <col min="14932" max="14932" width="51.28515625" style="716" bestFit="1" customWidth="1"/>
    <col min="14933" max="14933" width="14.85546875" style="716" bestFit="1" customWidth="1"/>
    <col min="14934" max="14934" width="25" style="716" bestFit="1" customWidth="1"/>
    <col min="14935" max="14936" width="12.28515625" style="716" bestFit="1" customWidth="1"/>
    <col min="14937" max="14937" width="24.7109375" style="716" bestFit="1" customWidth="1"/>
    <col min="14938" max="14938" width="15" style="716" bestFit="1" customWidth="1"/>
    <col min="14939" max="15183" width="9.140625" style="716"/>
    <col min="15184" max="15184" width="6.42578125" style="716" bestFit="1" customWidth="1"/>
    <col min="15185" max="15185" width="32" style="716" bestFit="1" customWidth="1"/>
    <col min="15186" max="15186" width="14.5703125" style="716" bestFit="1" customWidth="1"/>
    <col min="15187" max="15187" width="12.42578125" style="716" bestFit="1" customWidth="1"/>
    <col min="15188" max="15188" width="51.28515625" style="716" bestFit="1" customWidth="1"/>
    <col min="15189" max="15189" width="14.85546875" style="716" bestFit="1" customWidth="1"/>
    <col min="15190" max="15190" width="25" style="716" bestFit="1" customWidth="1"/>
    <col min="15191" max="15192" width="12.28515625" style="716" bestFit="1" customWidth="1"/>
    <col min="15193" max="15193" width="24.7109375" style="716" bestFit="1" customWidth="1"/>
    <col min="15194" max="15194" width="15" style="716" bestFit="1" customWidth="1"/>
    <col min="15195" max="15439" width="9.140625" style="716"/>
    <col min="15440" max="15440" width="6.42578125" style="716" bestFit="1" customWidth="1"/>
    <col min="15441" max="15441" width="32" style="716" bestFit="1" customWidth="1"/>
    <col min="15442" max="15442" width="14.5703125" style="716" bestFit="1" customWidth="1"/>
    <col min="15443" max="15443" width="12.42578125" style="716" bestFit="1" customWidth="1"/>
    <col min="15444" max="15444" width="51.28515625" style="716" bestFit="1" customWidth="1"/>
    <col min="15445" max="15445" width="14.85546875" style="716" bestFit="1" customWidth="1"/>
    <col min="15446" max="15446" width="25" style="716" bestFit="1" customWidth="1"/>
    <col min="15447" max="15448" width="12.28515625" style="716" bestFit="1" customWidth="1"/>
    <col min="15449" max="15449" width="24.7109375" style="716" bestFit="1" customWidth="1"/>
    <col min="15450" max="15450" width="15" style="716" bestFit="1" customWidth="1"/>
    <col min="15451" max="15695" width="9.140625" style="716"/>
    <col min="15696" max="15696" width="6.42578125" style="716" bestFit="1" customWidth="1"/>
    <col min="15697" max="15697" width="32" style="716" bestFit="1" customWidth="1"/>
    <col min="15698" max="15698" width="14.5703125" style="716" bestFit="1" customWidth="1"/>
    <col min="15699" max="15699" width="12.42578125" style="716" bestFit="1" customWidth="1"/>
    <col min="15700" max="15700" width="51.28515625" style="716" bestFit="1" customWidth="1"/>
    <col min="15701" max="15701" width="14.85546875" style="716" bestFit="1" customWidth="1"/>
    <col min="15702" max="15702" width="25" style="716" bestFit="1" customWidth="1"/>
    <col min="15703" max="15704" width="12.28515625" style="716" bestFit="1" customWidth="1"/>
    <col min="15705" max="15705" width="24.7109375" style="716" bestFit="1" customWidth="1"/>
    <col min="15706" max="15706" width="15" style="716" bestFit="1" customWidth="1"/>
    <col min="15707" max="15951" width="9.140625" style="716"/>
    <col min="15952" max="15952" width="6.42578125" style="716" bestFit="1" customWidth="1"/>
    <col min="15953" max="15953" width="32" style="716" bestFit="1" customWidth="1"/>
    <col min="15954" max="15954" width="14.5703125" style="716" bestFit="1" customWidth="1"/>
    <col min="15955" max="15955" width="12.42578125" style="716" bestFit="1" customWidth="1"/>
    <col min="15956" max="15956" width="51.28515625" style="716" bestFit="1" customWidth="1"/>
    <col min="15957" max="15957" width="14.85546875" style="716" bestFit="1" customWidth="1"/>
    <col min="15958" max="15958" width="25" style="716" bestFit="1" customWidth="1"/>
    <col min="15959" max="15960" width="12.28515625" style="716" bestFit="1" customWidth="1"/>
    <col min="15961" max="15961" width="24.7109375" style="716" bestFit="1" customWidth="1"/>
    <col min="15962" max="15962" width="15" style="716" bestFit="1" customWidth="1"/>
    <col min="15963" max="16384" width="9.140625" style="716"/>
  </cols>
  <sheetData>
    <row r="1" spans="1:13" s="711" customFormat="1" ht="27.75" x14ac:dyDescent="0.5">
      <c r="A1" s="1116" t="s">
        <v>80</v>
      </c>
      <c r="B1" s="1116"/>
      <c r="C1" s="1116"/>
      <c r="D1" s="1116"/>
      <c r="E1" s="1116"/>
      <c r="F1" s="1116"/>
      <c r="G1" s="1116"/>
      <c r="H1" s="1116"/>
      <c r="I1" s="1116"/>
      <c r="J1" s="1116"/>
      <c r="K1" s="1116"/>
      <c r="L1" s="1116"/>
      <c r="M1" s="1116"/>
    </row>
    <row r="2" spans="1:13" s="711" customFormat="1" ht="27.75" x14ac:dyDescent="0.5">
      <c r="A2" s="1116" t="s">
        <v>733</v>
      </c>
      <c r="B2" s="1116"/>
      <c r="C2" s="1116"/>
      <c r="D2" s="1116"/>
      <c r="E2" s="1116"/>
      <c r="F2" s="1116"/>
      <c r="G2" s="1116"/>
      <c r="H2" s="1116"/>
      <c r="I2" s="1116"/>
      <c r="J2" s="1116"/>
      <c r="K2" s="1116"/>
      <c r="L2" s="1116"/>
      <c r="M2" s="1116"/>
    </row>
    <row r="3" spans="1:13" s="711" customFormat="1" ht="27.75" x14ac:dyDescent="0.5">
      <c r="A3" s="1117" t="str">
        <f>+งบรายจ่ายอื่น!A4</f>
        <v>ตั้งแต่วันที่ 1  ตุลาคม 2564 ถึงวันที่ 31 มกราคม 2565</v>
      </c>
      <c r="B3" s="1117"/>
      <c r="C3" s="1117"/>
      <c r="D3" s="1117"/>
      <c r="E3" s="1117"/>
      <c r="F3" s="1117"/>
      <c r="G3" s="1117"/>
      <c r="H3" s="1117"/>
      <c r="I3" s="1117"/>
      <c r="J3" s="1117"/>
      <c r="K3" s="1117"/>
      <c r="L3" s="1117"/>
      <c r="M3" s="1117"/>
    </row>
    <row r="4" spans="1:13" s="589" customFormat="1" x14ac:dyDescent="0.5">
      <c r="A4" s="731" t="s">
        <v>0</v>
      </c>
      <c r="B4" s="1222" t="s">
        <v>374</v>
      </c>
      <c r="C4" s="1224" t="s">
        <v>375</v>
      </c>
      <c r="D4" s="1224" t="s">
        <v>525</v>
      </c>
      <c r="E4" s="1226" t="s">
        <v>172</v>
      </c>
      <c r="F4" s="1222" t="s">
        <v>376</v>
      </c>
      <c r="G4" s="1228" t="s">
        <v>320</v>
      </c>
      <c r="H4" s="1222" t="s">
        <v>377</v>
      </c>
      <c r="I4" s="731" t="s">
        <v>17</v>
      </c>
      <c r="J4" s="1232" t="s">
        <v>535</v>
      </c>
      <c r="K4" s="751" t="s">
        <v>536</v>
      </c>
      <c r="L4" s="1228" t="s">
        <v>991</v>
      </c>
      <c r="M4" s="1221" t="s">
        <v>160</v>
      </c>
    </row>
    <row r="5" spans="1:13" s="589" customFormat="1" x14ac:dyDescent="0.5">
      <c r="A5" s="732" t="s">
        <v>58</v>
      </c>
      <c r="B5" s="1223"/>
      <c r="C5" s="1225"/>
      <c r="D5" s="1225"/>
      <c r="E5" s="1227"/>
      <c r="F5" s="1223"/>
      <c r="G5" s="1229"/>
      <c r="H5" s="1223"/>
      <c r="I5" s="732" t="s">
        <v>534</v>
      </c>
      <c r="J5" s="1233"/>
      <c r="K5" s="752" t="s">
        <v>81</v>
      </c>
      <c r="L5" s="1229"/>
      <c r="M5" s="1221"/>
    </row>
    <row r="6" spans="1:13" ht="35.25" customHeight="1" x14ac:dyDescent="0.5">
      <c r="A6" s="559">
        <v>1</v>
      </c>
      <c r="B6" s="560" t="s">
        <v>767</v>
      </c>
      <c r="C6" s="715">
        <v>1600600001</v>
      </c>
      <c r="D6" s="715">
        <v>6411220</v>
      </c>
      <c r="E6" s="788" t="s">
        <v>813</v>
      </c>
      <c r="F6" s="712">
        <v>7015339724</v>
      </c>
      <c r="G6" s="713" t="s">
        <v>775</v>
      </c>
      <c r="H6" s="714">
        <v>5000</v>
      </c>
      <c r="I6" s="508">
        <v>5000</v>
      </c>
      <c r="J6" s="508">
        <f t="shared" ref="J6:J61" si="0">+H6-I6</f>
        <v>0</v>
      </c>
      <c r="K6" s="510">
        <f t="shared" ref="K6:K65" si="1">+I6*100/H6</f>
        <v>100</v>
      </c>
      <c r="L6" s="791" t="s">
        <v>735</v>
      </c>
      <c r="M6" s="922"/>
    </row>
    <row r="7" spans="1:13" ht="35.25" customHeight="1" x14ac:dyDescent="0.5">
      <c r="A7" s="559">
        <v>2</v>
      </c>
      <c r="B7" s="560" t="s">
        <v>767</v>
      </c>
      <c r="C7" s="715">
        <v>1600600001</v>
      </c>
      <c r="D7" s="715">
        <v>6411220</v>
      </c>
      <c r="E7" s="788" t="s">
        <v>813</v>
      </c>
      <c r="F7" s="712">
        <v>7015357622</v>
      </c>
      <c r="G7" s="713" t="s">
        <v>776</v>
      </c>
      <c r="H7" s="714">
        <v>2000</v>
      </c>
      <c r="I7" s="508">
        <v>2000</v>
      </c>
      <c r="J7" s="508">
        <f t="shared" si="0"/>
        <v>0</v>
      </c>
      <c r="K7" s="510">
        <f t="shared" si="1"/>
        <v>100</v>
      </c>
      <c r="L7" s="791" t="s">
        <v>735</v>
      </c>
      <c r="M7" s="922"/>
    </row>
    <row r="8" spans="1:13" ht="48" x14ac:dyDescent="0.5">
      <c r="A8" s="559">
        <v>3</v>
      </c>
      <c r="B8" s="560" t="s">
        <v>767</v>
      </c>
      <c r="C8" s="715">
        <v>1600600001</v>
      </c>
      <c r="D8" s="715">
        <v>6411220</v>
      </c>
      <c r="E8" s="788" t="s">
        <v>810</v>
      </c>
      <c r="F8" s="712">
        <v>7015387887</v>
      </c>
      <c r="G8" s="713" t="s">
        <v>777</v>
      </c>
      <c r="H8" s="714">
        <v>1471200</v>
      </c>
      <c r="I8" s="508">
        <v>0</v>
      </c>
      <c r="J8" s="508">
        <f t="shared" si="0"/>
        <v>1471200</v>
      </c>
      <c r="K8" s="510">
        <f t="shared" si="1"/>
        <v>0</v>
      </c>
      <c r="L8" s="791" t="s">
        <v>736</v>
      </c>
      <c r="M8" s="948" t="s">
        <v>996</v>
      </c>
    </row>
    <row r="9" spans="1:13" ht="35.25" customHeight="1" x14ac:dyDescent="0.5">
      <c r="A9" s="559">
        <v>4</v>
      </c>
      <c r="B9" s="560" t="s">
        <v>767</v>
      </c>
      <c r="C9" s="715">
        <v>1600600001</v>
      </c>
      <c r="D9" s="715">
        <v>6411220</v>
      </c>
      <c r="E9" s="788" t="s">
        <v>813</v>
      </c>
      <c r="F9" s="712">
        <v>7016230039</v>
      </c>
      <c r="G9" s="713" t="s">
        <v>778</v>
      </c>
      <c r="H9" s="714">
        <v>499904</v>
      </c>
      <c r="I9" s="508">
        <v>499904</v>
      </c>
      <c r="J9" s="508">
        <f t="shared" si="0"/>
        <v>0</v>
      </c>
      <c r="K9" s="510">
        <f t="shared" si="1"/>
        <v>100</v>
      </c>
      <c r="L9" s="791" t="s">
        <v>737</v>
      </c>
      <c r="M9" s="922"/>
    </row>
    <row r="10" spans="1:13" ht="35.25" customHeight="1" x14ac:dyDescent="0.5">
      <c r="A10" s="559">
        <v>5</v>
      </c>
      <c r="B10" s="560" t="s">
        <v>767</v>
      </c>
      <c r="C10" s="715">
        <v>1600600001</v>
      </c>
      <c r="D10" s="715">
        <v>6411220</v>
      </c>
      <c r="E10" s="788" t="s">
        <v>813</v>
      </c>
      <c r="F10" s="712">
        <v>7016308766</v>
      </c>
      <c r="G10" s="713" t="s">
        <v>906</v>
      </c>
      <c r="H10" s="714">
        <v>490000</v>
      </c>
      <c r="I10" s="508">
        <v>490000</v>
      </c>
      <c r="J10" s="508">
        <f t="shared" si="0"/>
        <v>0</v>
      </c>
      <c r="K10" s="510">
        <f t="shared" si="1"/>
        <v>100</v>
      </c>
      <c r="L10" s="791" t="s">
        <v>738</v>
      </c>
      <c r="M10" s="922"/>
    </row>
    <row r="11" spans="1:13" ht="35.25" customHeight="1" x14ac:dyDescent="0.5">
      <c r="A11" s="559">
        <v>6</v>
      </c>
      <c r="B11" s="560" t="s">
        <v>767</v>
      </c>
      <c r="C11" s="715">
        <v>1600600001</v>
      </c>
      <c r="D11" s="715">
        <v>6411220</v>
      </c>
      <c r="E11" s="788" t="s">
        <v>810</v>
      </c>
      <c r="F11" s="712">
        <v>7016478163</v>
      </c>
      <c r="G11" s="713" t="s">
        <v>498</v>
      </c>
      <c r="H11" s="714">
        <v>2163700.5</v>
      </c>
      <c r="I11" s="508">
        <v>2163700.5</v>
      </c>
      <c r="J11" s="508">
        <f t="shared" si="0"/>
        <v>0</v>
      </c>
      <c r="K11" s="510">
        <f t="shared" si="1"/>
        <v>100</v>
      </c>
      <c r="L11" s="791" t="s">
        <v>739</v>
      </c>
      <c r="M11" s="922"/>
    </row>
    <row r="12" spans="1:13" ht="35.25" customHeight="1" x14ac:dyDescent="0.5">
      <c r="A12" s="559">
        <v>7</v>
      </c>
      <c r="B12" s="560" t="s">
        <v>767</v>
      </c>
      <c r="C12" s="715">
        <v>1600600001</v>
      </c>
      <c r="D12" s="715">
        <v>6411220</v>
      </c>
      <c r="E12" s="788" t="s">
        <v>813</v>
      </c>
      <c r="F12" s="712">
        <v>7016531079</v>
      </c>
      <c r="G12" s="713" t="s">
        <v>779</v>
      </c>
      <c r="H12" s="714">
        <v>98975</v>
      </c>
      <c r="I12" s="508">
        <v>98975</v>
      </c>
      <c r="J12" s="508">
        <f t="shared" si="0"/>
        <v>0</v>
      </c>
      <c r="K12" s="510">
        <f t="shared" si="1"/>
        <v>100</v>
      </c>
      <c r="L12" s="791" t="s">
        <v>740</v>
      </c>
      <c r="M12" s="922"/>
    </row>
    <row r="13" spans="1:13" ht="35.25" customHeight="1" x14ac:dyDescent="0.5">
      <c r="A13" s="559">
        <v>8</v>
      </c>
      <c r="B13" s="560" t="s">
        <v>767</v>
      </c>
      <c r="C13" s="715">
        <v>1600600001</v>
      </c>
      <c r="D13" s="715">
        <v>6411220</v>
      </c>
      <c r="E13" s="788" t="s">
        <v>813</v>
      </c>
      <c r="F13" s="712">
        <v>7016714610</v>
      </c>
      <c r="G13" s="713" t="s">
        <v>780</v>
      </c>
      <c r="H13" s="714">
        <v>460000</v>
      </c>
      <c r="I13" s="508">
        <v>460000</v>
      </c>
      <c r="J13" s="508">
        <f t="shared" si="0"/>
        <v>0</v>
      </c>
      <c r="K13" s="510">
        <f t="shared" si="1"/>
        <v>100</v>
      </c>
      <c r="L13" s="791" t="s">
        <v>741</v>
      </c>
      <c r="M13" s="922"/>
    </row>
    <row r="14" spans="1:13" ht="59.25" customHeight="1" x14ac:dyDescent="0.5">
      <c r="A14" s="559">
        <v>9</v>
      </c>
      <c r="B14" s="560" t="s">
        <v>767</v>
      </c>
      <c r="C14" s="715">
        <v>1600600001</v>
      </c>
      <c r="D14" s="715">
        <v>6411220</v>
      </c>
      <c r="E14" s="788" t="s">
        <v>813</v>
      </c>
      <c r="F14" s="712">
        <v>7016974568</v>
      </c>
      <c r="G14" s="713" t="s">
        <v>814</v>
      </c>
      <c r="H14" s="714">
        <v>140000</v>
      </c>
      <c r="I14" s="508">
        <v>0</v>
      </c>
      <c r="J14" s="508">
        <f t="shared" si="0"/>
        <v>140000</v>
      </c>
      <c r="K14" s="510">
        <f t="shared" si="1"/>
        <v>0</v>
      </c>
      <c r="L14" s="791" t="s">
        <v>742</v>
      </c>
      <c r="M14" s="948" t="s">
        <v>999</v>
      </c>
    </row>
    <row r="15" spans="1:13" ht="60" customHeight="1" x14ac:dyDescent="0.5">
      <c r="A15" s="559">
        <v>10</v>
      </c>
      <c r="B15" s="560" t="s">
        <v>767</v>
      </c>
      <c r="C15" s="715">
        <v>1600600001</v>
      </c>
      <c r="D15" s="715">
        <v>6411220</v>
      </c>
      <c r="E15" s="788" t="s">
        <v>813</v>
      </c>
      <c r="F15" s="712">
        <v>7016979517</v>
      </c>
      <c r="G15" s="713" t="s">
        <v>781</v>
      </c>
      <c r="H15" s="714">
        <v>498620</v>
      </c>
      <c r="I15" s="508">
        <v>0</v>
      </c>
      <c r="J15" s="508">
        <f t="shared" si="0"/>
        <v>498620</v>
      </c>
      <c r="K15" s="510">
        <f t="shared" si="1"/>
        <v>0</v>
      </c>
      <c r="L15" s="791" t="s">
        <v>742</v>
      </c>
      <c r="M15" s="948" t="s">
        <v>1000</v>
      </c>
    </row>
    <row r="16" spans="1:13" ht="35.25" customHeight="1" x14ac:dyDescent="0.5">
      <c r="A16" s="559">
        <v>11</v>
      </c>
      <c r="B16" s="560" t="s">
        <v>768</v>
      </c>
      <c r="C16" s="715">
        <v>1600600520</v>
      </c>
      <c r="D16" s="715">
        <v>6411220</v>
      </c>
      <c r="E16" s="788" t="s">
        <v>810</v>
      </c>
      <c r="F16" s="712">
        <v>7016982739</v>
      </c>
      <c r="G16" s="713" t="s">
        <v>821</v>
      </c>
      <c r="H16" s="714">
        <v>27100</v>
      </c>
      <c r="I16" s="508">
        <v>27100</v>
      </c>
      <c r="J16" s="508">
        <f t="shared" si="0"/>
        <v>0</v>
      </c>
      <c r="K16" s="510">
        <f t="shared" si="1"/>
        <v>100</v>
      </c>
      <c r="L16" s="791" t="s">
        <v>743</v>
      </c>
      <c r="M16" s="922"/>
    </row>
    <row r="17" spans="1:13" ht="35.25" customHeight="1" x14ac:dyDescent="0.5">
      <c r="A17" s="559">
        <v>12</v>
      </c>
      <c r="B17" s="560" t="s">
        <v>767</v>
      </c>
      <c r="C17" s="715">
        <v>1600600001</v>
      </c>
      <c r="D17" s="715">
        <v>6411230</v>
      </c>
      <c r="E17" s="788" t="s">
        <v>812</v>
      </c>
      <c r="F17" s="712">
        <v>7016662308</v>
      </c>
      <c r="G17" s="713" t="s">
        <v>782</v>
      </c>
      <c r="H17" s="714">
        <v>122000</v>
      </c>
      <c r="I17" s="508">
        <v>122000</v>
      </c>
      <c r="J17" s="508">
        <f t="shared" si="0"/>
        <v>0</v>
      </c>
      <c r="K17" s="510">
        <f t="shared" si="1"/>
        <v>100</v>
      </c>
      <c r="L17" s="791" t="s">
        <v>735</v>
      </c>
      <c r="M17" s="922"/>
    </row>
    <row r="18" spans="1:13" ht="35.25" customHeight="1" x14ac:dyDescent="0.5">
      <c r="A18" s="559">
        <v>13</v>
      </c>
      <c r="B18" s="560" t="s">
        <v>767</v>
      </c>
      <c r="C18" s="715">
        <v>1600600001</v>
      </c>
      <c r="D18" s="715">
        <v>6411230</v>
      </c>
      <c r="E18" s="788" t="s">
        <v>812</v>
      </c>
      <c r="F18" s="712">
        <v>7016822238</v>
      </c>
      <c r="G18" s="713" t="s">
        <v>783</v>
      </c>
      <c r="H18" s="714">
        <v>24984.5</v>
      </c>
      <c r="I18" s="508">
        <v>24984.5</v>
      </c>
      <c r="J18" s="508">
        <f t="shared" si="0"/>
        <v>0</v>
      </c>
      <c r="K18" s="510">
        <f t="shared" si="1"/>
        <v>100</v>
      </c>
      <c r="L18" s="791" t="s">
        <v>740</v>
      </c>
      <c r="M18" s="922"/>
    </row>
    <row r="19" spans="1:13" ht="59.25" customHeight="1" x14ac:dyDescent="0.5">
      <c r="A19" s="559">
        <v>14</v>
      </c>
      <c r="B19" s="560" t="s">
        <v>767</v>
      </c>
      <c r="C19" s="715">
        <v>1600600001</v>
      </c>
      <c r="D19" s="715">
        <v>6411230</v>
      </c>
      <c r="E19" s="788" t="s">
        <v>810</v>
      </c>
      <c r="F19" s="712">
        <v>7016970257</v>
      </c>
      <c r="G19" s="713" t="s">
        <v>811</v>
      </c>
      <c r="H19" s="714">
        <v>2986406</v>
      </c>
      <c r="I19" s="508">
        <v>0</v>
      </c>
      <c r="J19" s="508">
        <f t="shared" si="0"/>
        <v>2986406</v>
      </c>
      <c r="K19" s="510">
        <f t="shared" si="1"/>
        <v>0</v>
      </c>
      <c r="L19" s="791" t="s">
        <v>742</v>
      </c>
      <c r="M19" s="948" t="s">
        <v>1001</v>
      </c>
    </row>
    <row r="20" spans="1:13" ht="35.25" customHeight="1" x14ac:dyDescent="0.5">
      <c r="A20" s="559">
        <v>15</v>
      </c>
      <c r="B20" s="560" t="s">
        <v>769</v>
      </c>
      <c r="C20" s="715">
        <v>1600600204</v>
      </c>
      <c r="D20" s="715">
        <v>6411230</v>
      </c>
      <c r="E20" s="788" t="s">
        <v>810</v>
      </c>
      <c r="F20" s="712">
        <v>7016957818</v>
      </c>
      <c r="G20" s="713" t="s">
        <v>809</v>
      </c>
      <c r="H20" s="714">
        <v>32500</v>
      </c>
      <c r="I20" s="508">
        <v>32500</v>
      </c>
      <c r="J20" s="508">
        <f t="shared" si="0"/>
        <v>0</v>
      </c>
      <c r="K20" s="510">
        <f t="shared" si="1"/>
        <v>100</v>
      </c>
      <c r="L20" s="791" t="s">
        <v>744</v>
      </c>
      <c r="M20" s="922"/>
    </row>
    <row r="21" spans="1:13" ht="35.25" customHeight="1" x14ac:dyDescent="0.5">
      <c r="A21" s="559">
        <v>16</v>
      </c>
      <c r="B21" s="560" t="s">
        <v>767</v>
      </c>
      <c r="C21" s="715">
        <v>1600600001</v>
      </c>
      <c r="D21" s="715">
        <v>6411240</v>
      </c>
      <c r="E21" s="788" t="s">
        <v>810</v>
      </c>
      <c r="F21" s="712">
        <v>7015636698</v>
      </c>
      <c r="G21" s="713" t="s">
        <v>522</v>
      </c>
      <c r="H21" s="714">
        <v>218000</v>
      </c>
      <c r="I21" s="508">
        <v>218000</v>
      </c>
      <c r="J21" s="508">
        <f t="shared" si="0"/>
        <v>0</v>
      </c>
      <c r="K21" s="510">
        <f t="shared" si="1"/>
        <v>100</v>
      </c>
      <c r="L21" s="791" t="s">
        <v>735</v>
      </c>
      <c r="M21" s="922"/>
    </row>
    <row r="22" spans="1:13" s="57" customFormat="1" ht="35.25" customHeight="1" x14ac:dyDescent="0.5">
      <c r="A22" s="1231" t="s">
        <v>532</v>
      </c>
      <c r="B22" s="1231"/>
      <c r="C22" s="1231"/>
      <c r="D22" s="1231"/>
      <c r="E22" s="1231"/>
      <c r="F22" s="1231"/>
      <c r="G22" s="1231"/>
      <c r="H22" s="576">
        <f>SUM(H6:H21)</f>
        <v>9240390</v>
      </c>
      <c r="I22" s="71">
        <f t="shared" ref="I22:J22" si="2">SUM(I6:I21)</f>
        <v>4144164</v>
      </c>
      <c r="J22" s="576">
        <f t="shared" si="2"/>
        <v>5096226</v>
      </c>
      <c r="K22" s="71"/>
      <c r="L22" s="573"/>
      <c r="M22" s="70"/>
    </row>
    <row r="23" spans="1:13" ht="96" x14ac:dyDescent="0.5">
      <c r="A23" s="559">
        <v>17</v>
      </c>
      <c r="B23" s="560" t="s">
        <v>767</v>
      </c>
      <c r="C23" s="715">
        <v>1600600001</v>
      </c>
      <c r="D23" s="715">
        <v>6411310</v>
      </c>
      <c r="E23" s="789" t="s">
        <v>803</v>
      </c>
      <c r="F23" s="712">
        <v>7015844305</v>
      </c>
      <c r="G23" s="719" t="s">
        <v>800</v>
      </c>
      <c r="H23" s="714">
        <v>640000</v>
      </c>
      <c r="I23" s="508">
        <v>640000</v>
      </c>
      <c r="J23" s="508">
        <f t="shared" si="0"/>
        <v>0</v>
      </c>
      <c r="K23" s="510">
        <f t="shared" si="1"/>
        <v>100</v>
      </c>
      <c r="L23" s="791" t="s">
        <v>745</v>
      </c>
      <c r="M23" s="922"/>
    </row>
    <row r="24" spans="1:13" ht="48" x14ac:dyDescent="0.5">
      <c r="A24" s="559">
        <v>18</v>
      </c>
      <c r="B24" s="560" t="s">
        <v>767</v>
      </c>
      <c r="C24" s="715">
        <v>1600600001</v>
      </c>
      <c r="D24" s="715">
        <v>6411310</v>
      </c>
      <c r="E24" s="788" t="s">
        <v>807</v>
      </c>
      <c r="F24" s="712">
        <v>7015930579</v>
      </c>
      <c r="G24" s="719" t="s">
        <v>808</v>
      </c>
      <c r="H24" s="714">
        <v>74632.5</v>
      </c>
      <c r="I24" s="508">
        <v>74632.5</v>
      </c>
      <c r="J24" s="508">
        <f t="shared" si="0"/>
        <v>0</v>
      </c>
      <c r="K24" s="510">
        <f t="shared" si="1"/>
        <v>100</v>
      </c>
      <c r="L24" s="791" t="s">
        <v>746</v>
      </c>
      <c r="M24" s="922"/>
    </row>
    <row r="25" spans="1:13" ht="48" x14ac:dyDescent="0.5">
      <c r="A25" s="559">
        <v>19</v>
      </c>
      <c r="B25" s="560" t="s">
        <v>767</v>
      </c>
      <c r="C25" s="715">
        <v>1600600001</v>
      </c>
      <c r="D25" s="715">
        <v>6411310</v>
      </c>
      <c r="E25" s="561" t="s">
        <v>799</v>
      </c>
      <c r="F25" s="712">
        <v>7016660216</v>
      </c>
      <c r="G25" s="720" t="s">
        <v>798</v>
      </c>
      <c r="H25" s="714">
        <v>93000</v>
      </c>
      <c r="I25" s="508">
        <v>93000</v>
      </c>
      <c r="J25" s="508">
        <f t="shared" si="0"/>
        <v>0</v>
      </c>
      <c r="K25" s="510">
        <f t="shared" si="1"/>
        <v>100</v>
      </c>
      <c r="L25" s="791" t="s">
        <v>747</v>
      </c>
      <c r="M25" s="922"/>
    </row>
    <row r="26" spans="1:13" ht="72" x14ac:dyDescent="0.5">
      <c r="A26" s="559">
        <v>20</v>
      </c>
      <c r="B26" s="560" t="s">
        <v>767</v>
      </c>
      <c r="C26" s="715">
        <v>1600600001</v>
      </c>
      <c r="D26" s="715">
        <v>6411310</v>
      </c>
      <c r="E26" s="561" t="s">
        <v>791</v>
      </c>
      <c r="F26" s="712">
        <v>7016796065</v>
      </c>
      <c r="G26" s="721" t="s">
        <v>914</v>
      </c>
      <c r="H26" s="714">
        <v>477090</v>
      </c>
      <c r="I26" s="508">
        <v>477090</v>
      </c>
      <c r="J26" s="508">
        <f t="shared" si="0"/>
        <v>0</v>
      </c>
      <c r="K26" s="510">
        <f t="shared" si="1"/>
        <v>100</v>
      </c>
      <c r="L26" s="791" t="s">
        <v>748</v>
      </c>
      <c r="M26" s="922"/>
    </row>
    <row r="27" spans="1:13" ht="72" x14ac:dyDescent="0.5">
      <c r="A27" s="559">
        <v>21</v>
      </c>
      <c r="B27" s="560" t="s">
        <v>767</v>
      </c>
      <c r="C27" s="715">
        <v>1600600001</v>
      </c>
      <c r="D27" s="715">
        <v>6411310</v>
      </c>
      <c r="E27" s="561" t="s">
        <v>793</v>
      </c>
      <c r="F27" s="712">
        <v>7016870530</v>
      </c>
      <c r="G27" s="721" t="s">
        <v>792</v>
      </c>
      <c r="H27" s="714">
        <v>498000</v>
      </c>
      <c r="I27" s="508">
        <f>498000-323700</f>
        <v>174300</v>
      </c>
      <c r="J27" s="508">
        <f t="shared" si="0"/>
        <v>323700</v>
      </c>
      <c r="K27" s="510">
        <f t="shared" si="1"/>
        <v>35</v>
      </c>
      <c r="L27" s="791" t="s">
        <v>749</v>
      </c>
      <c r="M27" s="948" t="s">
        <v>992</v>
      </c>
    </row>
    <row r="28" spans="1:13" ht="60" customHeight="1" x14ac:dyDescent="0.5">
      <c r="A28" s="559">
        <v>22</v>
      </c>
      <c r="B28" s="560" t="s">
        <v>767</v>
      </c>
      <c r="C28" s="715">
        <v>1600600001</v>
      </c>
      <c r="D28" s="715">
        <v>6411310</v>
      </c>
      <c r="E28" s="561" t="s">
        <v>794</v>
      </c>
      <c r="F28" s="712">
        <v>7016872205</v>
      </c>
      <c r="G28" s="721" t="s">
        <v>795</v>
      </c>
      <c r="H28" s="714">
        <v>481500</v>
      </c>
      <c r="I28" s="508">
        <f>+H28-409275</f>
        <v>72225</v>
      </c>
      <c r="J28" s="508">
        <f t="shared" si="0"/>
        <v>409275</v>
      </c>
      <c r="K28" s="510">
        <f t="shared" si="1"/>
        <v>15</v>
      </c>
      <c r="L28" s="791" t="s">
        <v>750</v>
      </c>
      <c r="M28" s="948" t="s">
        <v>992</v>
      </c>
    </row>
    <row r="29" spans="1:13" ht="90.75" customHeight="1" x14ac:dyDescent="0.5">
      <c r="A29" s="559">
        <v>23</v>
      </c>
      <c r="B29" s="560" t="s">
        <v>767</v>
      </c>
      <c r="C29" s="715">
        <v>1600600001</v>
      </c>
      <c r="D29" s="715">
        <v>6411310</v>
      </c>
      <c r="E29" s="561" t="s">
        <v>796</v>
      </c>
      <c r="F29" s="712">
        <v>7016901578</v>
      </c>
      <c r="G29" s="721" t="s">
        <v>797</v>
      </c>
      <c r="H29" s="714">
        <v>492200</v>
      </c>
      <c r="I29" s="508">
        <f>+H29-418370</f>
        <v>73830</v>
      </c>
      <c r="J29" s="508">
        <f t="shared" si="0"/>
        <v>418370</v>
      </c>
      <c r="K29" s="510">
        <f t="shared" si="1"/>
        <v>15</v>
      </c>
      <c r="L29" s="791" t="s">
        <v>751</v>
      </c>
      <c r="M29" s="948" t="s">
        <v>993</v>
      </c>
    </row>
    <row r="30" spans="1:13" ht="96" x14ac:dyDescent="0.5">
      <c r="A30" s="559">
        <v>24</v>
      </c>
      <c r="B30" s="560" t="s">
        <v>767</v>
      </c>
      <c r="C30" s="715">
        <v>1600600001</v>
      </c>
      <c r="D30" s="715">
        <v>6411310</v>
      </c>
      <c r="E30" s="561" t="s">
        <v>791</v>
      </c>
      <c r="F30" s="712">
        <v>7016936892</v>
      </c>
      <c r="G30" s="721" t="s">
        <v>790</v>
      </c>
      <c r="H30" s="714">
        <v>486850</v>
      </c>
      <c r="I30" s="508">
        <f>486850-73027.5</f>
        <v>413822.5</v>
      </c>
      <c r="J30" s="508">
        <f t="shared" si="0"/>
        <v>73027.5</v>
      </c>
      <c r="K30" s="510">
        <f t="shared" si="1"/>
        <v>85</v>
      </c>
      <c r="L30" s="791" t="s">
        <v>751</v>
      </c>
      <c r="M30" s="948" t="s">
        <v>993</v>
      </c>
    </row>
    <row r="31" spans="1:13" ht="48" x14ac:dyDescent="0.5">
      <c r="A31" s="559">
        <v>25</v>
      </c>
      <c r="B31" s="560" t="s">
        <v>767</v>
      </c>
      <c r="C31" s="715">
        <v>1600600001</v>
      </c>
      <c r="D31" s="715">
        <v>6411310</v>
      </c>
      <c r="E31" s="788" t="s">
        <v>801</v>
      </c>
      <c r="F31" s="712">
        <v>7016974167</v>
      </c>
      <c r="G31" s="719" t="s">
        <v>802</v>
      </c>
      <c r="H31" s="714">
        <v>385200</v>
      </c>
      <c r="I31" s="508">
        <v>0</v>
      </c>
      <c r="J31" s="508">
        <f t="shared" si="0"/>
        <v>385200</v>
      </c>
      <c r="K31" s="510">
        <f t="shared" si="1"/>
        <v>0</v>
      </c>
      <c r="L31" s="791" t="s">
        <v>752</v>
      </c>
      <c r="M31" s="948" t="s">
        <v>998</v>
      </c>
    </row>
    <row r="32" spans="1:13" ht="96" x14ac:dyDescent="0.5">
      <c r="A32" s="559">
        <v>26</v>
      </c>
      <c r="B32" s="560" t="s">
        <v>770</v>
      </c>
      <c r="C32" s="715">
        <v>1600600021</v>
      </c>
      <c r="D32" s="715">
        <v>6411310</v>
      </c>
      <c r="E32" s="789" t="s">
        <v>804</v>
      </c>
      <c r="F32" s="712">
        <v>7016688441</v>
      </c>
      <c r="G32" s="710" t="s">
        <v>915</v>
      </c>
      <c r="H32" s="714">
        <v>34450</v>
      </c>
      <c r="I32" s="508">
        <v>34450</v>
      </c>
      <c r="J32" s="508">
        <f t="shared" si="0"/>
        <v>0</v>
      </c>
      <c r="K32" s="510">
        <f t="shared" si="1"/>
        <v>100</v>
      </c>
      <c r="L32" s="791" t="s">
        <v>753</v>
      </c>
      <c r="M32" s="922"/>
    </row>
    <row r="33" spans="1:13" ht="29.25" customHeight="1" x14ac:dyDescent="0.5">
      <c r="A33" s="559">
        <v>27</v>
      </c>
      <c r="B33" s="560" t="s">
        <v>385</v>
      </c>
      <c r="C33" s="715">
        <v>1600600052</v>
      </c>
      <c r="D33" s="715">
        <v>6411310</v>
      </c>
      <c r="E33" s="561" t="s">
        <v>806</v>
      </c>
      <c r="F33" s="712">
        <v>7016717630</v>
      </c>
      <c r="G33" s="710" t="s">
        <v>805</v>
      </c>
      <c r="H33" s="714">
        <v>15180</v>
      </c>
      <c r="I33" s="508">
        <v>15180</v>
      </c>
      <c r="J33" s="508">
        <f t="shared" si="0"/>
        <v>0</v>
      </c>
      <c r="K33" s="510">
        <f t="shared" si="1"/>
        <v>100</v>
      </c>
      <c r="L33" s="791" t="s">
        <v>735</v>
      </c>
      <c r="M33" s="922"/>
    </row>
    <row r="34" spans="1:13" ht="54" customHeight="1" x14ac:dyDescent="0.5">
      <c r="A34" s="559">
        <v>28</v>
      </c>
      <c r="B34" s="560" t="s">
        <v>767</v>
      </c>
      <c r="C34" s="715">
        <v>1600600001</v>
      </c>
      <c r="D34" s="715">
        <v>6411320</v>
      </c>
      <c r="E34" s="788" t="s">
        <v>584</v>
      </c>
      <c r="F34" s="712">
        <v>2000536758</v>
      </c>
      <c r="G34" s="722" t="s">
        <v>592</v>
      </c>
      <c r="H34" s="714">
        <v>5141555</v>
      </c>
      <c r="I34" s="508">
        <v>0</v>
      </c>
      <c r="J34" s="508">
        <f t="shared" si="0"/>
        <v>5141555</v>
      </c>
      <c r="K34" s="510">
        <f t="shared" si="1"/>
        <v>0</v>
      </c>
      <c r="L34" s="946" t="s">
        <v>1026</v>
      </c>
      <c r="M34" s="922"/>
    </row>
    <row r="35" spans="1:13" ht="96" x14ac:dyDescent="0.5">
      <c r="A35" s="559">
        <v>29</v>
      </c>
      <c r="B35" s="560" t="s">
        <v>767</v>
      </c>
      <c r="C35" s="715">
        <v>1600600001</v>
      </c>
      <c r="D35" s="715">
        <v>6411320</v>
      </c>
      <c r="E35" s="788" t="s">
        <v>583</v>
      </c>
      <c r="F35" s="712">
        <v>2000544930</v>
      </c>
      <c r="G35" s="722" t="s">
        <v>904</v>
      </c>
      <c r="H35" s="714">
        <v>14508000</v>
      </c>
      <c r="I35" s="508">
        <v>0</v>
      </c>
      <c r="J35" s="508">
        <f t="shared" si="0"/>
        <v>14508000</v>
      </c>
      <c r="K35" s="510">
        <f t="shared" si="1"/>
        <v>0</v>
      </c>
      <c r="L35" s="946" t="s">
        <v>1027</v>
      </c>
      <c r="M35" s="922"/>
    </row>
    <row r="36" spans="1:13" ht="48" x14ac:dyDescent="0.5">
      <c r="A36" s="559">
        <v>30</v>
      </c>
      <c r="B36" s="560" t="s">
        <v>767</v>
      </c>
      <c r="C36" s="715">
        <v>1600600001</v>
      </c>
      <c r="D36" s="715">
        <v>6411320</v>
      </c>
      <c r="E36" s="788" t="s">
        <v>587</v>
      </c>
      <c r="F36" s="712">
        <v>2000544933</v>
      </c>
      <c r="G36" s="722" t="s">
        <v>595</v>
      </c>
      <c r="H36" s="714">
        <v>27525700</v>
      </c>
      <c r="I36" s="508">
        <f>+H36-15735700</f>
        <v>11790000</v>
      </c>
      <c r="J36" s="508">
        <f t="shared" si="0"/>
        <v>15735700</v>
      </c>
      <c r="K36" s="510">
        <f t="shared" si="1"/>
        <v>42.832698169347189</v>
      </c>
      <c r="L36" s="791" t="s">
        <v>754</v>
      </c>
      <c r="M36" s="922"/>
    </row>
    <row r="37" spans="1:13" ht="52.5" customHeight="1" x14ac:dyDescent="0.5">
      <c r="A37" s="559">
        <v>31</v>
      </c>
      <c r="B37" s="560" t="s">
        <v>767</v>
      </c>
      <c r="C37" s="715">
        <v>1600600001</v>
      </c>
      <c r="D37" s="715">
        <v>6411320</v>
      </c>
      <c r="E37" s="788" t="s">
        <v>590</v>
      </c>
      <c r="F37" s="712">
        <v>2000544935</v>
      </c>
      <c r="G37" s="722" t="s">
        <v>598</v>
      </c>
      <c r="H37" s="714">
        <v>35709073</v>
      </c>
      <c r="I37" s="508">
        <v>0</v>
      </c>
      <c r="J37" s="508">
        <f t="shared" si="0"/>
        <v>35709073</v>
      </c>
      <c r="K37" s="510">
        <f t="shared" si="1"/>
        <v>0</v>
      </c>
      <c r="L37" s="791" t="s">
        <v>511</v>
      </c>
      <c r="M37" s="922"/>
    </row>
    <row r="38" spans="1:13" ht="51.75" customHeight="1" x14ac:dyDescent="0.5">
      <c r="A38" s="559">
        <v>32</v>
      </c>
      <c r="B38" s="560" t="s">
        <v>767</v>
      </c>
      <c r="C38" s="715">
        <v>1600600001</v>
      </c>
      <c r="D38" s="715">
        <v>6411320</v>
      </c>
      <c r="E38" s="788" t="s">
        <v>588</v>
      </c>
      <c r="F38" s="712">
        <v>2000545217</v>
      </c>
      <c r="G38" s="722" t="s">
        <v>596</v>
      </c>
      <c r="H38" s="714">
        <v>10872000</v>
      </c>
      <c r="I38" s="508">
        <f>10872000-7572800</f>
        <v>3299200</v>
      </c>
      <c r="J38" s="508">
        <f t="shared" si="0"/>
        <v>7572800</v>
      </c>
      <c r="K38" s="510">
        <f t="shared" si="1"/>
        <v>30.345842531272996</v>
      </c>
      <c r="L38" s="791" t="s">
        <v>1028</v>
      </c>
      <c r="M38" s="922"/>
    </row>
    <row r="39" spans="1:13" ht="72" x14ac:dyDescent="0.5">
      <c r="A39" s="559">
        <v>33</v>
      </c>
      <c r="B39" s="560" t="s">
        <v>385</v>
      </c>
      <c r="C39" s="715">
        <v>1600600052</v>
      </c>
      <c r="D39" s="715">
        <v>6411320</v>
      </c>
      <c r="E39" s="788" t="s">
        <v>580</v>
      </c>
      <c r="F39" s="712">
        <v>7015551847</v>
      </c>
      <c r="G39" s="722" t="s">
        <v>878</v>
      </c>
      <c r="H39" s="714">
        <v>869050</v>
      </c>
      <c r="I39" s="508">
        <f>+H39-401100</f>
        <v>467950</v>
      </c>
      <c r="J39" s="508">
        <f>+H39-I39</f>
        <v>401100</v>
      </c>
      <c r="K39" s="510">
        <f t="shared" si="1"/>
        <v>53.846153846153847</v>
      </c>
      <c r="L39" s="791" t="s">
        <v>755</v>
      </c>
      <c r="M39" s="922"/>
    </row>
    <row r="40" spans="1:13" ht="48" x14ac:dyDescent="0.5">
      <c r="A40" s="559">
        <v>34</v>
      </c>
      <c r="B40" s="560" t="s">
        <v>366</v>
      </c>
      <c r="C40" s="715">
        <v>1600600094</v>
      </c>
      <c r="D40" s="715">
        <v>6411320</v>
      </c>
      <c r="E40" s="788" t="s">
        <v>589</v>
      </c>
      <c r="F40" s="712">
        <v>2000488807</v>
      </c>
      <c r="G40" s="722" t="s">
        <v>597</v>
      </c>
      <c r="H40" s="714">
        <v>1157091.2</v>
      </c>
      <c r="I40" s="508">
        <v>1157091.2</v>
      </c>
      <c r="J40" s="508">
        <f t="shared" si="0"/>
        <v>0</v>
      </c>
      <c r="K40" s="510">
        <f t="shared" si="1"/>
        <v>100</v>
      </c>
      <c r="L40" s="791" t="s">
        <v>756</v>
      </c>
      <c r="M40" s="922"/>
    </row>
    <row r="41" spans="1:13" ht="57.75" customHeight="1" x14ac:dyDescent="0.5">
      <c r="A41" s="559">
        <v>35</v>
      </c>
      <c r="B41" s="560" t="s">
        <v>366</v>
      </c>
      <c r="C41" s="715">
        <v>1600600094</v>
      </c>
      <c r="D41" s="715">
        <v>6411320</v>
      </c>
      <c r="E41" s="788" t="s">
        <v>589</v>
      </c>
      <c r="F41" s="712">
        <v>2000523379</v>
      </c>
      <c r="G41" s="722" t="s">
        <v>597</v>
      </c>
      <c r="H41" s="714">
        <v>1891891.2</v>
      </c>
      <c r="I41" s="508">
        <f>1891891.2-1731414.4</f>
        <v>160476.80000000005</v>
      </c>
      <c r="J41" s="508">
        <f t="shared" si="0"/>
        <v>1731414.4</v>
      </c>
      <c r="K41" s="510">
        <f t="shared" si="1"/>
        <v>8.4823482449730747</v>
      </c>
      <c r="L41" s="791" t="s">
        <v>756</v>
      </c>
      <c r="M41" s="922"/>
    </row>
    <row r="42" spans="1:13" ht="55.5" customHeight="1" x14ac:dyDescent="0.5">
      <c r="A42" s="559">
        <v>36</v>
      </c>
      <c r="B42" s="560" t="s">
        <v>366</v>
      </c>
      <c r="C42" s="715">
        <v>1600600094</v>
      </c>
      <c r="D42" s="715">
        <v>6411320</v>
      </c>
      <c r="E42" s="788" t="s">
        <v>589</v>
      </c>
      <c r="F42" s="712">
        <v>2000545471</v>
      </c>
      <c r="G42" s="722" t="s">
        <v>597</v>
      </c>
      <c r="H42" s="714">
        <v>4000000</v>
      </c>
      <c r="I42" s="508">
        <v>0</v>
      </c>
      <c r="J42" s="508">
        <f t="shared" si="0"/>
        <v>4000000</v>
      </c>
      <c r="K42" s="510">
        <f t="shared" si="1"/>
        <v>0</v>
      </c>
      <c r="L42" s="791" t="s">
        <v>756</v>
      </c>
      <c r="M42" s="922"/>
    </row>
    <row r="43" spans="1:13" ht="54" customHeight="1" x14ac:dyDescent="0.5">
      <c r="A43" s="559">
        <v>37</v>
      </c>
      <c r="B43" s="560" t="s">
        <v>366</v>
      </c>
      <c r="C43" s="715">
        <v>1600600094</v>
      </c>
      <c r="D43" s="715">
        <v>6411320</v>
      </c>
      <c r="E43" s="788" t="s">
        <v>589</v>
      </c>
      <c r="F43" s="712">
        <v>2000545475</v>
      </c>
      <c r="G43" s="722" t="s">
        <v>597</v>
      </c>
      <c r="H43" s="714">
        <v>8000000</v>
      </c>
      <c r="I43" s="508">
        <v>0</v>
      </c>
      <c r="J43" s="508">
        <f t="shared" si="0"/>
        <v>8000000</v>
      </c>
      <c r="K43" s="510">
        <f t="shared" si="1"/>
        <v>0</v>
      </c>
      <c r="L43" s="791" t="s">
        <v>756</v>
      </c>
      <c r="M43" s="922"/>
    </row>
    <row r="44" spans="1:13" ht="76.5" customHeight="1" x14ac:dyDescent="0.5">
      <c r="A44" s="559">
        <v>38</v>
      </c>
      <c r="B44" s="560" t="s">
        <v>771</v>
      </c>
      <c r="C44" s="715">
        <v>1600600100</v>
      </c>
      <c r="D44" s="715">
        <v>6411320</v>
      </c>
      <c r="E44" s="788" t="s">
        <v>570</v>
      </c>
      <c r="F44" s="712">
        <v>7015519780</v>
      </c>
      <c r="G44" s="722" t="s">
        <v>916</v>
      </c>
      <c r="H44" s="714">
        <v>5123000</v>
      </c>
      <c r="I44" s="508">
        <f>+H44-4414500</f>
        <v>708500</v>
      </c>
      <c r="J44" s="508">
        <f t="shared" si="0"/>
        <v>4414500</v>
      </c>
      <c r="K44" s="510">
        <f t="shared" si="1"/>
        <v>13.829787234042554</v>
      </c>
      <c r="L44" s="791" t="s">
        <v>735</v>
      </c>
      <c r="M44" s="922"/>
    </row>
    <row r="45" spans="1:13" ht="54" customHeight="1" x14ac:dyDescent="0.5">
      <c r="A45" s="559">
        <v>39</v>
      </c>
      <c r="B45" s="560" t="s">
        <v>772</v>
      </c>
      <c r="C45" s="715">
        <v>1600600108</v>
      </c>
      <c r="D45" s="715">
        <v>6411320</v>
      </c>
      <c r="E45" s="788" t="s">
        <v>693</v>
      </c>
      <c r="F45" s="712">
        <v>7016565486</v>
      </c>
      <c r="G45" s="509" t="s">
        <v>694</v>
      </c>
      <c r="H45" s="714">
        <v>499000</v>
      </c>
      <c r="I45" s="508">
        <v>499000</v>
      </c>
      <c r="J45" s="508">
        <f t="shared" si="0"/>
        <v>0</v>
      </c>
      <c r="K45" s="510">
        <f t="shared" si="1"/>
        <v>100</v>
      </c>
      <c r="L45" s="791" t="s">
        <v>757</v>
      </c>
      <c r="M45" s="922"/>
    </row>
    <row r="46" spans="1:13" ht="51" customHeight="1" x14ac:dyDescent="0.5">
      <c r="A46" s="559">
        <v>40</v>
      </c>
      <c r="B46" s="560" t="s">
        <v>769</v>
      </c>
      <c r="C46" s="715">
        <v>1600600204</v>
      </c>
      <c r="D46" s="715">
        <v>6411320</v>
      </c>
      <c r="E46" s="561" t="s">
        <v>710</v>
      </c>
      <c r="F46" s="712">
        <v>7016760124</v>
      </c>
      <c r="G46" s="723" t="s">
        <v>713</v>
      </c>
      <c r="H46" s="714">
        <v>197393</v>
      </c>
      <c r="I46" s="508">
        <v>197393</v>
      </c>
      <c r="J46" s="508">
        <f t="shared" si="0"/>
        <v>0</v>
      </c>
      <c r="K46" s="510">
        <f t="shared" si="1"/>
        <v>100</v>
      </c>
      <c r="L46" s="791" t="s">
        <v>735</v>
      </c>
      <c r="M46" s="922"/>
    </row>
    <row r="47" spans="1:13" ht="51.75" customHeight="1" x14ac:dyDescent="0.5">
      <c r="A47" s="559">
        <v>41</v>
      </c>
      <c r="B47" s="560" t="s">
        <v>769</v>
      </c>
      <c r="C47" s="715">
        <v>1600600204</v>
      </c>
      <c r="D47" s="715">
        <v>6411320</v>
      </c>
      <c r="E47" s="561" t="s">
        <v>711</v>
      </c>
      <c r="F47" s="712">
        <v>7016957441</v>
      </c>
      <c r="G47" s="723" t="s">
        <v>714</v>
      </c>
      <c r="H47" s="714">
        <v>158161.69</v>
      </c>
      <c r="I47" s="508">
        <v>158161.69</v>
      </c>
      <c r="J47" s="508">
        <f t="shared" si="0"/>
        <v>0</v>
      </c>
      <c r="K47" s="510">
        <f t="shared" si="1"/>
        <v>100</v>
      </c>
      <c r="L47" s="791" t="s">
        <v>758</v>
      </c>
      <c r="M47" s="922"/>
    </row>
    <row r="48" spans="1:13" ht="51" customHeight="1" x14ac:dyDescent="0.5">
      <c r="A48" s="559">
        <v>42</v>
      </c>
      <c r="B48" s="560" t="s">
        <v>773</v>
      </c>
      <c r="C48" s="715">
        <v>1600600528</v>
      </c>
      <c r="D48" s="715">
        <v>6411320</v>
      </c>
      <c r="E48" s="561" t="s">
        <v>712</v>
      </c>
      <c r="F48" s="712">
        <v>7016838303</v>
      </c>
      <c r="G48" s="723" t="s">
        <v>715</v>
      </c>
      <c r="H48" s="714">
        <v>251500</v>
      </c>
      <c r="I48" s="508">
        <v>251500</v>
      </c>
      <c r="J48" s="508">
        <f t="shared" si="0"/>
        <v>0</v>
      </c>
      <c r="K48" s="510">
        <f t="shared" si="1"/>
        <v>100</v>
      </c>
      <c r="L48" s="791" t="s">
        <v>759</v>
      </c>
      <c r="M48" s="922"/>
    </row>
    <row r="49" spans="1:13" ht="52.5" customHeight="1" x14ac:dyDescent="0.5">
      <c r="A49" s="559">
        <v>43</v>
      </c>
      <c r="B49" s="560" t="s">
        <v>774</v>
      </c>
      <c r="C49" s="715">
        <v>1600600717</v>
      </c>
      <c r="D49" s="715">
        <v>6411320</v>
      </c>
      <c r="E49" s="561" t="s">
        <v>722</v>
      </c>
      <c r="F49" s="712">
        <v>7016897990</v>
      </c>
      <c r="G49" s="724" t="s">
        <v>724</v>
      </c>
      <c r="H49" s="714">
        <v>498125.23</v>
      </c>
      <c r="I49" s="508">
        <v>498125.23</v>
      </c>
      <c r="J49" s="508">
        <f t="shared" si="0"/>
        <v>0</v>
      </c>
      <c r="K49" s="510">
        <f t="shared" si="1"/>
        <v>100</v>
      </c>
      <c r="L49" s="791" t="s">
        <v>760</v>
      </c>
      <c r="M49" s="922"/>
    </row>
    <row r="50" spans="1:13" ht="28.5" customHeight="1" x14ac:dyDescent="0.5">
      <c r="A50" s="559">
        <v>44</v>
      </c>
      <c r="B50" s="560" t="s">
        <v>774</v>
      </c>
      <c r="C50" s="715">
        <v>1600600717</v>
      </c>
      <c r="D50" s="715">
        <v>6411320</v>
      </c>
      <c r="E50" s="561" t="s">
        <v>718</v>
      </c>
      <c r="F50" s="712">
        <v>7016930846</v>
      </c>
      <c r="G50" s="710" t="s">
        <v>719</v>
      </c>
      <c r="H50" s="714">
        <v>497832.5</v>
      </c>
      <c r="I50" s="508">
        <v>497832.5</v>
      </c>
      <c r="J50" s="508">
        <f t="shared" si="0"/>
        <v>0</v>
      </c>
      <c r="K50" s="510">
        <f t="shared" si="1"/>
        <v>100</v>
      </c>
      <c r="L50" s="791" t="s">
        <v>761</v>
      </c>
      <c r="M50" s="922"/>
    </row>
    <row r="51" spans="1:13" ht="48" x14ac:dyDescent="0.5">
      <c r="A51" s="559">
        <v>45</v>
      </c>
      <c r="B51" s="560" t="s">
        <v>774</v>
      </c>
      <c r="C51" s="715">
        <v>1600600717</v>
      </c>
      <c r="D51" s="715">
        <v>6411320</v>
      </c>
      <c r="E51" s="561" t="s">
        <v>721</v>
      </c>
      <c r="F51" s="712">
        <v>7016956119</v>
      </c>
      <c r="G51" s="724" t="s">
        <v>723</v>
      </c>
      <c r="H51" s="714">
        <v>498000</v>
      </c>
      <c r="I51" s="508">
        <v>498000</v>
      </c>
      <c r="J51" s="508">
        <f t="shared" si="0"/>
        <v>0</v>
      </c>
      <c r="K51" s="510">
        <f t="shared" si="1"/>
        <v>100</v>
      </c>
      <c r="L51" s="791" t="s">
        <v>758</v>
      </c>
      <c r="M51" s="922"/>
    </row>
    <row r="52" spans="1:13" s="57" customFormat="1" ht="27.75" customHeight="1" x14ac:dyDescent="0.5">
      <c r="A52" s="1231" t="s">
        <v>533</v>
      </c>
      <c r="B52" s="1231"/>
      <c r="C52" s="1231"/>
      <c r="D52" s="1231"/>
      <c r="E52" s="1231"/>
      <c r="F52" s="1231"/>
      <c r="G52" s="1231"/>
      <c r="H52" s="576">
        <f>SUM(H23:H51)</f>
        <v>121075475.32000001</v>
      </c>
      <c r="I52" s="71">
        <f t="shared" ref="I52:J52" si="3">SUM(I23:I51)</f>
        <v>22251760.420000002</v>
      </c>
      <c r="J52" s="576">
        <f t="shared" si="3"/>
        <v>98823714.900000006</v>
      </c>
      <c r="K52" s="71">
        <f t="shared" si="1"/>
        <v>18.378420866149028</v>
      </c>
      <c r="L52" s="573"/>
      <c r="M52" s="70"/>
    </row>
    <row r="53" spans="1:13" ht="100.5" customHeight="1" x14ac:dyDescent="0.5">
      <c r="A53" s="559">
        <v>46</v>
      </c>
      <c r="B53" s="560" t="s">
        <v>767</v>
      </c>
      <c r="C53" s="715">
        <v>1600600001</v>
      </c>
      <c r="D53" s="715">
        <v>6411500</v>
      </c>
      <c r="E53" s="561" t="s">
        <v>632</v>
      </c>
      <c r="F53" s="712">
        <v>7015989843</v>
      </c>
      <c r="G53" s="719" t="s">
        <v>825</v>
      </c>
      <c r="H53" s="714">
        <v>342195</v>
      </c>
      <c r="I53" s="508">
        <v>342195</v>
      </c>
      <c r="J53" s="508">
        <f t="shared" si="0"/>
        <v>0</v>
      </c>
      <c r="K53" s="510">
        <f t="shared" si="1"/>
        <v>100</v>
      </c>
      <c r="L53" s="791" t="s">
        <v>762</v>
      </c>
      <c r="M53" s="922"/>
    </row>
    <row r="54" spans="1:13" ht="30.75" customHeight="1" x14ac:dyDescent="0.5">
      <c r="A54" s="559">
        <v>47</v>
      </c>
      <c r="B54" s="560" t="s">
        <v>767</v>
      </c>
      <c r="C54" s="715">
        <v>1600600001</v>
      </c>
      <c r="D54" s="715">
        <v>6411500</v>
      </c>
      <c r="E54" s="561" t="s">
        <v>567</v>
      </c>
      <c r="F54" s="712">
        <v>7016607297</v>
      </c>
      <c r="G54" s="719" t="s">
        <v>826</v>
      </c>
      <c r="H54" s="714">
        <v>450000</v>
      </c>
      <c r="I54" s="508">
        <v>450000</v>
      </c>
      <c r="J54" s="508">
        <f t="shared" si="0"/>
        <v>0</v>
      </c>
      <c r="K54" s="510">
        <f t="shared" si="1"/>
        <v>100</v>
      </c>
      <c r="L54" s="791" t="s">
        <v>763</v>
      </c>
      <c r="M54" s="922"/>
    </row>
    <row r="55" spans="1:13" ht="30.75" customHeight="1" x14ac:dyDescent="0.5">
      <c r="A55" s="559">
        <v>48</v>
      </c>
      <c r="B55" s="560" t="s">
        <v>767</v>
      </c>
      <c r="C55" s="715">
        <v>1600600001</v>
      </c>
      <c r="D55" s="715">
        <v>6411500</v>
      </c>
      <c r="E55" s="561" t="s">
        <v>559</v>
      </c>
      <c r="F55" s="712">
        <v>7016608009</v>
      </c>
      <c r="G55" s="719" t="s">
        <v>784</v>
      </c>
      <c r="H55" s="714">
        <v>163700</v>
      </c>
      <c r="I55" s="508">
        <v>163700</v>
      </c>
      <c r="J55" s="508">
        <f t="shared" si="0"/>
        <v>0</v>
      </c>
      <c r="K55" s="510">
        <f t="shared" si="1"/>
        <v>100</v>
      </c>
      <c r="L55" s="791" t="s">
        <v>763</v>
      </c>
      <c r="M55" s="922"/>
    </row>
    <row r="56" spans="1:13" ht="30.75" customHeight="1" x14ac:dyDescent="0.5">
      <c r="A56" s="559">
        <v>49</v>
      </c>
      <c r="B56" s="560" t="s">
        <v>767</v>
      </c>
      <c r="C56" s="715">
        <v>1600600001</v>
      </c>
      <c r="D56" s="715">
        <v>6411500</v>
      </c>
      <c r="E56" s="561" t="s">
        <v>564</v>
      </c>
      <c r="F56" s="712">
        <v>7016658976</v>
      </c>
      <c r="G56" s="719" t="s">
        <v>785</v>
      </c>
      <c r="H56" s="714">
        <v>256800</v>
      </c>
      <c r="I56" s="508">
        <v>256800</v>
      </c>
      <c r="J56" s="508">
        <f t="shared" si="0"/>
        <v>0</v>
      </c>
      <c r="K56" s="510">
        <f t="shared" si="1"/>
        <v>100</v>
      </c>
      <c r="L56" s="791" t="s">
        <v>764</v>
      </c>
      <c r="M56" s="922"/>
    </row>
    <row r="57" spans="1:13" ht="30.75" customHeight="1" x14ac:dyDescent="0.5">
      <c r="A57" s="559">
        <v>50</v>
      </c>
      <c r="B57" s="560" t="s">
        <v>767</v>
      </c>
      <c r="C57" s="715">
        <v>1600600001</v>
      </c>
      <c r="D57" s="715">
        <v>6411500</v>
      </c>
      <c r="E57" s="561" t="s">
        <v>560</v>
      </c>
      <c r="F57" s="712">
        <v>7016690460</v>
      </c>
      <c r="G57" s="719" t="s">
        <v>786</v>
      </c>
      <c r="H57" s="714">
        <v>500000</v>
      </c>
      <c r="I57" s="508">
        <v>500000</v>
      </c>
      <c r="J57" s="508">
        <f t="shared" si="0"/>
        <v>0</v>
      </c>
      <c r="K57" s="510">
        <f t="shared" si="1"/>
        <v>100</v>
      </c>
      <c r="L57" s="791" t="s">
        <v>759</v>
      </c>
      <c r="M57" s="922"/>
    </row>
    <row r="58" spans="1:13" ht="30.75" customHeight="1" x14ac:dyDescent="0.5">
      <c r="A58" s="559">
        <v>51</v>
      </c>
      <c r="B58" s="560" t="s">
        <v>767</v>
      </c>
      <c r="C58" s="715">
        <v>1600600001</v>
      </c>
      <c r="D58" s="715">
        <v>6411500</v>
      </c>
      <c r="E58" s="561" t="s">
        <v>566</v>
      </c>
      <c r="F58" s="712">
        <v>7016741548</v>
      </c>
      <c r="G58" s="719" t="s">
        <v>787</v>
      </c>
      <c r="H58" s="714">
        <v>224700</v>
      </c>
      <c r="I58" s="508">
        <v>224700</v>
      </c>
      <c r="J58" s="508">
        <f t="shared" si="0"/>
        <v>0</v>
      </c>
      <c r="K58" s="510">
        <f t="shared" si="1"/>
        <v>100</v>
      </c>
      <c r="L58" s="791" t="s">
        <v>765</v>
      </c>
      <c r="M58" s="922"/>
    </row>
    <row r="59" spans="1:13" ht="30.75" customHeight="1" x14ac:dyDescent="0.5">
      <c r="A59" s="559">
        <v>52</v>
      </c>
      <c r="B59" s="560" t="s">
        <v>767</v>
      </c>
      <c r="C59" s="715">
        <v>1600600001</v>
      </c>
      <c r="D59" s="715">
        <v>6411500</v>
      </c>
      <c r="E59" s="561" t="s">
        <v>567</v>
      </c>
      <c r="F59" s="712">
        <v>7016802740</v>
      </c>
      <c r="G59" s="719" t="s">
        <v>788</v>
      </c>
      <c r="H59" s="714">
        <v>65612.399999999994</v>
      </c>
      <c r="I59" s="508">
        <v>65612.399999999994</v>
      </c>
      <c r="J59" s="508">
        <f t="shared" si="0"/>
        <v>0</v>
      </c>
      <c r="K59" s="510">
        <f t="shared" si="1"/>
        <v>100</v>
      </c>
      <c r="L59" s="791" t="s">
        <v>762</v>
      </c>
      <c r="M59" s="922"/>
    </row>
    <row r="60" spans="1:13" ht="30.75" customHeight="1" x14ac:dyDescent="0.5">
      <c r="A60" s="559">
        <v>53</v>
      </c>
      <c r="B60" s="560" t="s">
        <v>767</v>
      </c>
      <c r="C60" s="715">
        <v>1600600001</v>
      </c>
      <c r="D60" s="715">
        <v>6411500</v>
      </c>
      <c r="E60" s="561" t="s">
        <v>567</v>
      </c>
      <c r="F60" s="712">
        <v>7016803004</v>
      </c>
      <c r="G60" s="719" t="s">
        <v>789</v>
      </c>
      <c r="H60" s="714">
        <v>104000</v>
      </c>
      <c r="I60" s="508">
        <v>104000</v>
      </c>
      <c r="J60" s="508">
        <f t="shared" si="0"/>
        <v>0</v>
      </c>
      <c r="K60" s="510">
        <f t="shared" si="1"/>
        <v>100</v>
      </c>
      <c r="L60" s="791" t="s">
        <v>762</v>
      </c>
      <c r="M60" s="922"/>
    </row>
    <row r="61" spans="1:13" ht="99" customHeight="1" x14ac:dyDescent="0.5">
      <c r="A61" s="559">
        <v>54</v>
      </c>
      <c r="B61" s="560" t="s">
        <v>767</v>
      </c>
      <c r="C61" s="715">
        <v>1600600001</v>
      </c>
      <c r="D61" s="715">
        <v>6411500</v>
      </c>
      <c r="E61" s="561" t="s">
        <v>695</v>
      </c>
      <c r="F61" s="712">
        <v>7016960871</v>
      </c>
      <c r="G61" s="719" t="s">
        <v>995</v>
      </c>
      <c r="H61" s="714">
        <v>4022000</v>
      </c>
      <c r="I61" s="508">
        <v>0</v>
      </c>
      <c r="J61" s="508">
        <f t="shared" si="0"/>
        <v>4022000</v>
      </c>
      <c r="K61" s="510">
        <f t="shared" si="1"/>
        <v>0</v>
      </c>
      <c r="L61" s="791" t="s">
        <v>766</v>
      </c>
      <c r="M61" s="948" t="s">
        <v>994</v>
      </c>
    </row>
    <row r="62" spans="1:13" s="726" customFormat="1" ht="30.75" hidden="1" customHeight="1" x14ac:dyDescent="0.5">
      <c r="A62" s="1234" t="s">
        <v>823</v>
      </c>
      <c r="B62" s="1234"/>
      <c r="C62" s="1234"/>
      <c r="D62" s="1234"/>
      <c r="E62" s="1234"/>
      <c r="F62" s="1234"/>
      <c r="G62" s="1234"/>
      <c r="H62" s="725">
        <f>SUM(H53:H61)</f>
        <v>6129007.4000000004</v>
      </c>
      <c r="I62" s="727">
        <f t="shared" ref="I62:J62" si="4">SUM(I53:I61)</f>
        <v>2107007.4</v>
      </c>
      <c r="J62" s="725">
        <f t="shared" si="4"/>
        <v>4022000</v>
      </c>
      <c r="K62" s="510">
        <f t="shared" si="1"/>
        <v>34.377628586318885</v>
      </c>
      <c r="L62" s="717"/>
      <c r="M62" s="946"/>
    </row>
    <row r="63" spans="1:13" s="728" customFormat="1" ht="76.5" customHeight="1" x14ac:dyDescent="0.5">
      <c r="A63" s="559">
        <v>55</v>
      </c>
      <c r="B63" s="1235" t="s">
        <v>917</v>
      </c>
      <c r="C63" s="1236"/>
      <c r="D63" s="1236"/>
      <c r="E63" s="1236"/>
      <c r="F63" s="1237"/>
      <c r="G63" s="720" t="s">
        <v>827</v>
      </c>
      <c r="H63" s="734">
        <v>5000000</v>
      </c>
      <c r="I63" s="735">
        <v>5000000</v>
      </c>
      <c r="J63" s="735">
        <f>+H63-I63</f>
        <v>0</v>
      </c>
      <c r="K63" s="510"/>
      <c r="L63" s="1045" t="s">
        <v>997</v>
      </c>
      <c r="M63" s="946"/>
    </row>
    <row r="64" spans="1:13" s="55" customFormat="1" ht="30.75" customHeight="1" x14ac:dyDescent="0.5">
      <c r="A64" s="1231" t="s">
        <v>824</v>
      </c>
      <c r="B64" s="1231"/>
      <c r="C64" s="1231"/>
      <c r="D64" s="1231"/>
      <c r="E64" s="1231"/>
      <c r="F64" s="1231"/>
      <c r="G64" s="1231"/>
      <c r="H64" s="674">
        <f>+H62+H63</f>
        <v>11129007.4</v>
      </c>
      <c r="I64" s="819">
        <f t="shared" ref="I64:J64" si="5">+I62+I63</f>
        <v>7107007.4000000004</v>
      </c>
      <c r="J64" s="674">
        <f t="shared" si="5"/>
        <v>4022000</v>
      </c>
      <c r="K64" s="71">
        <f t="shared" ref="K64" si="6">+I64*100/H64</f>
        <v>63.860209132397557</v>
      </c>
      <c r="L64" s="573"/>
      <c r="M64" s="945"/>
    </row>
    <row r="65" spans="1:13" s="905" customFormat="1" ht="36" customHeight="1" x14ac:dyDescent="0.5">
      <c r="A65" s="1230" t="s">
        <v>367</v>
      </c>
      <c r="B65" s="1230"/>
      <c r="C65" s="1230"/>
      <c r="D65" s="1230"/>
      <c r="E65" s="1230"/>
      <c r="F65" s="1230"/>
      <c r="G65" s="1230"/>
      <c r="H65" s="902">
        <f>+H22+H52+H64</f>
        <v>141444872.72</v>
      </c>
      <c r="I65" s="902">
        <f t="shared" ref="I65:J65" si="7">+I22+I52+I64</f>
        <v>33502931.82</v>
      </c>
      <c r="J65" s="902">
        <f t="shared" si="7"/>
        <v>107941940.90000001</v>
      </c>
      <c r="K65" s="903">
        <f t="shared" si="1"/>
        <v>23.686211578924741</v>
      </c>
      <c r="L65" s="904"/>
      <c r="M65" s="947"/>
    </row>
    <row r="66" spans="1:13" hidden="1" x14ac:dyDescent="0.5">
      <c r="A66" s="559"/>
      <c r="B66" s="560"/>
      <c r="C66" s="559"/>
      <c r="D66" s="559"/>
      <c r="E66" s="561"/>
      <c r="F66" s="559"/>
      <c r="G66" s="511" t="s">
        <v>11</v>
      </c>
      <c r="H66" s="923">
        <f>+H23+H24+H25+H26+H27+H28+H29+H30+H31+H32+H33</f>
        <v>3678102.5</v>
      </c>
      <c r="I66" s="923">
        <f t="shared" ref="I66:J66" si="8">+I23+I24+I25+I26+I27+I28+I29+I30+I31+I32+I33</f>
        <v>2068530</v>
      </c>
      <c r="J66" s="923">
        <f t="shared" si="8"/>
        <v>1609572.5</v>
      </c>
      <c r="K66" s="922"/>
      <c r="L66" s="924">
        <f>+I66/1000000</f>
        <v>2.06853</v>
      </c>
    </row>
    <row r="67" spans="1:13" hidden="1" x14ac:dyDescent="0.5">
      <c r="A67" s="559"/>
      <c r="B67" s="560"/>
      <c r="C67" s="559"/>
      <c r="D67" s="559"/>
      <c r="E67" s="561"/>
      <c r="F67" s="559"/>
      <c r="G67" s="511" t="s">
        <v>977</v>
      </c>
      <c r="H67" s="506">
        <f>+H34+H35+H36+H37+H38+H39+H40+H41+H42+H43+H44+H45+H46+H47+H48+H49+H50+H51</f>
        <v>117397372.82000001</v>
      </c>
      <c r="I67" s="506">
        <f t="shared" ref="I67:J67" si="9">+I34+I35+I36+I37+I38+I39+I40+I41+I42+I43+I44+I45+I46+I47+I48+I49+I50+I51</f>
        <v>20183230.420000002</v>
      </c>
      <c r="J67" s="506">
        <f t="shared" si="9"/>
        <v>97214142.400000006</v>
      </c>
      <c r="K67" s="922"/>
      <c r="L67" s="924">
        <f t="shared" ref="L67:L68" si="10">+I67/1000000</f>
        <v>20.183230420000001</v>
      </c>
    </row>
    <row r="68" spans="1:13" hidden="1" x14ac:dyDescent="0.5">
      <c r="A68" s="559"/>
      <c r="B68" s="560"/>
      <c r="C68" s="559"/>
      <c r="D68" s="559"/>
      <c r="E68" s="561"/>
      <c r="F68" s="559"/>
      <c r="G68" s="511" t="s">
        <v>533</v>
      </c>
      <c r="H68" s="923">
        <f>SUM(H66:H67)</f>
        <v>121075475.32000001</v>
      </c>
      <c r="I68" s="923">
        <f t="shared" ref="I68:J68" si="11">SUM(I66:I67)</f>
        <v>22251760.420000002</v>
      </c>
      <c r="J68" s="923">
        <f t="shared" si="11"/>
        <v>98823714.900000006</v>
      </c>
      <c r="K68" s="922"/>
      <c r="L68" s="924">
        <f t="shared" si="10"/>
        <v>22.25176042</v>
      </c>
    </row>
    <row r="69" spans="1:13" hidden="1" x14ac:dyDescent="0.5">
      <c r="L69" s="924"/>
    </row>
    <row r="70" spans="1:13" hidden="1" x14ac:dyDescent="0.5"/>
    <row r="71" spans="1:13" hidden="1" x14ac:dyDescent="0.5"/>
  </sheetData>
  <mergeCells count="19">
    <mergeCell ref="A65:G65"/>
    <mergeCell ref="A22:G22"/>
    <mergeCell ref="A52:G52"/>
    <mergeCell ref="J4:J5"/>
    <mergeCell ref="A62:G62"/>
    <mergeCell ref="A64:G64"/>
    <mergeCell ref="B63:F63"/>
    <mergeCell ref="M4:M5"/>
    <mergeCell ref="A1:M1"/>
    <mergeCell ref="A2:M2"/>
    <mergeCell ref="A3:M3"/>
    <mergeCell ref="B4:B5"/>
    <mergeCell ref="C4:C5"/>
    <mergeCell ref="D4:D5"/>
    <mergeCell ref="E4:E5"/>
    <mergeCell ref="F4:F5"/>
    <mergeCell ref="G4:G5"/>
    <mergeCell ref="H4:H5"/>
    <mergeCell ref="L4:L5"/>
  </mergeCells>
  <phoneticPr fontId="92" type="noConversion"/>
  <printOptions horizontalCentered="1"/>
  <pageMargins left="0.23622047244094491" right="0" top="0.74803149606299213" bottom="0.74803149606299213" header="0.31496062992125984" footer="0.31496062992125984"/>
  <pageSetup paperSize="9" scale="61" orientation="landscape" r:id="rId1"/>
  <headerFooter>
    <oddFooter>หน้าที่ &amp;P จาก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M122"/>
  <sheetViews>
    <sheetView topLeftCell="B6" zoomScaleNormal="100" workbookViewId="0">
      <pane ySplit="1455" topLeftCell="A7" activePane="bottomLeft"/>
      <selection activeCell="I7" sqref="G1:I1048576"/>
      <selection pane="bottomLeft" activeCell="G8" sqref="G8"/>
    </sheetView>
  </sheetViews>
  <sheetFormatPr defaultRowHeight="21.75" x14ac:dyDescent="0.5"/>
  <cols>
    <col min="1" max="1" width="6.42578125" style="237" bestFit="1" customWidth="1"/>
    <col min="2" max="2" width="15.42578125" style="237" bestFit="1" customWidth="1"/>
    <col min="3" max="3" width="16.140625" style="344" bestFit="1" customWidth="1"/>
    <col min="4" max="4" width="15.140625" style="345" bestFit="1" customWidth="1"/>
    <col min="5" max="6" width="14.5703125" style="345" bestFit="1" customWidth="1"/>
    <col min="7" max="7" width="15.140625" style="237" bestFit="1" customWidth="1"/>
    <col min="8" max="8" width="12.7109375" style="237" bestFit="1" customWidth="1"/>
    <col min="9" max="9" width="14.5703125" style="237" bestFit="1" customWidth="1"/>
    <col min="10" max="10" width="15.140625" style="237" bestFit="1" customWidth="1"/>
    <col min="11" max="11" width="14.5703125" style="237" bestFit="1" customWidth="1"/>
    <col min="12" max="12" width="14.5703125" style="23" bestFit="1" customWidth="1"/>
    <col min="13" max="13" width="16.85546875" style="347" bestFit="1" customWidth="1"/>
    <col min="14" max="14" width="9.140625" style="237"/>
    <col min="15" max="15" width="9.140625" style="237" customWidth="1"/>
    <col min="16" max="16384" width="9.140625" style="237"/>
  </cols>
  <sheetData>
    <row r="1" spans="1:13" ht="27.75" x14ac:dyDescent="0.65">
      <c r="A1" s="1251" t="s">
        <v>57</v>
      </c>
      <c r="B1" s="1251"/>
      <c r="C1" s="1251"/>
      <c r="D1" s="1251"/>
      <c r="E1" s="1251"/>
      <c r="F1" s="1251"/>
      <c r="G1" s="1251"/>
      <c r="H1" s="1251"/>
      <c r="I1" s="1251"/>
      <c r="J1" s="1251"/>
      <c r="K1" s="1251"/>
      <c r="L1" s="1251"/>
      <c r="M1" s="1251"/>
    </row>
    <row r="2" spans="1:13" ht="27.75" x14ac:dyDescent="0.5">
      <c r="A2" s="1252" t="s">
        <v>930</v>
      </c>
      <c r="B2" s="1252"/>
      <c r="C2" s="1252"/>
      <c r="D2" s="1252"/>
      <c r="E2" s="1252"/>
      <c r="F2" s="1252"/>
      <c r="G2" s="1252"/>
      <c r="H2" s="1252"/>
      <c r="I2" s="1252"/>
      <c r="J2" s="1252"/>
      <c r="K2" s="1252"/>
      <c r="L2" s="1252"/>
      <c r="M2" s="1252"/>
    </row>
    <row r="3" spans="1:13" ht="27.75" x14ac:dyDescent="0.5">
      <c r="A3" s="1252" t="s">
        <v>619</v>
      </c>
      <c r="B3" s="1252"/>
      <c r="C3" s="1252"/>
      <c r="D3" s="1252"/>
      <c r="E3" s="1252"/>
      <c r="F3" s="1252"/>
      <c r="G3" s="1252"/>
      <c r="H3" s="1252"/>
      <c r="I3" s="1252"/>
      <c r="J3" s="1252"/>
      <c r="K3" s="1252"/>
      <c r="L3" s="1252"/>
      <c r="M3" s="1252"/>
    </row>
    <row r="4" spans="1:13" ht="27.75" x14ac:dyDescent="0.5">
      <c r="A4" s="1253" t="str">
        <f>+งบรายจ่ายอื่น!A4:K4</f>
        <v>ตั้งแต่วันที่ 1  ตุลาคม 2564 ถึงวันที่ 31 มกราคม 2565</v>
      </c>
      <c r="B4" s="1252"/>
      <c r="C4" s="1252"/>
      <c r="D4" s="1252"/>
      <c r="E4" s="1252"/>
      <c r="F4" s="1252"/>
      <c r="G4" s="1252"/>
      <c r="H4" s="1252"/>
      <c r="I4" s="1252"/>
      <c r="J4" s="1252"/>
      <c r="K4" s="1252"/>
      <c r="L4" s="1252"/>
      <c r="M4" s="1252"/>
    </row>
    <row r="5" spans="1:13" s="630" customFormat="1" ht="24" x14ac:dyDescent="0.5">
      <c r="A5" s="1247" t="s">
        <v>0</v>
      </c>
      <c r="B5" s="1247" t="s">
        <v>1</v>
      </c>
      <c r="C5" s="1247"/>
      <c r="D5" s="1248" t="s">
        <v>277</v>
      </c>
      <c r="E5" s="1249"/>
      <c r="F5" s="1250"/>
      <c r="G5" s="1239" t="s">
        <v>278</v>
      </c>
      <c r="H5" s="1240"/>
      <c r="I5" s="1241"/>
      <c r="J5" s="1242" t="s">
        <v>279</v>
      </c>
      <c r="K5" s="1240"/>
      <c r="L5" s="1240"/>
      <c r="M5" s="629" t="s">
        <v>65</v>
      </c>
    </row>
    <row r="6" spans="1:13" s="630" customFormat="1" ht="24" x14ac:dyDescent="0.5">
      <c r="A6" s="1247"/>
      <c r="B6" s="1247"/>
      <c r="C6" s="1247"/>
      <c r="D6" s="631" t="s">
        <v>66</v>
      </c>
      <c r="E6" s="631" t="s">
        <v>17</v>
      </c>
      <c r="F6" s="632" t="s">
        <v>60</v>
      </c>
      <c r="G6" s="633" t="s">
        <v>66</v>
      </c>
      <c r="H6" s="631" t="s">
        <v>17</v>
      </c>
      <c r="I6" s="632" t="s">
        <v>60</v>
      </c>
      <c r="J6" s="634" t="s">
        <v>66</v>
      </c>
      <c r="K6" s="635" t="s">
        <v>17</v>
      </c>
      <c r="L6" s="635" t="s">
        <v>60</v>
      </c>
      <c r="M6" s="636" t="s">
        <v>106</v>
      </c>
    </row>
    <row r="7" spans="1:13" ht="24" x14ac:dyDescent="0.5">
      <c r="A7" s="216">
        <v>1</v>
      </c>
      <c r="B7" s="48" t="s">
        <v>184</v>
      </c>
      <c r="C7" s="49"/>
      <c r="D7" s="524">
        <v>45000</v>
      </c>
      <c r="E7" s="218">
        <v>4800</v>
      </c>
      <c r="F7" s="525">
        <f>+D7-E7</f>
        <v>40200</v>
      </c>
      <c r="G7" s="524">
        <v>0</v>
      </c>
      <c r="H7" s="218">
        <v>0</v>
      </c>
      <c r="I7" s="526">
        <f>+G7-H7</f>
        <v>0</v>
      </c>
      <c r="J7" s="527">
        <f>+D7+G7</f>
        <v>45000</v>
      </c>
      <c r="K7" s="218">
        <f>+E7+H7</f>
        <v>4800</v>
      </c>
      <c r="L7" s="229">
        <f>+J7-K7</f>
        <v>40200</v>
      </c>
      <c r="M7" s="528">
        <f>+K7*100/J7</f>
        <v>10.666666666666666</v>
      </c>
    </row>
    <row r="8" spans="1:13" ht="24" x14ac:dyDescent="0.5">
      <c r="A8" s="216">
        <v>2</v>
      </c>
      <c r="B8" s="48" t="s">
        <v>194</v>
      </c>
      <c r="C8" s="49" t="s">
        <v>212</v>
      </c>
      <c r="D8" s="524">
        <v>0</v>
      </c>
      <c r="E8" s="218">
        <f t="shared" ref="E8:E71" si="0">757248.3-500-756748.3</f>
        <v>0</v>
      </c>
      <c r="F8" s="525">
        <f t="shared" ref="F8:F71" si="1">+D8-E8</f>
        <v>0</v>
      </c>
      <c r="G8" s="524">
        <v>0</v>
      </c>
      <c r="H8" s="218">
        <v>0</v>
      </c>
      <c r="I8" s="526">
        <f t="shared" ref="I8:I71" si="2">+G8-H8</f>
        <v>0</v>
      </c>
      <c r="J8" s="527">
        <f t="shared" ref="J8:J71" si="3">+D8+G8</f>
        <v>0</v>
      </c>
      <c r="K8" s="218">
        <f t="shared" ref="K8:K71" si="4">+E8+H8</f>
        <v>0</v>
      </c>
      <c r="L8" s="229">
        <f t="shared" ref="L8:L71" si="5">+J8-K8</f>
        <v>0</v>
      </c>
      <c r="M8" s="831" t="e">
        <f t="shared" ref="M8:M71" si="6">+K8*100/J8</f>
        <v>#DIV/0!</v>
      </c>
    </row>
    <row r="9" spans="1:13" ht="24" x14ac:dyDescent="0.5">
      <c r="A9" s="216">
        <v>3</v>
      </c>
      <c r="B9" s="48" t="s">
        <v>185</v>
      </c>
      <c r="C9" s="49" t="s">
        <v>18</v>
      </c>
      <c r="D9" s="524">
        <v>0</v>
      </c>
      <c r="E9" s="218">
        <f t="shared" si="0"/>
        <v>0</v>
      </c>
      <c r="F9" s="525">
        <f t="shared" si="1"/>
        <v>0</v>
      </c>
      <c r="G9" s="524">
        <v>0</v>
      </c>
      <c r="H9" s="218">
        <v>0</v>
      </c>
      <c r="I9" s="526">
        <f t="shared" si="2"/>
        <v>0</v>
      </c>
      <c r="J9" s="527">
        <f t="shared" si="3"/>
        <v>0</v>
      </c>
      <c r="K9" s="218">
        <f t="shared" si="4"/>
        <v>0</v>
      </c>
      <c r="L9" s="229">
        <f t="shared" si="5"/>
        <v>0</v>
      </c>
      <c r="M9" s="831" t="e">
        <f t="shared" si="6"/>
        <v>#DIV/0!</v>
      </c>
    </row>
    <row r="10" spans="1:13" ht="24" x14ac:dyDescent="0.5">
      <c r="A10" s="216">
        <v>4</v>
      </c>
      <c r="B10" s="48" t="s">
        <v>185</v>
      </c>
      <c r="C10" s="49" t="s">
        <v>75</v>
      </c>
      <c r="D10" s="524">
        <v>0</v>
      </c>
      <c r="E10" s="218">
        <f t="shared" si="0"/>
        <v>0</v>
      </c>
      <c r="F10" s="525">
        <f t="shared" si="1"/>
        <v>0</v>
      </c>
      <c r="G10" s="524">
        <v>0</v>
      </c>
      <c r="H10" s="218">
        <v>0</v>
      </c>
      <c r="I10" s="526">
        <f t="shared" si="2"/>
        <v>0</v>
      </c>
      <c r="J10" s="527">
        <f t="shared" si="3"/>
        <v>0</v>
      </c>
      <c r="K10" s="218">
        <f t="shared" si="4"/>
        <v>0</v>
      </c>
      <c r="L10" s="229">
        <f t="shared" si="5"/>
        <v>0</v>
      </c>
      <c r="M10" s="831" t="e">
        <f t="shared" si="6"/>
        <v>#DIV/0!</v>
      </c>
    </row>
    <row r="11" spans="1:13" ht="24" x14ac:dyDescent="0.5">
      <c r="A11" s="216">
        <v>5</v>
      </c>
      <c r="B11" s="48" t="s">
        <v>185</v>
      </c>
      <c r="C11" s="49" t="s">
        <v>111</v>
      </c>
      <c r="D11" s="524">
        <v>0</v>
      </c>
      <c r="E11" s="218">
        <f t="shared" si="0"/>
        <v>0</v>
      </c>
      <c r="F11" s="525">
        <f t="shared" si="1"/>
        <v>0</v>
      </c>
      <c r="G11" s="524">
        <v>0</v>
      </c>
      <c r="H11" s="218">
        <v>0</v>
      </c>
      <c r="I11" s="526">
        <f t="shared" si="2"/>
        <v>0</v>
      </c>
      <c r="J11" s="527">
        <f t="shared" si="3"/>
        <v>0</v>
      </c>
      <c r="K11" s="218">
        <f t="shared" si="4"/>
        <v>0</v>
      </c>
      <c r="L11" s="229">
        <f t="shared" si="5"/>
        <v>0</v>
      </c>
      <c r="M11" s="831" t="e">
        <f t="shared" si="6"/>
        <v>#DIV/0!</v>
      </c>
    </row>
    <row r="12" spans="1:13" ht="24" x14ac:dyDescent="0.55000000000000004">
      <c r="A12" s="216">
        <v>6</v>
      </c>
      <c r="B12" s="48" t="s">
        <v>185</v>
      </c>
      <c r="C12" s="49" t="s">
        <v>72</v>
      </c>
      <c r="D12" s="830">
        <v>144000</v>
      </c>
      <c r="E12" s="218">
        <v>64200</v>
      </c>
      <c r="F12" s="525">
        <f t="shared" si="1"/>
        <v>79800</v>
      </c>
      <c r="G12" s="524">
        <v>0</v>
      </c>
      <c r="H12" s="218">
        <v>0</v>
      </c>
      <c r="I12" s="526">
        <f t="shared" si="2"/>
        <v>0</v>
      </c>
      <c r="J12" s="527">
        <f t="shared" si="3"/>
        <v>144000</v>
      </c>
      <c r="K12" s="218">
        <f t="shared" si="4"/>
        <v>64200</v>
      </c>
      <c r="L12" s="229">
        <f t="shared" si="5"/>
        <v>79800</v>
      </c>
      <c r="M12" s="528">
        <f t="shared" si="6"/>
        <v>44.583333333333336</v>
      </c>
    </row>
    <row r="13" spans="1:13" ht="24" x14ac:dyDescent="0.5">
      <c r="A13" s="216">
        <v>7</v>
      </c>
      <c r="B13" s="48" t="s">
        <v>185</v>
      </c>
      <c r="C13" s="49" t="s">
        <v>101</v>
      </c>
      <c r="D13" s="524">
        <v>0</v>
      </c>
      <c r="E13" s="218">
        <f t="shared" si="0"/>
        <v>0</v>
      </c>
      <c r="F13" s="525">
        <f t="shared" si="1"/>
        <v>0</v>
      </c>
      <c r="G13" s="524">
        <v>0</v>
      </c>
      <c r="H13" s="218">
        <v>0</v>
      </c>
      <c r="I13" s="526">
        <f t="shared" si="2"/>
        <v>0</v>
      </c>
      <c r="J13" s="527">
        <f t="shared" si="3"/>
        <v>0</v>
      </c>
      <c r="K13" s="218">
        <f t="shared" si="4"/>
        <v>0</v>
      </c>
      <c r="L13" s="229">
        <f t="shared" si="5"/>
        <v>0</v>
      </c>
      <c r="M13" s="831" t="e">
        <f t="shared" si="6"/>
        <v>#DIV/0!</v>
      </c>
    </row>
    <row r="14" spans="1:13" ht="24" x14ac:dyDescent="0.5">
      <c r="A14" s="216">
        <v>8</v>
      </c>
      <c r="B14" s="48" t="s">
        <v>186</v>
      </c>
      <c r="C14" s="49"/>
      <c r="D14" s="524">
        <v>0</v>
      </c>
      <c r="E14" s="218">
        <f t="shared" si="0"/>
        <v>0</v>
      </c>
      <c r="F14" s="525">
        <f t="shared" si="1"/>
        <v>0</v>
      </c>
      <c r="G14" s="524">
        <v>0</v>
      </c>
      <c r="H14" s="218">
        <v>0</v>
      </c>
      <c r="I14" s="526">
        <f t="shared" si="2"/>
        <v>0</v>
      </c>
      <c r="J14" s="527">
        <f t="shared" si="3"/>
        <v>0</v>
      </c>
      <c r="K14" s="218">
        <f t="shared" si="4"/>
        <v>0</v>
      </c>
      <c r="L14" s="229">
        <f t="shared" si="5"/>
        <v>0</v>
      </c>
      <c r="M14" s="831" t="e">
        <f t="shared" si="6"/>
        <v>#DIV/0!</v>
      </c>
    </row>
    <row r="15" spans="1:13" ht="24" x14ac:dyDescent="0.5">
      <c r="A15" s="216">
        <v>9</v>
      </c>
      <c r="B15" s="48" t="s">
        <v>187</v>
      </c>
      <c r="C15" s="49"/>
      <c r="D15" s="524">
        <v>0</v>
      </c>
      <c r="E15" s="218">
        <f t="shared" si="0"/>
        <v>0</v>
      </c>
      <c r="F15" s="525">
        <f t="shared" si="1"/>
        <v>0</v>
      </c>
      <c r="G15" s="524">
        <v>0</v>
      </c>
      <c r="H15" s="218">
        <v>0</v>
      </c>
      <c r="I15" s="526">
        <f t="shared" si="2"/>
        <v>0</v>
      </c>
      <c r="J15" s="527">
        <f t="shared" si="3"/>
        <v>0</v>
      </c>
      <c r="K15" s="218">
        <f t="shared" si="4"/>
        <v>0</v>
      </c>
      <c r="L15" s="229">
        <f t="shared" si="5"/>
        <v>0</v>
      </c>
      <c r="M15" s="831" t="e">
        <f t="shared" si="6"/>
        <v>#DIV/0!</v>
      </c>
    </row>
    <row r="16" spans="1:13" ht="24" x14ac:dyDescent="0.5">
      <c r="A16" s="216">
        <v>10</v>
      </c>
      <c r="B16" s="48" t="s">
        <v>188</v>
      </c>
      <c r="C16" s="49"/>
      <c r="D16" s="524">
        <v>0</v>
      </c>
      <c r="E16" s="218">
        <f t="shared" si="0"/>
        <v>0</v>
      </c>
      <c r="F16" s="525">
        <f t="shared" si="1"/>
        <v>0</v>
      </c>
      <c r="G16" s="524">
        <v>0</v>
      </c>
      <c r="H16" s="218">
        <v>0</v>
      </c>
      <c r="I16" s="526">
        <f t="shared" si="2"/>
        <v>0</v>
      </c>
      <c r="J16" s="527">
        <f t="shared" si="3"/>
        <v>0</v>
      </c>
      <c r="K16" s="218">
        <f t="shared" si="4"/>
        <v>0</v>
      </c>
      <c r="L16" s="229">
        <f t="shared" si="5"/>
        <v>0</v>
      </c>
      <c r="M16" s="831" t="e">
        <f t="shared" si="6"/>
        <v>#DIV/0!</v>
      </c>
    </row>
    <row r="17" spans="1:13" ht="24" x14ac:dyDescent="0.55000000000000004">
      <c r="A17" s="216">
        <v>11</v>
      </c>
      <c r="B17" s="48" t="s">
        <v>189</v>
      </c>
      <c r="C17" s="49"/>
      <c r="D17" s="830">
        <v>36000</v>
      </c>
      <c r="E17" s="218">
        <v>9000</v>
      </c>
      <c r="F17" s="525">
        <f t="shared" si="1"/>
        <v>27000</v>
      </c>
      <c r="G17" s="524">
        <v>0</v>
      </c>
      <c r="H17" s="218">
        <v>0</v>
      </c>
      <c r="I17" s="526">
        <f t="shared" si="2"/>
        <v>0</v>
      </c>
      <c r="J17" s="527">
        <f t="shared" si="3"/>
        <v>36000</v>
      </c>
      <c r="K17" s="218">
        <f t="shared" si="4"/>
        <v>9000</v>
      </c>
      <c r="L17" s="229">
        <f t="shared" si="5"/>
        <v>27000</v>
      </c>
      <c r="M17" s="528">
        <f t="shared" si="6"/>
        <v>25</v>
      </c>
    </row>
    <row r="18" spans="1:13" ht="24" x14ac:dyDescent="0.55000000000000004">
      <c r="A18" s="216">
        <v>12</v>
      </c>
      <c r="B18" s="48" t="s">
        <v>190</v>
      </c>
      <c r="C18" s="49"/>
      <c r="D18" s="830">
        <v>108000</v>
      </c>
      <c r="E18" s="218">
        <v>3900</v>
      </c>
      <c r="F18" s="525">
        <f t="shared" si="1"/>
        <v>104100</v>
      </c>
      <c r="G18" s="524">
        <v>0</v>
      </c>
      <c r="H18" s="218">
        <v>0</v>
      </c>
      <c r="I18" s="526">
        <f t="shared" si="2"/>
        <v>0</v>
      </c>
      <c r="J18" s="527">
        <f t="shared" si="3"/>
        <v>108000</v>
      </c>
      <c r="K18" s="218">
        <f t="shared" si="4"/>
        <v>3900</v>
      </c>
      <c r="L18" s="229">
        <f t="shared" si="5"/>
        <v>104100</v>
      </c>
      <c r="M18" s="528">
        <f t="shared" si="6"/>
        <v>3.6111111111111112</v>
      </c>
    </row>
    <row r="19" spans="1:13" ht="24" x14ac:dyDescent="0.5">
      <c r="A19" s="216">
        <v>13</v>
      </c>
      <c r="B19" s="48" t="s">
        <v>191</v>
      </c>
      <c r="C19" s="49"/>
      <c r="D19" s="524">
        <v>0</v>
      </c>
      <c r="E19" s="218">
        <f t="shared" si="0"/>
        <v>0</v>
      </c>
      <c r="F19" s="525">
        <f t="shared" si="1"/>
        <v>0</v>
      </c>
      <c r="G19" s="524">
        <v>0</v>
      </c>
      <c r="H19" s="218">
        <v>0</v>
      </c>
      <c r="I19" s="526">
        <f t="shared" si="2"/>
        <v>0</v>
      </c>
      <c r="J19" s="527">
        <f t="shared" si="3"/>
        <v>0</v>
      </c>
      <c r="K19" s="218">
        <f t="shared" si="4"/>
        <v>0</v>
      </c>
      <c r="L19" s="229">
        <f t="shared" si="5"/>
        <v>0</v>
      </c>
      <c r="M19" s="831" t="e">
        <f t="shared" si="6"/>
        <v>#DIV/0!</v>
      </c>
    </row>
    <row r="20" spans="1:13" ht="24" x14ac:dyDescent="0.55000000000000004">
      <c r="A20" s="216">
        <v>14</v>
      </c>
      <c r="B20" s="48" t="s">
        <v>192</v>
      </c>
      <c r="C20" s="49"/>
      <c r="D20" s="830">
        <v>72000</v>
      </c>
      <c r="E20" s="218">
        <v>3000</v>
      </c>
      <c r="F20" s="525">
        <f t="shared" si="1"/>
        <v>69000</v>
      </c>
      <c r="G20" s="524">
        <v>0</v>
      </c>
      <c r="H20" s="218">
        <v>0</v>
      </c>
      <c r="I20" s="526">
        <f t="shared" si="2"/>
        <v>0</v>
      </c>
      <c r="J20" s="527">
        <f t="shared" si="3"/>
        <v>72000</v>
      </c>
      <c r="K20" s="218">
        <f t="shared" si="4"/>
        <v>3000</v>
      </c>
      <c r="L20" s="229">
        <f t="shared" si="5"/>
        <v>69000</v>
      </c>
      <c r="M20" s="528">
        <f t="shared" si="6"/>
        <v>4.166666666666667</v>
      </c>
    </row>
    <row r="21" spans="1:13" ht="24" x14ac:dyDescent="0.55000000000000004">
      <c r="A21" s="216">
        <v>15</v>
      </c>
      <c r="B21" s="48" t="s">
        <v>196</v>
      </c>
      <c r="C21" s="49"/>
      <c r="D21" s="830">
        <v>108000</v>
      </c>
      <c r="E21" s="218">
        <v>21300</v>
      </c>
      <c r="F21" s="525">
        <f t="shared" si="1"/>
        <v>86700</v>
      </c>
      <c r="G21" s="524">
        <v>0</v>
      </c>
      <c r="H21" s="218">
        <v>0</v>
      </c>
      <c r="I21" s="526">
        <f t="shared" si="2"/>
        <v>0</v>
      </c>
      <c r="J21" s="527">
        <f t="shared" si="3"/>
        <v>108000</v>
      </c>
      <c r="K21" s="218">
        <f t="shared" si="4"/>
        <v>21300</v>
      </c>
      <c r="L21" s="229">
        <f t="shared" si="5"/>
        <v>86700</v>
      </c>
      <c r="M21" s="528">
        <f t="shared" si="6"/>
        <v>19.722222222222221</v>
      </c>
    </row>
    <row r="22" spans="1:13" ht="24" x14ac:dyDescent="0.5">
      <c r="A22" s="216">
        <v>16</v>
      </c>
      <c r="B22" s="48" t="s">
        <v>197</v>
      </c>
      <c r="C22" s="49"/>
      <c r="D22" s="524">
        <v>0</v>
      </c>
      <c r="E22" s="218">
        <f t="shared" si="0"/>
        <v>0</v>
      </c>
      <c r="F22" s="525">
        <f t="shared" si="1"/>
        <v>0</v>
      </c>
      <c r="G22" s="524">
        <v>0</v>
      </c>
      <c r="H22" s="218">
        <v>0</v>
      </c>
      <c r="I22" s="526">
        <f t="shared" si="2"/>
        <v>0</v>
      </c>
      <c r="J22" s="527">
        <f t="shared" si="3"/>
        <v>0</v>
      </c>
      <c r="K22" s="218">
        <f t="shared" si="4"/>
        <v>0</v>
      </c>
      <c r="L22" s="229">
        <f t="shared" si="5"/>
        <v>0</v>
      </c>
      <c r="M22" s="831" t="e">
        <f t="shared" si="6"/>
        <v>#DIV/0!</v>
      </c>
    </row>
    <row r="23" spans="1:13" ht="24" x14ac:dyDescent="0.5">
      <c r="A23" s="216">
        <v>17</v>
      </c>
      <c r="B23" s="48" t="s">
        <v>194</v>
      </c>
      <c r="C23" s="49" t="s">
        <v>121</v>
      </c>
      <c r="D23" s="524">
        <v>0</v>
      </c>
      <c r="E23" s="218">
        <f t="shared" si="0"/>
        <v>0</v>
      </c>
      <c r="F23" s="525">
        <f t="shared" si="1"/>
        <v>0</v>
      </c>
      <c r="G23" s="524">
        <v>0</v>
      </c>
      <c r="H23" s="218">
        <v>0</v>
      </c>
      <c r="I23" s="526">
        <f t="shared" si="2"/>
        <v>0</v>
      </c>
      <c r="J23" s="527">
        <f t="shared" si="3"/>
        <v>0</v>
      </c>
      <c r="K23" s="218">
        <f t="shared" si="4"/>
        <v>0</v>
      </c>
      <c r="L23" s="229">
        <f t="shared" si="5"/>
        <v>0</v>
      </c>
      <c r="M23" s="831" t="e">
        <f t="shared" si="6"/>
        <v>#DIV/0!</v>
      </c>
    </row>
    <row r="24" spans="1:13" ht="24" x14ac:dyDescent="0.5">
      <c r="A24" s="216">
        <v>18</v>
      </c>
      <c r="B24" s="48" t="s">
        <v>194</v>
      </c>
      <c r="C24" s="49" t="s">
        <v>122</v>
      </c>
      <c r="D24" s="524">
        <v>0</v>
      </c>
      <c r="E24" s="218">
        <f t="shared" si="0"/>
        <v>0</v>
      </c>
      <c r="F24" s="525">
        <f t="shared" si="1"/>
        <v>0</v>
      </c>
      <c r="G24" s="524">
        <v>0</v>
      </c>
      <c r="H24" s="218">
        <v>0</v>
      </c>
      <c r="I24" s="526">
        <f t="shared" si="2"/>
        <v>0</v>
      </c>
      <c r="J24" s="527">
        <f t="shared" si="3"/>
        <v>0</v>
      </c>
      <c r="K24" s="218">
        <f t="shared" si="4"/>
        <v>0</v>
      </c>
      <c r="L24" s="229">
        <f t="shared" si="5"/>
        <v>0</v>
      </c>
      <c r="M24" s="831" t="e">
        <f t="shared" si="6"/>
        <v>#DIV/0!</v>
      </c>
    </row>
    <row r="25" spans="1:13" ht="24" x14ac:dyDescent="0.5">
      <c r="A25" s="216">
        <v>19</v>
      </c>
      <c r="B25" s="48" t="s">
        <v>194</v>
      </c>
      <c r="C25" s="49" t="s">
        <v>19</v>
      </c>
      <c r="D25" s="524">
        <v>0</v>
      </c>
      <c r="E25" s="218">
        <f t="shared" si="0"/>
        <v>0</v>
      </c>
      <c r="F25" s="525">
        <f t="shared" si="1"/>
        <v>0</v>
      </c>
      <c r="G25" s="524">
        <v>0</v>
      </c>
      <c r="H25" s="218">
        <v>0</v>
      </c>
      <c r="I25" s="526">
        <f t="shared" si="2"/>
        <v>0</v>
      </c>
      <c r="J25" s="527">
        <f t="shared" si="3"/>
        <v>0</v>
      </c>
      <c r="K25" s="218">
        <f t="shared" si="4"/>
        <v>0</v>
      </c>
      <c r="L25" s="229">
        <f t="shared" si="5"/>
        <v>0</v>
      </c>
      <c r="M25" s="831" t="e">
        <f t="shared" si="6"/>
        <v>#DIV/0!</v>
      </c>
    </row>
    <row r="26" spans="1:13" ht="24" x14ac:dyDescent="0.5">
      <c r="A26" s="216">
        <v>20</v>
      </c>
      <c r="B26" s="48" t="s">
        <v>194</v>
      </c>
      <c r="C26" s="49" t="s">
        <v>20</v>
      </c>
      <c r="D26" s="524">
        <v>0</v>
      </c>
      <c r="E26" s="218">
        <f t="shared" si="0"/>
        <v>0</v>
      </c>
      <c r="F26" s="525">
        <f t="shared" si="1"/>
        <v>0</v>
      </c>
      <c r="G26" s="524">
        <v>0</v>
      </c>
      <c r="H26" s="218">
        <v>0</v>
      </c>
      <c r="I26" s="526">
        <f t="shared" si="2"/>
        <v>0</v>
      </c>
      <c r="J26" s="527">
        <f t="shared" si="3"/>
        <v>0</v>
      </c>
      <c r="K26" s="218">
        <f t="shared" si="4"/>
        <v>0</v>
      </c>
      <c r="L26" s="229">
        <f t="shared" si="5"/>
        <v>0</v>
      </c>
      <c r="M26" s="831" t="e">
        <f t="shared" si="6"/>
        <v>#DIV/0!</v>
      </c>
    </row>
    <row r="27" spans="1:13" ht="24" x14ac:dyDescent="0.55000000000000004">
      <c r="A27" s="216">
        <v>21</v>
      </c>
      <c r="B27" s="48" t="s">
        <v>194</v>
      </c>
      <c r="C27" s="49" t="s">
        <v>123</v>
      </c>
      <c r="D27" s="830">
        <v>36000</v>
      </c>
      <c r="E27" s="218">
        <v>5100</v>
      </c>
      <c r="F27" s="525">
        <f t="shared" si="1"/>
        <v>30900</v>
      </c>
      <c r="G27" s="524">
        <v>0</v>
      </c>
      <c r="H27" s="218">
        <v>0</v>
      </c>
      <c r="I27" s="526">
        <f t="shared" si="2"/>
        <v>0</v>
      </c>
      <c r="J27" s="527">
        <f t="shared" si="3"/>
        <v>36000</v>
      </c>
      <c r="K27" s="218">
        <f t="shared" si="4"/>
        <v>5100</v>
      </c>
      <c r="L27" s="229">
        <f t="shared" si="5"/>
        <v>30900</v>
      </c>
      <c r="M27" s="528">
        <f t="shared" si="6"/>
        <v>14.166666666666666</v>
      </c>
    </row>
    <row r="28" spans="1:13" ht="24" x14ac:dyDescent="0.5">
      <c r="A28" s="216">
        <v>22</v>
      </c>
      <c r="B28" s="48" t="s">
        <v>194</v>
      </c>
      <c r="C28" s="49" t="s">
        <v>124</v>
      </c>
      <c r="D28" s="524">
        <v>0</v>
      </c>
      <c r="E28" s="218">
        <f t="shared" si="0"/>
        <v>0</v>
      </c>
      <c r="F28" s="525">
        <f t="shared" si="1"/>
        <v>0</v>
      </c>
      <c r="G28" s="524">
        <v>0</v>
      </c>
      <c r="H28" s="218">
        <v>0</v>
      </c>
      <c r="I28" s="526">
        <f t="shared" si="2"/>
        <v>0</v>
      </c>
      <c r="J28" s="527">
        <f t="shared" si="3"/>
        <v>0</v>
      </c>
      <c r="K28" s="218">
        <f t="shared" si="4"/>
        <v>0</v>
      </c>
      <c r="L28" s="229">
        <f t="shared" si="5"/>
        <v>0</v>
      </c>
      <c r="M28" s="831" t="e">
        <f t="shared" si="6"/>
        <v>#DIV/0!</v>
      </c>
    </row>
    <row r="29" spans="1:13" ht="24" x14ac:dyDescent="0.55000000000000004">
      <c r="A29" s="216">
        <v>23</v>
      </c>
      <c r="B29" s="48" t="s">
        <v>194</v>
      </c>
      <c r="C29" s="49" t="s">
        <v>125</v>
      </c>
      <c r="D29" s="830">
        <v>64800</v>
      </c>
      <c r="E29" s="218">
        <v>18000</v>
      </c>
      <c r="F29" s="525">
        <f t="shared" si="1"/>
        <v>46800</v>
      </c>
      <c r="G29" s="524">
        <v>0</v>
      </c>
      <c r="H29" s="218">
        <v>0</v>
      </c>
      <c r="I29" s="526">
        <f t="shared" si="2"/>
        <v>0</v>
      </c>
      <c r="J29" s="527">
        <f t="shared" si="3"/>
        <v>64800</v>
      </c>
      <c r="K29" s="218">
        <f t="shared" si="4"/>
        <v>18000</v>
      </c>
      <c r="L29" s="229">
        <f t="shared" si="5"/>
        <v>46800</v>
      </c>
      <c r="M29" s="528">
        <f t="shared" si="6"/>
        <v>27.777777777777779</v>
      </c>
    </row>
    <row r="30" spans="1:13" ht="24" x14ac:dyDescent="0.5">
      <c r="A30" s="216">
        <v>24</v>
      </c>
      <c r="B30" s="48" t="s">
        <v>194</v>
      </c>
      <c r="C30" s="49" t="s">
        <v>21</v>
      </c>
      <c r="D30" s="524">
        <v>0</v>
      </c>
      <c r="E30" s="218">
        <f t="shared" si="0"/>
        <v>0</v>
      </c>
      <c r="F30" s="525">
        <f t="shared" si="1"/>
        <v>0</v>
      </c>
      <c r="G30" s="524">
        <v>0</v>
      </c>
      <c r="H30" s="218">
        <v>0</v>
      </c>
      <c r="I30" s="526">
        <f t="shared" si="2"/>
        <v>0</v>
      </c>
      <c r="J30" s="527">
        <f t="shared" si="3"/>
        <v>0</v>
      </c>
      <c r="K30" s="218">
        <f t="shared" si="4"/>
        <v>0</v>
      </c>
      <c r="L30" s="229">
        <f t="shared" si="5"/>
        <v>0</v>
      </c>
      <c r="M30" s="831" t="e">
        <f t="shared" si="6"/>
        <v>#DIV/0!</v>
      </c>
    </row>
    <row r="31" spans="1:13" ht="24" x14ac:dyDescent="0.5">
      <c r="A31" s="216">
        <v>25</v>
      </c>
      <c r="B31" s="48" t="s">
        <v>194</v>
      </c>
      <c r="C31" s="49" t="s">
        <v>22</v>
      </c>
      <c r="D31" s="524">
        <v>0</v>
      </c>
      <c r="E31" s="218">
        <f t="shared" si="0"/>
        <v>0</v>
      </c>
      <c r="F31" s="525">
        <f t="shared" si="1"/>
        <v>0</v>
      </c>
      <c r="G31" s="524">
        <v>0</v>
      </c>
      <c r="H31" s="218">
        <v>0</v>
      </c>
      <c r="I31" s="526">
        <f t="shared" si="2"/>
        <v>0</v>
      </c>
      <c r="J31" s="527">
        <f t="shared" si="3"/>
        <v>0</v>
      </c>
      <c r="K31" s="218">
        <f t="shared" si="4"/>
        <v>0</v>
      </c>
      <c r="L31" s="229">
        <f t="shared" si="5"/>
        <v>0</v>
      </c>
      <c r="M31" s="831" t="e">
        <f t="shared" si="6"/>
        <v>#DIV/0!</v>
      </c>
    </row>
    <row r="32" spans="1:13" ht="24" x14ac:dyDescent="0.5">
      <c r="A32" s="216">
        <v>26</v>
      </c>
      <c r="B32" s="48" t="s">
        <v>194</v>
      </c>
      <c r="C32" s="49" t="s">
        <v>126</v>
      </c>
      <c r="D32" s="524">
        <v>0</v>
      </c>
      <c r="E32" s="218">
        <f t="shared" si="0"/>
        <v>0</v>
      </c>
      <c r="F32" s="525">
        <f t="shared" si="1"/>
        <v>0</v>
      </c>
      <c r="G32" s="524">
        <v>0</v>
      </c>
      <c r="H32" s="218">
        <v>0</v>
      </c>
      <c r="I32" s="526">
        <f t="shared" si="2"/>
        <v>0</v>
      </c>
      <c r="J32" s="527">
        <f t="shared" si="3"/>
        <v>0</v>
      </c>
      <c r="K32" s="218">
        <f t="shared" si="4"/>
        <v>0</v>
      </c>
      <c r="L32" s="229">
        <f t="shared" si="5"/>
        <v>0</v>
      </c>
      <c r="M32" s="831" t="e">
        <f t="shared" si="6"/>
        <v>#DIV/0!</v>
      </c>
    </row>
    <row r="33" spans="1:13" ht="24" x14ac:dyDescent="0.5">
      <c r="A33" s="216">
        <v>27</v>
      </c>
      <c r="B33" s="48" t="s">
        <v>194</v>
      </c>
      <c r="C33" s="49" t="s">
        <v>127</v>
      </c>
      <c r="D33" s="524">
        <v>0</v>
      </c>
      <c r="E33" s="218">
        <f t="shared" si="0"/>
        <v>0</v>
      </c>
      <c r="F33" s="525">
        <f t="shared" si="1"/>
        <v>0</v>
      </c>
      <c r="G33" s="524">
        <v>0</v>
      </c>
      <c r="H33" s="218">
        <v>0</v>
      </c>
      <c r="I33" s="526">
        <f t="shared" si="2"/>
        <v>0</v>
      </c>
      <c r="J33" s="527">
        <f t="shared" si="3"/>
        <v>0</v>
      </c>
      <c r="K33" s="218">
        <f t="shared" si="4"/>
        <v>0</v>
      </c>
      <c r="L33" s="229">
        <f t="shared" si="5"/>
        <v>0</v>
      </c>
      <c r="M33" s="831" t="e">
        <f t="shared" si="6"/>
        <v>#DIV/0!</v>
      </c>
    </row>
    <row r="34" spans="1:13" ht="24" x14ac:dyDescent="0.55000000000000004">
      <c r="A34" s="216">
        <v>28</v>
      </c>
      <c r="B34" s="48" t="s">
        <v>194</v>
      </c>
      <c r="C34" s="49" t="s">
        <v>23</v>
      </c>
      <c r="D34" s="830">
        <v>72000</v>
      </c>
      <c r="E34" s="218">
        <f t="shared" si="0"/>
        <v>0</v>
      </c>
      <c r="F34" s="525">
        <f t="shared" si="1"/>
        <v>72000</v>
      </c>
      <c r="G34" s="524">
        <v>0</v>
      </c>
      <c r="H34" s="218">
        <v>0</v>
      </c>
      <c r="I34" s="526">
        <f t="shared" si="2"/>
        <v>0</v>
      </c>
      <c r="J34" s="527">
        <f t="shared" si="3"/>
        <v>72000</v>
      </c>
      <c r="K34" s="218">
        <f t="shared" si="4"/>
        <v>0</v>
      </c>
      <c r="L34" s="229">
        <f t="shared" si="5"/>
        <v>72000</v>
      </c>
      <c r="M34" s="528">
        <f t="shared" si="6"/>
        <v>0</v>
      </c>
    </row>
    <row r="35" spans="1:13" ht="24" x14ac:dyDescent="0.55000000000000004">
      <c r="A35" s="216">
        <v>29</v>
      </c>
      <c r="B35" s="48" t="s">
        <v>194</v>
      </c>
      <c r="C35" s="49" t="s">
        <v>24</v>
      </c>
      <c r="D35" s="830">
        <v>57600</v>
      </c>
      <c r="E35" s="218">
        <v>8709.68</v>
      </c>
      <c r="F35" s="525">
        <f t="shared" si="1"/>
        <v>48890.32</v>
      </c>
      <c r="G35" s="524">
        <v>0</v>
      </c>
      <c r="H35" s="218">
        <v>0</v>
      </c>
      <c r="I35" s="526">
        <f t="shared" si="2"/>
        <v>0</v>
      </c>
      <c r="J35" s="527">
        <f t="shared" si="3"/>
        <v>57600</v>
      </c>
      <c r="K35" s="218">
        <f t="shared" si="4"/>
        <v>8709.68</v>
      </c>
      <c r="L35" s="229">
        <f t="shared" si="5"/>
        <v>48890.32</v>
      </c>
      <c r="M35" s="528">
        <f t="shared" si="6"/>
        <v>15.120972222222223</v>
      </c>
    </row>
    <row r="36" spans="1:13" ht="24" x14ac:dyDescent="0.5">
      <c r="A36" s="216">
        <v>30</v>
      </c>
      <c r="B36" s="48" t="s">
        <v>194</v>
      </c>
      <c r="C36" s="49" t="s">
        <v>25</v>
      </c>
      <c r="D36" s="524">
        <v>0</v>
      </c>
      <c r="E36" s="218">
        <f t="shared" si="0"/>
        <v>0</v>
      </c>
      <c r="F36" s="525">
        <f t="shared" si="1"/>
        <v>0</v>
      </c>
      <c r="G36" s="524">
        <v>0</v>
      </c>
      <c r="H36" s="218">
        <v>0</v>
      </c>
      <c r="I36" s="526">
        <f t="shared" si="2"/>
        <v>0</v>
      </c>
      <c r="J36" s="527">
        <f t="shared" si="3"/>
        <v>0</v>
      </c>
      <c r="K36" s="218">
        <f t="shared" si="4"/>
        <v>0</v>
      </c>
      <c r="L36" s="229">
        <f t="shared" si="5"/>
        <v>0</v>
      </c>
      <c r="M36" s="831" t="e">
        <f t="shared" si="6"/>
        <v>#DIV/0!</v>
      </c>
    </row>
    <row r="37" spans="1:13" ht="24" x14ac:dyDescent="0.55000000000000004">
      <c r="A37" s="216">
        <v>31</v>
      </c>
      <c r="B37" s="48" t="s">
        <v>194</v>
      </c>
      <c r="C37" s="49" t="s">
        <v>173</v>
      </c>
      <c r="D37" s="830">
        <v>36000</v>
      </c>
      <c r="E37" s="218">
        <v>18000</v>
      </c>
      <c r="F37" s="525">
        <f t="shared" si="1"/>
        <v>18000</v>
      </c>
      <c r="G37" s="524">
        <v>0</v>
      </c>
      <c r="H37" s="218">
        <v>0</v>
      </c>
      <c r="I37" s="526">
        <f t="shared" si="2"/>
        <v>0</v>
      </c>
      <c r="J37" s="527">
        <f t="shared" si="3"/>
        <v>36000</v>
      </c>
      <c r="K37" s="218">
        <f t="shared" si="4"/>
        <v>18000</v>
      </c>
      <c r="L37" s="229">
        <f t="shared" si="5"/>
        <v>18000</v>
      </c>
      <c r="M37" s="528">
        <f t="shared" si="6"/>
        <v>50</v>
      </c>
    </row>
    <row r="38" spans="1:13" ht="24" x14ac:dyDescent="0.55000000000000004">
      <c r="A38" s="216">
        <v>32</v>
      </c>
      <c r="B38" s="48" t="s">
        <v>194</v>
      </c>
      <c r="C38" s="49" t="s">
        <v>26</v>
      </c>
      <c r="D38" s="830">
        <v>108000</v>
      </c>
      <c r="E38" s="218">
        <v>17100</v>
      </c>
      <c r="F38" s="525">
        <f t="shared" si="1"/>
        <v>90900</v>
      </c>
      <c r="G38" s="524">
        <v>0</v>
      </c>
      <c r="H38" s="218">
        <v>0</v>
      </c>
      <c r="I38" s="526">
        <f t="shared" si="2"/>
        <v>0</v>
      </c>
      <c r="J38" s="527">
        <f t="shared" si="3"/>
        <v>108000</v>
      </c>
      <c r="K38" s="218">
        <f t="shared" si="4"/>
        <v>17100</v>
      </c>
      <c r="L38" s="229">
        <f t="shared" si="5"/>
        <v>90900</v>
      </c>
      <c r="M38" s="528">
        <f t="shared" si="6"/>
        <v>15.833333333333334</v>
      </c>
    </row>
    <row r="39" spans="1:13" ht="24" x14ac:dyDescent="0.55000000000000004">
      <c r="A39" s="216">
        <v>33</v>
      </c>
      <c r="B39" s="48" t="s">
        <v>194</v>
      </c>
      <c r="C39" s="49" t="s">
        <v>27</v>
      </c>
      <c r="D39" s="830">
        <v>36000</v>
      </c>
      <c r="E39" s="218">
        <v>8100</v>
      </c>
      <c r="F39" s="525">
        <f t="shared" si="1"/>
        <v>27900</v>
      </c>
      <c r="G39" s="524">
        <v>0</v>
      </c>
      <c r="H39" s="218">
        <v>0</v>
      </c>
      <c r="I39" s="526">
        <f t="shared" si="2"/>
        <v>0</v>
      </c>
      <c r="J39" s="527">
        <f t="shared" si="3"/>
        <v>36000</v>
      </c>
      <c r="K39" s="218">
        <f t="shared" si="4"/>
        <v>8100</v>
      </c>
      <c r="L39" s="229">
        <f t="shared" si="5"/>
        <v>27900</v>
      </c>
      <c r="M39" s="528">
        <f t="shared" si="6"/>
        <v>22.5</v>
      </c>
    </row>
    <row r="40" spans="1:13" ht="24" x14ac:dyDescent="0.55000000000000004">
      <c r="A40" s="216">
        <v>34</v>
      </c>
      <c r="B40" s="48" t="s">
        <v>194</v>
      </c>
      <c r="C40" s="49" t="s">
        <v>28</v>
      </c>
      <c r="D40" s="830">
        <v>36000</v>
      </c>
      <c r="E40" s="218">
        <f t="shared" si="0"/>
        <v>0</v>
      </c>
      <c r="F40" s="525">
        <f t="shared" si="1"/>
        <v>36000</v>
      </c>
      <c r="G40" s="524">
        <v>0</v>
      </c>
      <c r="H40" s="218">
        <v>0</v>
      </c>
      <c r="I40" s="526">
        <f t="shared" si="2"/>
        <v>0</v>
      </c>
      <c r="J40" s="527">
        <f t="shared" si="3"/>
        <v>36000</v>
      </c>
      <c r="K40" s="218">
        <f t="shared" si="4"/>
        <v>0</v>
      </c>
      <c r="L40" s="229">
        <f t="shared" si="5"/>
        <v>36000</v>
      </c>
      <c r="M40" s="528">
        <f t="shared" si="6"/>
        <v>0</v>
      </c>
    </row>
    <row r="41" spans="1:13" ht="24" x14ac:dyDescent="0.5">
      <c r="A41" s="216">
        <v>35</v>
      </c>
      <c r="B41" s="48" t="s">
        <v>194</v>
      </c>
      <c r="C41" s="49" t="s">
        <v>128</v>
      </c>
      <c r="D41" s="524">
        <v>0</v>
      </c>
      <c r="E41" s="218">
        <f t="shared" si="0"/>
        <v>0</v>
      </c>
      <c r="F41" s="525">
        <f t="shared" si="1"/>
        <v>0</v>
      </c>
      <c r="G41" s="524">
        <v>0</v>
      </c>
      <c r="H41" s="218">
        <v>0</v>
      </c>
      <c r="I41" s="526">
        <f t="shared" si="2"/>
        <v>0</v>
      </c>
      <c r="J41" s="527">
        <f t="shared" si="3"/>
        <v>0</v>
      </c>
      <c r="K41" s="218">
        <f t="shared" si="4"/>
        <v>0</v>
      </c>
      <c r="L41" s="229">
        <f t="shared" si="5"/>
        <v>0</v>
      </c>
      <c r="M41" s="831" t="e">
        <f t="shared" si="6"/>
        <v>#DIV/0!</v>
      </c>
    </row>
    <row r="42" spans="1:13" ht="24" x14ac:dyDescent="0.5">
      <c r="A42" s="216">
        <v>36</v>
      </c>
      <c r="B42" s="48" t="s">
        <v>194</v>
      </c>
      <c r="C42" s="49" t="s">
        <v>29</v>
      </c>
      <c r="D42" s="524">
        <v>0</v>
      </c>
      <c r="E42" s="218">
        <f t="shared" si="0"/>
        <v>0</v>
      </c>
      <c r="F42" s="525">
        <f t="shared" si="1"/>
        <v>0</v>
      </c>
      <c r="G42" s="524">
        <v>0</v>
      </c>
      <c r="H42" s="218">
        <v>0</v>
      </c>
      <c r="I42" s="526">
        <f t="shared" si="2"/>
        <v>0</v>
      </c>
      <c r="J42" s="527">
        <f t="shared" si="3"/>
        <v>0</v>
      </c>
      <c r="K42" s="218">
        <f t="shared" si="4"/>
        <v>0</v>
      </c>
      <c r="L42" s="229">
        <f t="shared" si="5"/>
        <v>0</v>
      </c>
      <c r="M42" s="831" t="e">
        <f t="shared" si="6"/>
        <v>#DIV/0!</v>
      </c>
    </row>
    <row r="43" spans="1:13" ht="24" x14ac:dyDescent="0.55000000000000004">
      <c r="A43" s="216">
        <v>37</v>
      </c>
      <c r="B43" s="48" t="s">
        <v>194</v>
      </c>
      <c r="C43" s="49" t="s">
        <v>30</v>
      </c>
      <c r="D43" s="830">
        <v>108000</v>
      </c>
      <c r="E43" s="218">
        <v>13200</v>
      </c>
      <c r="F43" s="525">
        <f t="shared" si="1"/>
        <v>94800</v>
      </c>
      <c r="G43" s="524">
        <v>0</v>
      </c>
      <c r="H43" s="218">
        <v>0</v>
      </c>
      <c r="I43" s="526">
        <f t="shared" si="2"/>
        <v>0</v>
      </c>
      <c r="J43" s="527">
        <f t="shared" si="3"/>
        <v>108000</v>
      </c>
      <c r="K43" s="218">
        <f t="shared" si="4"/>
        <v>13200</v>
      </c>
      <c r="L43" s="229">
        <f t="shared" si="5"/>
        <v>94800</v>
      </c>
      <c r="M43" s="528">
        <f t="shared" si="6"/>
        <v>12.222222222222221</v>
      </c>
    </row>
    <row r="44" spans="1:13" ht="24" x14ac:dyDescent="0.55000000000000004">
      <c r="A44" s="216">
        <v>38</v>
      </c>
      <c r="B44" s="48" t="s">
        <v>194</v>
      </c>
      <c r="C44" s="49" t="s">
        <v>31</v>
      </c>
      <c r="D44" s="830">
        <v>36000</v>
      </c>
      <c r="E44" s="218">
        <v>18000</v>
      </c>
      <c r="F44" s="525">
        <f t="shared" si="1"/>
        <v>18000</v>
      </c>
      <c r="G44" s="524">
        <v>0</v>
      </c>
      <c r="H44" s="218">
        <v>0</v>
      </c>
      <c r="I44" s="526">
        <f t="shared" si="2"/>
        <v>0</v>
      </c>
      <c r="J44" s="527">
        <f t="shared" si="3"/>
        <v>36000</v>
      </c>
      <c r="K44" s="218">
        <f t="shared" si="4"/>
        <v>18000</v>
      </c>
      <c r="L44" s="229">
        <f t="shared" si="5"/>
        <v>18000</v>
      </c>
      <c r="M44" s="528">
        <f t="shared" si="6"/>
        <v>50</v>
      </c>
    </row>
    <row r="45" spans="1:13" ht="24" x14ac:dyDescent="0.5">
      <c r="A45" s="216">
        <v>39</v>
      </c>
      <c r="B45" s="48" t="s">
        <v>194</v>
      </c>
      <c r="C45" s="49" t="s">
        <v>129</v>
      </c>
      <c r="D45" s="524">
        <v>0</v>
      </c>
      <c r="E45" s="218">
        <f t="shared" si="0"/>
        <v>0</v>
      </c>
      <c r="F45" s="525">
        <f t="shared" si="1"/>
        <v>0</v>
      </c>
      <c r="G45" s="524">
        <v>0</v>
      </c>
      <c r="H45" s="218">
        <v>0</v>
      </c>
      <c r="I45" s="526">
        <f t="shared" si="2"/>
        <v>0</v>
      </c>
      <c r="J45" s="527">
        <f t="shared" si="3"/>
        <v>0</v>
      </c>
      <c r="K45" s="218">
        <f t="shared" si="4"/>
        <v>0</v>
      </c>
      <c r="L45" s="229">
        <f t="shared" si="5"/>
        <v>0</v>
      </c>
      <c r="M45" s="831" t="e">
        <f t="shared" si="6"/>
        <v>#DIV/0!</v>
      </c>
    </row>
    <row r="46" spans="1:13" ht="24" x14ac:dyDescent="0.55000000000000004">
      <c r="A46" s="216">
        <v>40</v>
      </c>
      <c r="B46" s="48" t="s">
        <v>194</v>
      </c>
      <c r="C46" s="49" t="s">
        <v>32</v>
      </c>
      <c r="D46" s="830">
        <v>36000</v>
      </c>
      <c r="E46" s="218">
        <v>18000</v>
      </c>
      <c r="F46" s="525">
        <f t="shared" si="1"/>
        <v>18000</v>
      </c>
      <c r="G46" s="524">
        <v>0</v>
      </c>
      <c r="H46" s="218">
        <v>0</v>
      </c>
      <c r="I46" s="526">
        <f t="shared" si="2"/>
        <v>0</v>
      </c>
      <c r="J46" s="527">
        <f t="shared" si="3"/>
        <v>36000</v>
      </c>
      <c r="K46" s="218">
        <f t="shared" si="4"/>
        <v>18000</v>
      </c>
      <c r="L46" s="229">
        <f t="shared" si="5"/>
        <v>18000</v>
      </c>
      <c r="M46" s="528">
        <f t="shared" si="6"/>
        <v>50</v>
      </c>
    </row>
    <row r="47" spans="1:13" ht="24" x14ac:dyDescent="0.5">
      <c r="A47" s="216">
        <v>41</v>
      </c>
      <c r="B47" s="48" t="s">
        <v>194</v>
      </c>
      <c r="C47" s="49" t="s">
        <v>33</v>
      </c>
      <c r="D47" s="524">
        <v>0</v>
      </c>
      <c r="E47" s="218">
        <f t="shared" si="0"/>
        <v>0</v>
      </c>
      <c r="F47" s="525">
        <f t="shared" si="1"/>
        <v>0</v>
      </c>
      <c r="G47" s="524">
        <v>0</v>
      </c>
      <c r="H47" s="218">
        <v>0</v>
      </c>
      <c r="I47" s="526">
        <f t="shared" si="2"/>
        <v>0</v>
      </c>
      <c r="J47" s="527">
        <f t="shared" si="3"/>
        <v>0</v>
      </c>
      <c r="K47" s="218">
        <f t="shared" si="4"/>
        <v>0</v>
      </c>
      <c r="L47" s="229">
        <f t="shared" si="5"/>
        <v>0</v>
      </c>
      <c r="M47" s="831" t="e">
        <f t="shared" si="6"/>
        <v>#DIV/0!</v>
      </c>
    </row>
    <row r="48" spans="1:13" ht="24" x14ac:dyDescent="0.55000000000000004">
      <c r="A48" s="216">
        <v>42</v>
      </c>
      <c r="B48" s="48" t="s">
        <v>194</v>
      </c>
      <c r="C48" s="49" t="s">
        <v>34</v>
      </c>
      <c r="D48" s="830">
        <v>36000</v>
      </c>
      <c r="E48" s="218">
        <f t="shared" si="0"/>
        <v>0</v>
      </c>
      <c r="F48" s="525">
        <f t="shared" si="1"/>
        <v>36000</v>
      </c>
      <c r="G48" s="524">
        <v>0</v>
      </c>
      <c r="H48" s="218">
        <v>0</v>
      </c>
      <c r="I48" s="526">
        <f t="shared" si="2"/>
        <v>0</v>
      </c>
      <c r="J48" s="527">
        <f t="shared" si="3"/>
        <v>36000</v>
      </c>
      <c r="K48" s="218">
        <f t="shared" si="4"/>
        <v>0</v>
      </c>
      <c r="L48" s="229">
        <f t="shared" si="5"/>
        <v>36000</v>
      </c>
      <c r="M48" s="528">
        <f t="shared" si="6"/>
        <v>0</v>
      </c>
    </row>
    <row r="49" spans="1:13" ht="24" x14ac:dyDescent="0.5">
      <c r="A49" s="216">
        <v>43</v>
      </c>
      <c r="B49" s="48" t="s">
        <v>194</v>
      </c>
      <c r="C49" s="49" t="s">
        <v>35</v>
      </c>
      <c r="D49" s="524">
        <v>0</v>
      </c>
      <c r="E49" s="218">
        <f t="shared" si="0"/>
        <v>0</v>
      </c>
      <c r="F49" s="525">
        <f t="shared" si="1"/>
        <v>0</v>
      </c>
      <c r="G49" s="524">
        <v>0</v>
      </c>
      <c r="H49" s="218">
        <v>0</v>
      </c>
      <c r="I49" s="526">
        <f t="shared" si="2"/>
        <v>0</v>
      </c>
      <c r="J49" s="527">
        <f t="shared" si="3"/>
        <v>0</v>
      </c>
      <c r="K49" s="218">
        <f t="shared" si="4"/>
        <v>0</v>
      </c>
      <c r="L49" s="229">
        <f t="shared" si="5"/>
        <v>0</v>
      </c>
      <c r="M49" s="831" t="e">
        <f t="shared" si="6"/>
        <v>#DIV/0!</v>
      </c>
    </row>
    <row r="50" spans="1:13" ht="24" x14ac:dyDescent="0.55000000000000004">
      <c r="A50" s="216">
        <v>44</v>
      </c>
      <c r="B50" s="48" t="s">
        <v>194</v>
      </c>
      <c r="C50" s="49" t="s">
        <v>130</v>
      </c>
      <c r="D50" s="830">
        <v>108000</v>
      </c>
      <c r="E50" s="218">
        <v>14700</v>
      </c>
      <c r="F50" s="525">
        <f t="shared" si="1"/>
        <v>93300</v>
      </c>
      <c r="G50" s="524">
        <v>0</v>
      </c>
      <c r="H50" s="218">
        <v>0</v>
      </c>
      <c r="I50" s="526">
        <f t="shared" si="2"/>
        <v>0</v>
      </c>
      <c r="J50" s="527">
        <f t="shared" si="3"/>
        <v>108000</v>
      </c>
      <c r="K50" s="218">
        <f t="shared" si="4"/>
        <v>14700</v>
      </c>
      <c r="L50" s="229">
        <f t="shared" si="5"/>
        <v>93300</v>
      </c>
      <c r="M50" s="528">
        <f t="shared" si="6"/>
        <v>13.611111111111111</v>
      </c>
    </row>
    <row r="51" spans="1:13" ht="24" x14ac:dyDescent="0.5">
      <c r="A51" s="216">
        <v>45</v>
      </c>
      <c r="B51" s="48" t="s">
        <v>194</v>
      </c>
      <c r="C51" s="49" t="s">
        <v>36</v>
      </c>
      <c r="D51" s="524">
        <v>0</v>
      </c>
      <c r="E51" s="218">
        <f t="shared" si="0"/>
        <v>0</v>
      </c>
      <c r="F51" s="525">
        <f t="shared" si="1"/>
        <v>0</v>
      </c>
      <c r="G51" s="524">
        <v>0</v>
      </c>
      <c r="H51" s="218">
        <v>0</v>
      </c>
      <c r="I51" s="526">
        <f t="shared" si="2"/>
        <v>0</v>
      </c>
      <c r="J51" s="527">
        <f t="shared" si="3"/>
        <v>0</v>
      </c>
      <c r="K51" s="218">
        <f t="shared" si="4"/>
        <v>0</v>
      </c>
      <c r="L51" s="229">
        <f t="shared" si="5"/>
        <v>0</v>
      </c>
      <c r="M51" s="831" t="e">
        <f t="shared" si="6"/>
        <v>#DIV/0!</v>
      </c>
    </row>
    <row r="52" spans="1:13" ht="24" x14ac:dyDescent="0.5">
      <c r="A52" s="216">
        <v>46</v>
      </c>
      <c r="B52" s="48" t="s">
        <v>194</v>
      </c>
      <c r="C52" s="49" t="s">
        <v>37</v>
      </c>
      <c r="D52" s="524">
        <v>0</v>
      </c>
      <c r="E52" s="218">
        <f t="shared" si="0"/>
        <v>0</v>
      </c>
      <c r="F52" s="525">
        <f t="shared" si="1"/>
        <v>0</v>
      </c>
      <c r="G52" s="524">
        <v>0</v>
      </c>
      <c r="H52" s="218">
        <v>0</v>
      </c>
      <c r="I52" s="526">
        <f t="shared" si="2"/>
        <v>0</v>
      </c>
      <c r="J52" s="527">
        <f t="shared" si="3"/>
        <v>0</v>
      </c>
      <c r="K52" s="218">
        <f t="shared" si="4"/>
        <v>0</v>
      </c>
      <c r="L52" s="229">
        <f t="shared" si="5"/>
        <v>0</v>
      </c>
      <c r="M52" s="831" t="e">
        <f t="shared" si="6"/>
        <v>#DIV/0!</v>
      </c>
    </row>
    <row r="53" spans="1:13" ht="24" x14ac:dyDescent="0.5">
      <c r="A53" s="216">
        <v>47</v>
      </c>
      <c r="B53" s="48" t="s">
        <v>194</v>
      </c>
      <c r="C53" s="49" t="s">
        <v>38</v>
      </c>
      <c r="D53" s="524">
        <v>0</v>
      </c>
      <c r="E53" s="218">
        <f t="shared" si="0"/>
        <v>0</v>
      </c>
      <c r="F53" s="525">
        <f t="shared" si="1"/>
        <v>0</v>
      </c>
      <c r="G53" s="524">
        <v>0</v>
      </c>
      <c r="H53" s="218">
        <v>0</v>
      </c>
      <c r="I53" s="526">
        <f t="shared" si="2"/>
        <v>0</v>
      </c>
      <c r="J53" s="527">
        <f t="shared" si="3"/>
        <v>0</v>
      </c>
      <c r="K53" s="218">
        <f t="shared" si="4"/>
        <v>0</v>
      </c>
      <c r="L53" s="229">
        <f t="shared" si="5"/>
        <v>0</v>
      </c>
      <c r="M53" s="831" t="e">
        <f t="shared" si="6"/>
        <v>#DIV/0!</v>
      </c>
    </row>
    <row r="54" spans="1:13" ht="24" x14ac:dyDescent="0.5">
      <c r="A54" s="216">
        <v>48</v>
      </c>
      <c r="B54" s="48" t="s">
        <v>194</v>
      </c>
      <c r="C54" s="49" t="s">
        <v>131</v>
      </c>
      <c r="D54" s="524">
        <v>0</v>
      </c>
      <c r="E54" s="218">
        <f t="shared" si="0"/>
        <v>0</v>
      </c>
      <c r="F54" s="525">
        <f t="shared" si="1"/>
        <v>0</v>
      </c>
      <c r="G54" s="524">
        <v>0</v>
      </c>
      <c r="H54" s="218">
        <v>0</v>
      </c>
      <c r="I54" s="526">
        <f t="shared" si="2"/>
        <v>0</v>
      </c>
      <c r="J54" s="527">
        <f t="shared" si="3"/>
        <v>0</v>
      </c>
      <c r="K54" s="218">
        <f t="shared" si="4"/>
        <v>0</v>
      </c>
      <c r="L54" s="229">
        <f t="shared" si="5"/>
        <v>0</v>
      </c>
      <c r="M54" s="831" t="e">
        <f t="shared" si="6"/>
        <v>#DIV/0!</v>
      </c>
    </row>
    <row r="55" spans="1:13" ht="24" x14ac:dyDescent="0.55000000000000004">
      <c r="A55" s="216">
        <v>49</v>
      </c>
      <c r="B55" s="48" t="s">
        <v>194</v>
      </c>
      <c r="C55" s="49" t="s">
        <v>132</v>
      </c>
      <c r="D55" s="830">
        <v>36000</v>
      </c>
      <c r="E55" s="218">
        <v>8700</v>
      </c>
      <c r="F55" s="525">
        <f t="shared" si="1"/>
        <v>27300</v>
      </c>
      <c r="G55" s="524">
        <v>0</v>
      </c>
      <c r="H55" s="218">
        <v>0</v>
      </c>
      <c r="I55" s="526">
        <f t="shared" si="2"/>
        <v>0</v>
      </c>
      <c r="J55" s="527">
        <f t="shared" si="3"/>
        <v>36000</v>
      </c>
      <c r="K55" s="218">
        <f t="shared" si="4"/>
        <v>8700</v>
      </c>
      <c r="L55" s="229">
        <f t="shared" si="5"/>
        <v>27300</v>
      </c>
      <c r="M55" s="528">
        <f t="shared" si="6"/>
        <v>24.166666666666668</v>
      </c>
    </row>
    <row r="56" spans="1:13" ht="24" x14ac:dyDescent="0.5">
      <c r="A56" s="216">
        <v>50</v>
      </c>
      <c r="B56" s="48" t="s">
        <v>194</v>
      </c>
      <c r="C56" s="49" t="s">
        <v>133</v>
      </c>
      <c r="D56" s="524">
        <v>0</v>
      </c>
      <c r="E56" s="218">
        <f t="shared" si="0"/>
        <v>0</v>
      </c>
      <c r="F56" s="525">
        <f t="shared" si="1"/>
        <v>0</v>
      </c>
      <c r="G56" s="524">
        <v>0</v>
      </c>
      <c r="H56" s="218">
        <v>0</v>
      </c>
      <c r="I56" s="526">
        <f t="shared" si="2"/>
        <v>0</v>
      </c>
      <c r="J56" s="527">
        <f t="shared" si="3"/>
        <v>0</v>
      </c>
      <c r="K56" s="218">
        <f t="shared" si="4"/>
        <v>0</v>
      </c>
      <c r="L56" s="229">
        <f t="shared" si="5"/>
        <v>0</v>
      </c>
      <c r="M56" s="831" t="e">
        <f t="shared" si="6"/>
        <v>#DIV/0!</v>
      </c>
    </row>
    <row r="57" spans="1:13" ht="24" x14ac:dyDescent="0.55000000000000004">
      <c r="A57" s="216">
        <v>51</v>
      </c>
      <c r="B57" s="48" t="s">
        <v>194</v>
      </c>
      <c r="C57" s="49" t="s">
        <v>134</v>
      </c>
      <c r="D57" s="830">
        <v>108000</v>
      </c>
      <c r="E57" s="218">
        <v>7500</v>
      </c>
      <c r="F57" s="525">
        <f t="shared" si="1"/>
        <v>100500</v>
      </c>
      <c r="G57" s="524">
        <v>0</v>
      </c>
      <c r="H57" s="218">
        <v>0</v>
      </c>
      <c r="I57" s="526">
        <f t="shared" si="2"/>
        <v>0</v>
      </c>
      <c r="J57" s="527">
        <f t="shared" si="3"/>
        <v>108000</v>
      </c>
      <c r="K57" s="218">
        <f t="shared" si="4"/>
        <v>7500</v>
      </c>
      <c r="L57" s="229">
        <f t="shared" si="5"/>
        <v>100500</v>
      </c>
      <c r="M57" s="528">
        <f t="shared" si="6"/>
        <v>6.9444444444444446</v>
      </c>
    </row>
    <row r="58" spans="1:13" ht="24" x14ac:dyDescent="0.5">
      <c r="A58" s="216">
        <v>52</v>
      </c>
      <c r="B58" s="48" t="s">
        <v>194</v>
      </c>
      <c r="C58" s="49" t="s">
        <v>135</v>
      </c>
      <c r="D58" s="524">
        <v>0</v>
      </c>
      <c r="E58" s="218">
        <f t="shared" si="0"/>
        <v>0</v>
      </c>
      <c r="F58" s="525">
        <f t="shared" si="1"/>
        <v>0</v>
      </c>
      <c r="G58" s="524">
        <v>0</v>
      </c>
      <c r="H58" s="218">
        <v>0</v>
      </c>
      <c r="I58" s="526">
        <f t="shared" si="2"/>
        <v>0</v>
      </c>
      <c r="J58" s="527">
        <f t="shared" si="3"/>
        <v>0</v>
      </c>
      <c r="K58" s="218">
        <f t="shared" si="4"/>
        <v>0</v>
      </c>
      <c r="L58" s="229">
        <f t="shared" si="5"/>
        <v>0</v>
      </c>
      <c r="M58" s="831" t="e">
        <f t="shared" si="6"/>
        <v>#DIV/0!</v>
      </c>
    </row>
    <row r="59" spans="1:13" ht="24" x14ac:dyDescent="0.55000000000000004">
      <c r="A59" s="216">
        <v>53</v>
      </c>
      <c r="B59" s="48" t="s">
        <v>194</v>
      </c>
      <c r="C59" s="49" t="s">
        <v>136</v>
      </c>
      <c r="D59" s="830">
        <v>72000</v>
      </c>
      <c r="E59" s="218">
        <v>3300</v>
      </c>
      <c r="F59" s="525">
        <f t="shared" si="1"/>
        <v>68700</v>
      </c>
      <c r="G59" s="524">
        <v>0</v>
      </c>
      <c r="H59" s="218">
        <v>0</v>
      </c>
      <c r="I59" s="526">
        <f t="shared" si="2"/>
        <v>0</v>
      </c>
      <c r="J59" s="527">
        <f t="shared" si="3"/>
        <v>72000</v>
      </c>
      <c r="K59" s="218">
        <f t="shared" si="4"/>
        <v>3300</v>
      </c>
      <c r="L59" s="229">
        <f t="shared" si="5"/>
        <v>68700</v>
      </c>
      <c r="M59" s="528">
        <f t="shared" si="6"/>
        <v>4.583333333333333</v>
      </c>
    </row>
    <row r="60" spans="1:13" ht="24" x14ac:dyDescent="0.55000000000000004">
      <c r="A60" s="216">
        <v>54</v>
      </c>
      <c r="B60" s="48" t="s">
        <v>194</v>
      </c>
      <c r="C60" s="49" t="s">
        <v>137</v>
      </c>
      <c r="D60" s="830">
        <v>72000</v>
      </c>
      <c r="E60" s="218">
        <v>34800</v>
      </c>
      <c r="F60" s="525">
        <f t="shared" si="1"/>
        <v>37200</v>
      </c>
      <c r="G60" s="524">
        <v>0</v>
      </c>
      <c r="H60" s="218">
        <v>0</v>
      </c>
      <c r="I60" s="526">
        <f t="shared" si="2"/>
        <v>0</v>
      </c>
      <c r="J60" s="527">
        <f t="shared" si="3"/>
        <v>72000</v>
      </c>
      <c r="K60" s="218">
        <f t="shared" si="4"/>
        <v>34800</v>
      </c>
      <c r="L60" s="229">
        <f t="shared" si="5"/>
        <v>37200</v>
      </c>
      <c r="M60" s="528">
        <f t="shared" si="6"/>
        <v>48.333333333333336</v>
      </c>
    </row>
    <row r="61" spans="1:13" ht="24" x14ac:dyDescent="0.55000000000000004">
      <c r="A61" s="216">
        <v>55</v>
      </c>
      <c r="B61" s="48" t="s">
        <v>194</v>
      </c>
      <c r="C61" s="49" t="s">
        <v>39</v>
      </c>
      <c r="D61" s="830">
        <v>72000</v>
      </c>
      <c r="E61" s="218">
        <v>17700</v>
      </c>
      <c r="F61" s="525">
        <f t="shared" si="1"/>
        <v>54300</v>
      </c>
      <c r="G61" s="524">
        <v>0</v>
      </c>
      <c r="H61" s="218">
        <v>0</v>
      </c>
      <c r="I61" s="526">
        <f t="shared" si="2"/>
        <v>0</v>
      </c>
      <c r="J61" s="527">
        <f t="shared" si="3"/>
        <v>72000</v>
      </c>
      <c r="K61" s="218">
        <f t="shared" si="4"/>
        <v>17700</v>
      </c>
      <c r="L61" s="229">
        <f t="shared" si="5"/>
        <v>54300</v>
      </c>
      <c r="M61" s="528">
        <f t="shared" si="6"/>
        <v>24.583333333333332</v>
      </c>
    </row>
    <row r="62" spans="1:13" ht="24" x14ac:dyDescent="0.55000000000000004">
      <c r="A62" s="216">
        <v>56</v>
      </c>
      <c r="B62" s="48" t="s">
        <v>194</v>
      </c>
      <c r="C62" s="49" t="s">
        <v>138</v>
      </c>
      <c r="D62" s="830">
        <v>72000</v>
      </c>
      <c r="E62" s="218">
        <v>10800</v>
      </c>
      <c r="F62" s="525">
        <f t="shared" si="1"/>
        <v>61200</v>
      </c>
      <c r="G62" s="524">
        <v>0</v>
      </c>
      <c r="H62" s="218">
        <v>0</v>
      </c>
      <c r="I62" s="526">
        <f t="shared" si="2"/>
        <v>0</v>
      </c>
      <c r="J62" s="527">
        <f t="shared" si="3"/>
        <v>72000</v>
      </c>
      <c r="K62" s="218">
        <f t="shared" si="4"/>
        <v>10800</v>
      </c>
      <c r="L62" s="229">
        <f t="shared" si="5"/>
        <v>61200</v>
      </c>
      <c r="M62" s="528">
        <f t="shared" si="6"/>
        <v>15</v>
      </c>
    </row>
    <row r="63" spans="1:13" ht="24" x14ac:dyDescent="0.55000000000000004">
      <c r="A63" s="216">
        <v>57</v>
      </c>
      <c r="B63" s="48" t="s">
        <v>194</v>
      </c>
      <c r="C63" s="49" t="s">
        <v>139</v>
      </c>
      <c r="D63" s="830">
        <v>108000</v>
      </c>
      <c r="E63" s="218">
        <v>27000</v>
      </c>
      <c r="F63" s="525">
        <f t="shared" si="1"/>
        <v>81000</v>
      </c>
      <c r="G63" s="524">
        <v>0</v>
      </c>
      <c r="H63" s="218">
        <v>0</v>
      </c>
      <c r="I63" s="526">
        <f t="shared" si="2"/>
        <v>0</v>
      </c>
      <c r="J63" s="527">
        <f t="shared" si="3"/>
        <v>108000</v>
      </c>
      <c r="K63" s="218">
        <f t="shared" si="4"/>
        <v>27000</v>
      </c>
      <c r="L63" s="229">
        <f t="shared" si="5"/>
        <v>81000</v>
      </c>
      <c r="M63" s="528">
        <f t="shared" si="6"/>
        <v>25</v>
      </c>
    </row>
    <row r="64" spans="1:13" ht="24" x14ac:dyDescent="0.5">
      <c r="A64" s="216">
        <v>58</v>
      </c>
      <c r="B64" s="48" t="s">
        <v>194</v>
      </c>
      <c r="C64" s="49" t="s">
        <v>40</v>
      </c>
      <c r="D64" s="524">
        <v>0</v>
      </c>
      <c r="E64" s="218">
        <f t="shared" si="0"/>
        <v>0</v>
      </c>
      <c r="F64" s="525">
        <f t="shared" si="1"/>
        <v>0</v>
      </c>
      <c r="G64" s="524">
        <v>0</v>
      </c>
      <c r="H64" s="218">
        <v>0</v>
      </c>
      <c r="I64" s="526">
        <f t="shared" si="2"/>
        <v>0</v>
      </c>
      <c r="J64" s="527">
        <f t="shared" si="3"/>
        <v>0</v>
      </c>
      <c r="K64" s="218">
        <f t="shared" si="4"/>
        <v>0</v>
      </c>
      <c r="L64" s="229">
        <f t="shared" si="5"/>
        <v>0</v>
      </c>
      <c r="M64" s="831" t="e">
        <f t="shared" si="6"/>
        <v>#DIV/0!</v>
      </c>
    </row>
    <row r="65" spans="1:13" ht="24" x14ac:dyDescent="0.5">
      <c r="A65" s="216">
        <v>59</v>
      </c>
      <c r="B65" s="48" t="s">
        <v>194</v>
      </c>
      <c r="C65" s="49" t="s">
        <v>140</v>
      </c>
      <c r="D65" s="524">
        <v>0</v>
      </c>
      <c r="E65" s="218">
        <f t="shared" si="0"/>
        <v>0</v>
      </c>
      <c r="F65" s="525">
        <f t="shared" si="1"/>
        <v>0</v>
      </c>
      <c r="G65" s="524">
        <v>0</v>
      </c>
      <c r="H65" s="218">
        <v>0</v>
      </c>
      <c r="I65" s="526">
        <f t="shared" si="2"/>
        <v>0</v>
      </c>
      <c r="J65" s="527">
        <f t="shared" si="3"/>
        <v>0</v>
      </c>
      <c r="K65" s="218">
        <f t="shared" si="4"/>
        <v>0</v>
      </c>
      <c r="L65" s="229">
        <f t="shared" si="5"/>
        <v>0</v>
      </c>
      <c r="M65" s="831" t="e">
        <f t="shared" si="6"/>
        <v>#DIV/0!</v>
      </c>
    </row>
    <row r="66" spans="1:13" ht="24" x14ac:dyDescent="0.5">
      <c r="A66" s="216">
        <v>60</v>
      </c>
      <c r="B66" s="48" t="s">
        <v>194</v>
      </c>
      <c r="C66" s="49" t="s">
        <v>141</v>
      </c>
      <c r="D66" s="524">
        <v>0</v>
      </c>
      <c r="E66" s="218">
        <f t="shared" si="0"/>
        <v>0</v>
      </c>
      <c r="F66" s="525">
        <f t="shared" si="1"/>
        <v>0</v>
      </c>
      <c r="G66" s="524">
        <v>0</v>
      </c>
      <c r="H66" s="218">
        <v>0</v>
      </c>
      <c r="I66" s="526">
        <f t="shared" si="2"/>
        <v>0</v>
      </c>
      <c r="J66" s="527">
        <f t="shared" si="3"/>
        <v>0</v>
      </c>
      <c r="K66" s="218">
        <f t="shared" si="4"/>
        <v>0</v>
      </c>
      <c r="L66" s="229">
        <f t="shared" si="5"/>
        <v>0</v>
      </c>
      <c r="M66" s="831" t="e">
        <f t="shared" si="6"/>
        <v>#DIV/0!</v>
      </c>
    </row>
    <row r="67" spans="1:13" ht="24" x14ac:dyDescent="0.5">
      <c r="A67" s="216">
        <v>61</v>
      </c>
      <c r="B67" s="48" t="s">
        <v>194</v>
      </c>
      <c r="C67" s="49" t="s">
        <v>142</v>
      </c>
      <c r="D67" s="524">
        <v>0</v>
      </c>
      <c r="E67" s="218">
        <f t="shared" si="0"/>
        <v>0</v>
      </c>
      <c r="F67" s="525">
        <f t="shared" si="1"/>
        <v>0</v>
      </c>
      <c r="G67" s="524">
        <v>0</v>
      </c>
      <c r="H67" s="218">
        <v>0</v>
      </c>
      <c r="I67" s="526">
        <f t="shared" si="2"/>
        <v>0</v>
      </c>
      <c r="J67" s="527">
        <f t="shared" si="3"/>
        <v>0</v>
      </c>
      <c r="K67" s="218">
        <f t="shared" si="4"/>
        <v>0</v>
      </c>
      <c r="L67" s="229">
        <f t="shared" si="5"/>
        <v>0</v>
      </c>
      <c r="M67" s="831" t="e">
        <f t="shared" si="6"/>
        <v>#DIV/0!</v>
      </c>
    </row>
    <row r="68" spans="1:13" ht="24" x14ac:dyDescent="0.55000000000000004">
      <c r="A68" s="216">
        <v>62</v>
      </c>
      <c r="B68" s="48" t="s">
        <v>194</v>
      </c>
      <c r="C68" s="49" t="s">
        <v>143</v>
      </c>
      <c r="D68" s="830">
        <v>72000</v>
      </c>
      <c r="E68" s="218">
        <v>35400</v>
      </c>
      <c r="F68" s="525">
        <f t="shared" si="1"/>
        <v>36600</v>
      </c>
      <c r="G68" s="524">
        <v>0</v>
      </c>
      <c r="H68" s="218">
        <v>0</v>
      </c>
      <c r="I68" s="526">
        <f t="shared" si="2"/>
        <v>0</v>
      </c>
      <c r="J68" s="527">
        <f t="shared" si="3"/>
        <v>72000</v>
      </c>
      <c r="K68" s="218">
        <f t="shared" si="4"/>
        <v>35400</v>
      </c>
      <c r="L68" s="229">
        <f t="shared" si="5"/>
        <v>36600</v>
      </c>
      <c r="M68" s="528">
        <f t="shared" si="6"/>
        <v>49.166666666666664</v>
      </c>
    </row>
    <row r="69" spans="1:13" ht="24" x14ac:dyDescent="0.55000000000000004">
      <c r="A69" s="216">
        <v>63</v>
      </c>
      <c r="B69" s="48" t="s">
        <v>194</v>
      </c>
      <c r="C69" s="49" t="s">
        <v>144</v>
      </c>
      <c r="D69" s="830">
        <v>0</v>
      </c>
      <c r="E69" s="218">
        <f t="shared" si="0"/>
        <v>0</v>
      </c>
      <c r="F69" s="525">
        <f>+D69-E69</f>
        <v>0</v>
      </c>
      <c r="G69" s="524">
        <v>0</v>
      </c>
      <c r="H69" s="218">
        <v>0</v>
      </c>
      <c r="I69" s="526">
        <f t="shared" si="2"/>
        <v>0</v>
      </c>
      <c r="J69" s="527">
        <f>+D69+G69</f>
        <v>0</v>
      </c>
      <c r="K69" s="218">
        <f t="shared" si="4"/>
        <v>0</v>
      </c>
      <c r="L69" s="229">
        <f t="shared" si="5"/>
        <v>0</v>
      </c>
      <c r="M69" s="831" t="e">
        <f t="shared" si="6"/>
        <v>#DIV/0!</v>
      </c>
    </row>
    <row r="70" spans="1:13" ht="24" x14ac:dyDescent="0.5">
      <c r="A70" s="216">
        <v>64</v>
      </c>
      <c r="B70" s="48" t="s">
        <v>194</v>
      </c>
      <c r="C70" s="49" t="s">
        <v>41</v>
      </c>
      <c r="D70" s="524">
        <v>108000</v>
      </c>
      <c r="E70" s="218">
        <v>4200</v>
      </c>
      <c r="F70" s="525">
        <f>+D70-E70</f>
        <v>103800</v>
      </c>
      <c r="G70" s="524">
        <v>0</v>
      </c>
      <c r="H70" s="218">
        <v>0</v>
      </c>
      <c r="I70" s="526">
        <f t="shared" si="2"/>
        <v>0</v>
      </c>
      <c r="J70" s="527">
        <f>+D70+G70</f>
        <v>108000</v>
      </c>
      <c r="K70" s="218">
        <f t="shared" si="4"/>
        <v>4200</v>
      </c>
      <c r="L70" s="229">
        <f t="shared" si="5"/>
        <v>103800</v>
      </c>
      <c r="M70" s="528">
        <f t="shared" si="6"/>
        <v>3.8888888888888888</v>
      </c>
    </row>
    <row r="71" spans="1:13" ht="24" x14ac:dyDescent="0.5">
      <c r="A71" s="216">
        <v>65</v>
      </c>
      <c r="B71" s="48" t="s">
        <v>194</v>
      </c>
      <c r="C71" s="49" t="s">
        <v>42</v>
      </c>
      <c r="D71" s="524">
        <v>0</v>
      </c>
      <c r="E71" s="218">
        <f t="shared" si="0"/>
        <v>0</v>
      </c>
      <c r="F71" s="525">
        <f t="shared" si="1"/>
        <v>0</v>
      </c>
      <c r="G71" s="524">
        <v>0</v>
      </c>
      <c r="H71" s="218">
        <v>0</v>
      </c>
      <c r="I71" s="526">
        <f t="shared" si="2"/>
        <v>0</v>
      </c>
      <c r="J71" s="527">
        <f t="shared" si="3"/>
        <v>0</v>
      </c>
      <c r="K71" s="218">
        <f t="shared" si="4"/>
        <v>0</v>
      </c>
      <c r="L71" s="229">
        <f t="shared" si="5"/>
        <v>0</v>
      </c>
      <c r="M71" s="831" t="e">
        <f t="shared" si="6"/>
        <v>#DIV/0!</v>
      </c>
    </row>
    <row r="72" spans="1:13" ht="24" x14ac:dyDescent="0.5">
      <c r="A72" s="216">
        <v>66</v>
      </c>
      <c r="B72" s="48" t="s">
        <v>194</v>
      </c>
      <c r="C72" s="49" t="s">
        <v>43</v>
      </c>
      <c r="D72" s="524">
        <v>0</v>
      </c>
      <c r="E72" s="218">
        <f t="shared" ref="E72:E100" si="7">757248.3-500-756748.3</f>
        <v>0</v>
      </c>
      <c r="F72" s="525">
        <f t="shared" ref="F72:F102" si="8">+D72-E72</f>
        <v>0</v>
      </c>
      <c r="G72" s="524">
        <v>0</v>
      </c>
      <c r="H72" s="218">
        <v>0</v>
      </c>
      <c r="I72" s="526">
        <f t="shared" ref="I72:I102" si="9">+G72-H72</f>
        <v>0</v>
      </c>
      <c r="J72" s="527">
        <f t="shared" ref="J72:J102" si="10">+D72+G72</f>
        <v>0</v>
      </c>
      <c r="K72" s="218">
        <f t="shared" ref="K72:K102" si="11">+E72+H72</f>
        <v>0</v>
      </c>
      <c r="L72" s="229">
        <f t="shared" ref="L72:L102" si="12">+J72-K72</f>
        <v>0</v>
      </c>
      <c r="M72" s="831" t="e">
        <f t="shared" ref="M72:M102" si="13">+K72*100/J72</f>
        <v>#DIV/0!</v>
      </c>
    </row>
    <row r="73" spans="1:13" ht="24" x14ac:dyDescent="0.5">
      <c r="A73" s="216">
        <v>67</v>
      </c>
      <c r="B73" s="48" t="s">
        <v>194</v>
      </c>
      <c r="C73" s="49" t="s">
        <v>44</v>
      </c>
      <c r="D73" s="524">
        <v>0</v>
      </c>
      <c r="E73" s="218">
        <f t="shared" si="7"/>
        <v>0</v>
      </c>
      <c r="F73" s="525">
        <f t="shared" si="8"/>
        <v>0</v>
      </c>
      <c r="G73" s="524">
        <v>0</v>
      </c>
      <c r="H73" s="218">
        <v>0</v>
      </c>
      <c r="I73" s="526">
        <f t="shared" si="9"/>
        <v>0</v>
      </c>
      <c r="J73" s="527">
        <f t="shared" si="10"/>
        <v>0</v>
      </c>
      <c r="K73" s="218">
        <f t="shared" si="11"/>
        <v>0</v>
      </c>
      <c r="L73" s="229">
        <f t="shared" si="12"/>
        <v>0</v>
      </c>
      <c r="M73" s="831" t="e">
        <f t="shared" si="13"/>
        <v>#DIV/0!</v>
      </c>
    </row>
    <row r="74" spans="1:13" ht="24" x14ac:dyDescent="0.5">
      <c r="A74" s="216">
        <v>68</v>
      </c>
      <c r="B74" s="48" t="s">
        <v>194</v>
      </c>
      <c r="C74" s="49" t="s">
        <v>45</v>
      </c>
      <c r="D74" s="524">
        <v>0</v>
      </c>
      <c r="E74" s="218">
        <f t="shared" si="7"/>
        <v>0</v>
      </c>
      <c r="F74" s="525">
        <f t="shared" si="8"/>
        <v>0</v>
      </c>
      <c r="G74" s="524">
        <v>0</v>
      </c>
      <c r="H74" s="218">
        <v>0</v>
      </c>
      <c r="I74" s="526">
        <f t="shared" si="9"/>
        <v>0</v>
      </c>
      <c r="J74" s="527">
        <f t="shared" si="10"/>
        <v>0</v>
      </c>
      <c r="K74" s="218">
        <f t="shared" si="11"/>
        <v>0</v>
      </c>
      <c r="L74" s="229">
        <f t="shared" si="12"/>
        <v>0</v>
      </c>
      <c r="M74" s="831" t="e">
        <f t="shared" si="13"/>
        <v>#DIV/0!</v>
      </c>
    </row>
    <row r="75" spans="1:13" ht="24" x14ac:dyDescent="0.5">
      <c r="A75" s="216">
        <v>69</v>
      </c>
      <c r="B75" s="48" t="s">
        <v>194</v>
      </c>
      <c r="C75" s="49" t="s">
        <v>63</v>
      </c>
      <c r="D75" s="524">
        <v>0</v>
      </c>
      <c r="E75" s="218">
        <f t="shared" si="7"/>
        <v>0</v>
      </c>
      <c r="F75" s="525">
        <f t="shared" si="8"/>
        <v>0</v>
      </c>
      <c r="G75" s="524">
        <v>0</v>
      </c>
      <c r="H75" s="218">
        <v>0</v>
      </c>
      <c r="I75" s="526">
        <f t="shared" si="9"/>
        <v>0</v>
      </c>
      <c r="J75" s="527">
        <f t="shared" si="10"/>
        <v>0</v>
      </c>
      <c r="K75" s="218">
        <f t="shared" si="11"/>
        <v>0</v>
      </c>
      <c r="L75" s="229">
        <f t="shared" si="12"/>
        <v>0</v>
      </c>
      <c r="M75" s="831" t="e">
        <f t="shared" si="13"/>
        <v>#DIV/0!</v>
      </c>
    </row>
    <row r="76" spans="1:13" ht="24" x14ac:dyDescent="0.55000000000000004">
      <c r="A76" s="216">
        <v>70</v>
      </c>
      <c r="B76" s="48" t="s">
        <v>194</v>
      </c>
      <c r="C76" s="49" t="s">
        <v>145</v>
      </c>
      <c r="D76" s="830">
        <v>57600</v>
      </c>
      <c r="E76" s="218">
        <v>4800</v>
      </c>
      <c r="F76" s="525">
        <f t="shared" si="8"/>
        <v>52800</v>
      </c>
      <c r="G76" s="524">
        <v>0</v>
      </c>
      <c r="H76" s="218">
        <v>0</v>
      </c>
      <c r="I76" s="526">
        <f t="shared" si="9"/>
        <v>0</v>
      </c>
      <c r="J76" s="527">
        <f t="shared" si="10"/>
        <v>57600</v>
      </c>
      <c r="K76" s="218">
        <f t="shared" si="11"/>
        <v>4800</v>
      </c>
      <c r="L76" s="229">
        <f t="shared" si="12"/>
        <v>52800</v>
      </c>
      <c r="M76" s="528">
        <f t="shared" si="13"/>
        <v>8.3333333333333339</v>
      </c>
    </row>
    <row r="77" spans="1:13" ht="24" x14ac:dyDescent="0.5">
      <c r="A77" s="216">
        <v>71</v>
      </c>
      <c r="B77" s="48" t="s">
        <v>194</v>
      </c>
      <c r="C77" s="49" t="s">
        <v>46</v>
      </c>
      <c r="D77" s="524">
        <v>27000</v>
      </c>
      <c r="E77" s="218">
        <f t="shared" si="7"/>
        <v>0</v>
      </c>
      <c r="F77" s="525">
        <f t="shared" si="8"/>
        <v>27000</v>
      </c>
      <c r="G77" s="524">
        <v>0</v>
      </c>
      <c r="H77" s="218">
        <v>0</v>
      </c>
      <c r="I77" s="526">
        <f t="shared" si="9"/>
        <v>0</v>
      </c>
      <c r="J77" s="527">
        <f t="shared" si="10"/>
        <v>27000</v>
      </c>
      <c r="K77" s="218">
        <f t="shared" si="11"/>
        <v>0</v>
      </c>
      <c r="L77" s="229">
        <f t="shared" si="12"/>
        <v>27000</v>
      </c>
      <c r="M77" s="831">
        <f t="shared" si="13"/>
        <v>0</v>
      </c>
    </row>
    <row r="78" spans="1:13" ht="24" x14ac:dyDescent="0.55000000000000004">
      <c r="A78" s="216">
        <v>72</v>
      </c>
      <c r="B78" s="48" t="s">
        <v>194</v>
      </c>
      <c r="C78" s="49" t="s">
        <v>146</v>
      </c>
      <c r="D78" s="830">
        <v>72000</v>
      </c>
      <c r="E78" s="218">
        <v>30600</v>
      </c>
      <c r="F78" s="525">
        <f t="shared" si="8"/>
        <v>41400</v>
      </c>
      <c r="G78" s="524">
        <v>0</v>
      </c>
      <c r="H78" s="218">
        <v>0</v>
      </c>
      <c r="I78" s="526">
        <f t="shared" si="9"/>
        <v>0</v>
      </c>
      <c r="J78" s="527">
        <f t="shared" si="10"/>
        <v>72000</v>
      </c>
      <c r="K78" s="218">
        <f t="shared" si="11"/>
        <v>30600</v>
      </c>
      <c r="L78" s="229">
        <f t="shared" si="12"/>
        <v>41400</v>
      </c>
      <c r="M78" s="528">
        <f t="shared" si="13"/>
        <v>42.5</v>
      </c>
    </row>
    <row r="79" spans="1:13" ht="24" x14ac:dyDescent="0.55000000000000004">
      <c r="A79" s="216">
        <v>73</v>
      </c>
      <c r="B79" s="48" t="s">
        <v>194</v>
      </c>
      <c r="C79" s="49" t="s">
        <v>147</v>
      </c>
      <c r="D79" s="830">
        <v>57600</v>
      </c>
      <c r="E79" s="218">
        <v>17700</v>
      </c>
      <c r="F79" s="525">
        <f t="shared" si="8"/>
        <v>39900</v>
      </c>
      <c r="G79" s="524">
        <v>0</v>
      </c>
      <c r="H79" s="218">
        <v>0</v>
      </c>
      <c r="I79" s="526">
        <f t="shared" si="9"/>
        <v>0</v>
      </c>
      <c r="J79" s="527">
        <f t="shared" si="10"/>
        <v>57600</v>
      </c>
      <c r="K79" s="218">
        <f t="shared" si="11"/>
        <v>17700</v>
      </c>
      <c r="L79" s="229">
        <f t="shared" si="12"/>
        <v>39900</v>
      </c>
      <c r="M79" s="528">
        <f t="shared" si="13"/>
        <v>30.729166666666668</v>
      </c>
    </row>
    <row r="80" spans="1:13" ht="24" x14ac:dyDescent="0.55000000000000004">
      <c r="A80" s="216">
        <v>74</v>
      </c>
      <c r="B80" s="48" t="s">
        <v>194</v>
      </c>
      <c r="C80" s="49" t="s">
        <v>47</v>
      </c>
      <c r="D80" s="830">
        <v>72000</v>
      </c>
      <c r="E80" s="218">
        <v>16500</v>
      </c>
      <c r="F80" s="525">
        <f t="shared" si="8"/>
        <v>55500</v>
      </c>
      <c r="G80" s="524">
        <v>0</v>
      </c>
      <c r="H80" s="218">
        <v>0</v>
      </c>
      <c r="I80" s="526">
        <f t="shared" si="9"/>
        <v>0</v>
      </c>
      <c r="J80" s="527">
        <f t="shared" si="10"/>
        <v>72000</v>
      </c>
      <c r="K80" s="218">
        <f t="shared" si="11"/>
        <v>16500</v>
      </c>
      <c r="L80" s="229">
        <f t="shared" si="12"/>
        <v>55500</v>
      </c>
      <c r="M80" s="528">
        <f t="shared" si="13"/>
        <v>22.916666666666668</v>
      </c>
    </row>
    <row r="81" spans="1:13" ht="24" x14ac:dyDescent="0.5">
      <c r="A81" s="216">
        <v>75</v>
      </c>
      <c r="B81" s="48" t="s">
        <v>194</v>
      </c>
      <c r="C81" s="49" t="s">
        <v>148</v>
      </c>
      <c r="D81" s="524">
        <v>0</v>
      </c>
      <c r="E81" s="218">
        <f t="shared" si="7"/>
        <v>0</v>
      </c>
      <c r="F81" s="525">
        <f t="shared" si="8"/>
        <v>0</v>
      </c>
      <c r="G81" s="524">
        <v>0</v>
      </c>
      <c r="H81" s="218">
        <v>0</v>
      </c>
      <c r="I81" s="526">
        <f t="shared" si="9"/>
        <v>0</v>
      </c>
      <c r="J81" s="527">
        <f t="shared" si="10"/>
        <v>0</v>
      </c>
      <c r="K81" s="218">
        <f t="shared" si="11"/>
        <v>0</v>
      </c>
      <c r="L81" s="229">
        <f t="shared" si="12"/>
        <v>0</v>
      </c>
      <c r="M81" s="831" t="e">
        <f t="shared" si="13"/>
        <v>#DIV/0!</v>
      </c>
    </row>
    <row r="82" spans="1:13" ht="24" x14ac:dyDescent="0.5">
      <c r="A82" s="216">
        <v>76</v>
      </c>
      <c r="B82" s="48" t="s">
        <v>194</v>
      </c>
      <c r="C82" s="49" t="s">
        <v>48</v>
      </c>
      <c r="D82" s="524">
        <v>0</v>
      </c>
      <c r="E82" s="218">
        <f t="shared" si="7"/>
        <v>0</v>
      </c>
      <c r="F82" s="525">
        <f t="shared" si="8"/>
        <v>0</v>
      </c>
      <c r="G82" s="524">
        <v>0</v>
      </c>
      <c r="H82" s="218">
        <v>0</v>
      </c>
      <c r="I82" s="526">
        <f t="shared" si="9"/>
        <v>0</v>
      </c>
      <c r="J82" s="527">
        <f t="shared" si="10"/>
        <v>0</v>
      </c>
      <c r="K82" s="218">
        <f t="shared" si="11"/>
        <v>0</v>
      </c>
      <c r="L82" s="229">
        <f t="shared" si="12"/>
        <v>0</v>
      </c>
      <c r="M82" s="831" t="e">
        <f t="shared" si="13"/>
        <v>#DIV/0!</v>
      </c>
    </row>
    <row r="83" spans="1:13" ht="24" x14ac:dyDescent="0.5">
      <c r="A83" s="216">
        <v>77</v>
      </c>
      <c r="B83" s="48" t="s">
        <v>194</v>
      </c>
      <c r="C83" s="49" t="s">
        <v>195</v>
      </c>
      <c r="D83" s="524">
        <v>0</v>
      </c>
      <c r="E83" s="218">
        <f t="shared" si="7"/>
        <v>0</v>
      </c>
      <c r="F83" s="525">
        <f t="shared" si="8"/>
        <v>0</v>
      </c>
      <c r="G83" s="524">
        <v>0</v>
      </c>
      <c r="H83" s="218">
        <v>0</v>
      </c>
      <c r="I83" s="526">
        <f t="shared" si="9"/>
        <v>0</v>
      </c>
      <c r="J83" s="527">
        <f t="shared" si="10"/>
        <v>0</v>
      </c>
      <c r="K83" s="218">
        <f t="shared" si="11"/>
        <v>0</v>
      </c>
      <c r="L83" s="229">
        <f t="shared" si="12"/>
        <v>0</v>
      </c>
      <c r="M83" s="831" t="e">
        <f t="shared" si="13"/>
        <v>#DIV/0!</v>
      </c>
    </row>
    <row r="84" spans="1:13" ht="24" x14ac:dyDescent="0.5">
      <c r="A84" s="216">
        <v>78</v>
      </c>
      <c r="B84" s="48" t="s">
        <v>194</v>
      </c>
      <c r="C84" s="49" t="s">
        <v>49</v>
      </c>
      <c r="D84" s="524">
        <v>0</v>
      </c>
      <c r="E84" s="218">
        <f t="shared" si="7"/>
        <v>0</v>
      </c>
      <c r="F84" s="525">
        <f t="shared" si="8"/>
        <v>0</v>
      </c>
      <c r="G84" s="524">
        <v>0</v>
      </c>
      <c r="H84" s="218">
        <v>0</v>
      </c>
      <c r="I84" s="526">
        <f t="shared" si="9"/>
        <v>0</v>
      </c>
      <c r="J84" s="527">
        <f t="shared" si="10"/>
        <v>0</v>
      </c>
      <c r="K84" s="218">
        <f t="shared" si="11"/>
        <v>0</v>
      </c>
      <c r="L84" s="229">
        <f t="shared" si="12"/>
        <v>0</v>
      </c>
      <c r="M84" s="831" t="e">
        <f t="shared" si="13"/>
        <v>#DIV/0!</v>
      </c>
    </row>
    <row r="85" spans="1:13" ht="24" x14ac:dyDescent="0.5">
      <c r="A85" s="216">
        <v>79</v>
      </c>
      <c r="B85" s="48" t="s">
        <v>194</v>
      </c>
      <c r="C85" s="49" t="s">
        <v>50</v>
      </c>
      <c r="D85" s="524">
        <v>0</v>
      </c>
      <c r="E85" s="218">
        <f t="shared" si="7"/>
        <v>0</v>
      </c>
      <c r="F85" s="525">
        <f t="shared" si="8"/>
        <v>0</v>
      </c>
      <c r="G85" s="524">
        <v>0</v>
      </c>
      <c r="H85" s="218">
        <v>0</v>
      </c>
      <c r="I85" s="526">
        <f t="shared" si="9"/>
        <v>0</v>
      </c>
      <c r="J85" s="527">
        <f t="shared" si="10"/>
        <v>0</v>
      </c>
      <c r="K85" s="218">
        <f t="shared" si="11"/>
        <v>0</v>
      </c>
      <c r="L85" s="229">
        <f t="shared" si="12"/>
        <v>0</v>
      </c>
      <c r="M85" s="831" t="e">
        <f t="shared" si="13"/>
        <v>#DIV/0!</v>
      </c>
    </row>
    <row r="86" spans="1:13" ht="24" x14ac:dyDescent="0.5">
      <c r="A86" s="216">
        <v>80</v>
      </c>
      <c r="B86" s="48" t="s">
        <v>194</v>
      </c>
      <c r="C86" s="49" t="s">
        <v>150</v>
      </c>
      <c r="D86" s="524">
        <v>0</v>
      </c>
      <c r="E86" s="218">
        <f t="shared" si="7"/>
        <v>0</v>
      </c>
      <c r="F86" s="525">
        <f t="shared" si="8"/>
        <v>0</v>
      </c>
      <c r="G86" s="524">
        <v>0</v>
      </c>
      <c r="H86" s="218">
        <v>0</v>
      </c>
      <c r="I86" s="526">
        <f t="shared" si="9"/>
        <v>0</v>
      </c>
      <c r="J86" s="527">
        <f t="shared" si="10"/>
        <v>0</v>
      </c>
      <c r="K86" s="218">
        <f t="shared" si="11"/>
        <v>0</v>
      </c>
      <c r="L86" s="229">
        <f t="shared" si="12"/>
        <v>0</v>
      </c>
      <c r="M86" s="831" t="e">
        <f t="shared" si="13"/>
        <v>#DIV/0!</v>
      </c>
    </row>
    <row r="87" spans="1:13" ht="24" x14ac:dyDescent="0.5">
      <c r="A87" s="216">
        <v>81</v>
      </c>
      <c r="B87" s="48" t="s">
        <v>194</v>
      </c>
      <c r="C87" s="49" t="s">
        <v>51</v>
      </c>
      <c r="D87" s="524">
        <v>0</v>
      </c>
      <c r="E87" s="218">
        <f t="shared" si="7"/>
        <v>0</v>
      </c>
      <c r="F87" s="525">
        <f t="shared" si="8"/>
        <v>0</v>
      </c>
      <c r="G87" s="524">
        <v>0</v>
      </c>
      <c r="H87" s="218">
        <v>0</v>
      </c>
      <c r="I87" s="526">
        <f t="shared" si="9"/>
        <v>0</v>
      </c>
      <c r="J87" s="527">
        <f t="shared" si="10"/>
        <v>0</v>
      </c>
      <c r="K87" s="218">
        <f t="shared" si="11"/>
        <v>0</v>
      </c>
      <c r="L87" s="229">
        <f t="shared" si="12"/>
        <v>0</v>
      </c>
      <c r="M87" s="831" t="e">
        <f t="shared" si="13"/>
        <v>#DIV/0!</v>
      </c>
    </row>
    <row r="88" spans="1:13" ht="24" x14ac:dyDescent="0.5">
      <c r="A88" s="216">
        <v>82</v>
      </c>
      <c r="B88" s="48" t="s">
        <v>194</v>
      </c>
      <c r="C88" s="49" t="s">
        <v>151</v>
      </c>
      <c r="D88" s="524">
        <v>0</v>
      </c>
      <c r="E88" s="218">
        <f t="shared" si="7"/>
        <v>0</v>
      </c>
      <c r="F88" s="525">
        <f t="shared" si="8"/>
        <v>0</v>
      </c>
      <c r="G88" s="524">
        <v>0</v>
      </c>
      <c r="H88" s="218">
        <v>0</v>
      </c>
      <c r="I88" s="526">
        <f t="shared" si="9"/>
        <v>0</v>
      </c>
      <c r="J88" s="527">
        <f t="shared" si="10"/>
        <v>0</v>
      </c>
      <c r="K88" s="218">
        <f t="shared" si="11"/>
        <v>0</v>
      </c>
      <c r="L88" s="229">
        <f t="shared" si="12"/>
        <v>0</v>
      </c>
      <c r="M88" s="831" t="e">
        <f t="shared" si="13"/>
        <v>#DIV/0!</v>
      </c>
    </row>
    <row r="89" spans="1:13" ht="24" x14ac:dyDescent="0.5">
      <c r="A89" s="216">
        <v>83</v>
      </c>
      <c r="B89" s="48" t="s">
        <v>194</v>
      </c>
      <c r="C89" s="49" t="s">
        <v>152</v>
      </c>
      <c r="D89" s="524">
        <v>0</v>
      </c>
      <c r="E89" s="218">
        <f t="shared" si="7"/>
        <v>0</v>
      </c>
      <c r="F89" s="525">
        <f t="shared" si="8"/>
        <v>0</v>
      </c>
      <c r="G89" s="524">
        <v>0</v>
      </c>
      <c r="H89" s="218">
        <v>0</v>
      </c>
      <c r="I89" s="526">
        <f t="shared" si="9"/>
        <v>0</v>
      </c>
      <c r="J89" s="527">
        <f t="shared" si="10"/>
        <v>0</v>
      </c>
      <c r="K89" s="218">
        <f t="shared" si="11"/>
        <v>0</v>
      </c>
      <c r="L89" s="229">
        <f t="shared" si="12"/>
        <v>0</v>
      </c>
      <c r="M89" s="831" t="e">
        <f t="shared" si="13"/>
        <v>#DIV/0!</v>
      </c>
    </row>
    <row r="90" spans="1:13" ht="24" x14ac:dyDescent="0.55000000000000004">
      <c r="A90" s="216">
        <v>84</v>
      </c>
      <c r="B90" s="48" t="s">
        <v>194</v>
      </c>
      <c r="C90" s="49" t="s">
        <v>153</v>
      </c>
      <c r="D90" s="830">
        <v>36000</v>
      </c>
      <c r="E90" s="218">
        <v>9000</v>
      </c>
      <c r="F90" s="525">
        <f t="shared" si="8"/>
        <v>27000</v>
      </c>
      <c r="G90" s="524">
        <v>0</v>
      </c>
      <c r="H90" s="218">
        <v>0</v>
      </c>
      <c r="I90" s="526">
        <f t="shared" si="9"/>
        <v>0</v>
      </c>
      <c r="J90" s="527">
        <f t="shared" si="10"/>
        <v>36000</v>
      </c>
      <c r="K90" s="218">
        <f t="shared" si="11"/>
        <v>9000</v>
      </c>
      <c r="L90" s="229">
        <f t="shared" si="12"/>
        <v>27000</v>
      </c>
      <c r="M90" s="528">
        <f t="shared" si="13"/>
        <v>25</v>
      </c>
    </row>
    <row r="91" spans="1:13" ht="24" x14ac:dyDescent="0.55000000000000004">
      <c r="A91" s="216">
        <v>85</v>
      </c>
      <c r="B91" s="48" t="s">
        <v>194</v>
      </c>
      <c r="C91" s="49" t="s">
        <v>52</v>
      </c>
      <c r="D91" s="830">
        <v>36000</v>
      </c>
      <c r="E91" s="218">
        <v>8100</v>
      </c>
      <c r="F91" s="525">
        <f t="shared" si="8"/>
        <v>27900</v>
      </c>
      <c r="G91" s="524">
        <v>0</v>
      </c>
      <c r="H91" s="218">
        <v>0</v>
      </c>
      <c r="I91" s="526">
        <f t="shared" si="9"/>
        <v>0</v>
      </c>
      <c r="J91" s="527">
        <f t="shared" si="10"/>
        <v>36000</v>
      </c>
      <c r="K91" s="218">
        <f t="shared" si="11"/>
        <v>8100</v>
      </c>
      <c r="L91" s="229">
        <f t="shared" si="12"/>
        <v>27900</v>
      </c>
      <c r="M91" s="528">
        <f t="shared" si="13"/>
        <v>22.5</v>
      </c>
    </row>
    <row r="92" spans="1:13" ht="24" x14ac:dyDescent="0.5">
      <c r="A92" s="216">
        <v>86</v>
      </c>
      <c r="B92" s="48" t="s">
        <v>194</v>
      </c>
      <c r="C92" s="49" t="s">
        <v>53</v>
      </c>
      <c r="D92" s="524">
        <v>0</v>
      </c>
      <c r="E92" s="218">
        <f t="shared" si="7"/>
        <v>0</v>
      </c>
      <c r="F92" s="525">
        <f t="shared" si="8"/>
        <v>0</v>
      </c>
      <c r="G92" s="524">
        <v>0</v>
      </c>
      <c r="H92" s="218">
        <v>0</v>
      </c>
      <c r="I92" s="526">
        <f t="shared" si="9"/>
        <v>0</v>
      </c>
      <c r="J92" s="527">
        <f t="shared" si="10"/>
        <v>0</v>
      </c>
      <c r="K92" s="218">
        <f t="shared" si="11"/>
        <v>0</v>
      </c>
      <c r="L92" s="229">
        <f t="shared" si="12"/>
        <v>0</v>
      </c>
      <c r="M92" s="831" t="e">
        <f t="shared" si="13"/>
        <v>#DIV/0!</v>
      </c>
    </row>
    <row r="93" spans="1:13" ht="24" x14ac:dyDescent="0.5">
      <c r="A93" s="216">
        <v>87</v>
      </c>
      <c r="B93" s="48" t="s">
        <v>194</v>
      </c>
      <c r="C93" s="49" t="s">
        <v>154</v>
      </c>
      <c r="D93" s="524">
        <v>0</v>
      </c>
      <c r="E93" s="218">
        <f t="shared" si="7"/>
        <v>0</v>
      </c>
      <c r="F93" s="525">
        <f t="shared" si="8"/>
        <v>0</v>
      </c>
      <c r="G93" s="524">
        <v>0</v>
      </c>
      <c r="H93" s="218">
        <v>0</v>
      </c>
      <c r="I93" s="526">
        <f t="shared" si="9"/>
        <v>0</v>
      </c>
      <c r="J93" s="527">
        <f t="shared" si="10"/>
        <v>0</v>
      </c>
      <c r="K93" s="218">
        <f t="shared" si="11"/>
        <v>0</v>
      </c>
      <c r="L93" s="229">
        <f t="shared" si="12"/>
        <v>0</v>
      </c>
      <c r="M93" s="831" t="e">
        <f t="shared" si="13"/>
        <v>#DIV/0!</v>
      </c>
    </row>
    <row r="94" spans="1:13" ht="24" x14ac:dyDescent="0.55000000000000004">
      <c r="A94" s="216">
        <v>88</v>
      </c>
      <c r="B94" s="48" t="s">
        <v>194</v>
      </c>
      <c r="C94" s="49" t="s">
        <v>155</v>
      </c>
      <c r="D94" s="830">
        <v>72000</v>
      </c>
      <c r="E94" s="218">
        <v>17700</v>
      </c>
      <c r="F94" s="525">
        <f t="shared" si="8"/>
        <v>54300</v>
      </c>
      <c r="G94" s="524">
        <v>0</v>
      </c>
      <c r="H94" s="218">
        <v>0</v>
      </c>
      <c r="I94" s="526">
        <f t="shared" si="9"/>
        <v>0</v>
      </c>
      <c r="J94" s="527">
        <f t="shared" si="10"/>
        <v>72000</v>
      </c>
      <c r="K94" s="218">
        <f t="shared" si="11"/>
        <v>17700</v>
      </c>
      <c r="L94" s="229">
        <f t="shared" si="12"/>
        <v>54300</v>
      </c>
      <c r="M94" s="528">
        <f t="shared" si="13"/>
        <v>24.583333333333332</v>
      </c>
    </row>
    <row r="95" spans="1:13" ht="24" x14ac:dyDescent="0.55000000000000004">
      <c r="A95" s="216">
        <v>89</v>
      </c>
      <c r="B95" s="48" t="s">
        <v>194</v>
      </c>
      <c r="C95" s="49" t="s">
        <v>156</v>
      </c>
      <c r="D95" s="830">
        <v>72000</v>
      </c>
      <c r="E95" s="218">
        <v>14100</v>
      </c>
      <c r="F95" s="525">
        <f t="shared" si="8"/>
        <v>57900</v>
      </c>
      <c r="G95" s="524">
        <v>0</v>
      </c>
      <c r="H95" s="218">
        <v>0</v>
      </c>
      <c r="I95" s="526">
        <f t="shared" si="9"/>
        <v>0</v>
      </c>
      <c r="J95" s="527">
        <f t="shared" si="10"/>
        <v>72000</v>
      </c>
      <c r="K95" s="218">
        <f t="shared" si="11"/>
        <v>14100</v>
      </c>
      <c r="L95" s="229">
        <f t="shared" si="12"/>
        <v>57900</v>
      </c>
      <c r="M95" s="528">
        <f t="shared" si="13"/>
        <v>19.583333333333332</v>
      </c>
    </row>
    <row r="96" spans="1:13" ht="24" x14ac:dyDescent="0.5">
      <c r="A96" s="216">
        <v>90</v>
      </c>
      <c r="B96" s="48" t="s">
        <v>194</v>
      </c>
      <c r="C96" s="49" t="s">
        <v>54</v>
      </c>
      <c r="D96" s="524">
        <v>0</v>
      </c>
      <c r="E96" s="218">
        <f t="shared" si="7"/>
        <v>0</v>
      </c>
      <c r="F96" s="525">
        <f t="shared" si="8"/>
        <v>0</v>
      </c>
      <c r="G96" s="524">
        <v>0</v>
      </c>
      <c r="H96" s="218">
        <v>0</v>
      </c>
      <c r="I96" s="526">
        <f t="shared" si="9"/>
        <v>0</v>
      </c>
      <c r="J96" s="527">
        <f t="shared" si="10"/>
        <v>0</v>
      </c>
      <c r="K96" s="218">
        <f t="shared" si="11"/>
        <v>0</v>
      </c>
      <c r="L96" s="229">
        <f t="shared" si="12"/>
        <v>0</v>
      </c>
      <c r="M96" s="831" t="e">
        <f t="shared" si="13"/>
        <v>#DIV/0!</v>
      </c>
    </row>
    <row r="97" spans="1:13" ht="24" x14ac:dyDescent="0.55000000000000004">
      <c r="A97" s="216">
        <v>91</v>
      </c>
      <c r="B97" s="48" t="s">
        <v>194</v>
      </c>
      <c r="C97" s="49" t="s">
        <v>55</v>
      </c>
      <c r="D97" s="830">
        <v>36000</v>
      </c>
      <c r="E97" s="218">
        <v>7350</v>
      </c>
      <c r="F97" s="525">
        <f t="shared" si="8"/>
        <v>28650</v>
      </c>
      <c r="G97" s="524">
        <v>0</v>
      </c>
      <c r="H97" s="218">
        <v>0</v>
      </c>
      <c r="I97" s="526">
        <f t="shared" si="9"/>
        <v>0</v>
      </c>
      <c r="J97" s="527">
        <f t="shared" si="10"/>
        <v>36000</v>
      </c>
      <c r="K97" s="218">
        <f t="shared" si="11"/>
        <v>7350</v>
      </c>
      <c r="L97" s="229">
        <f t="shared" si="12"/>
        <v>28650</v>
      </c>
      <c r="M97" s="528">
        <f t="shared" si="13"/>
        <v>20.416666666666668</v>
      </c>
    </row>
    <row r="98" spans="1:13" ht="24" x14ac:dyDescent="0.5">
      <c r="A98" s="216">
        <v>92</v>
      </c>
      <c r="B98" s="48" t="s">
        <v>185</v>
      </c>
      <c r="C98" s="49" t="s">
        <v>20</v>
      </c>
      <c r="D98" s="524">
        <v>0</v>
      </c>
      <c r="E98" s="218">
        <f t="shared" si="7"/>
        <v>0</v>
      </c>
      <c r="F98" s="525">
        <f t="shared" si="8"/>
        <v>0</v>
      </c>
      <c r="G98" s="524">
        <v>0</v>
      </c>
      <c r="H98" s="218">
        <v>0</v>
      </c>
      <c r="I98" s="526">
        <f t="shared" si="9"/>
        <v>0</v>
      </c>
      <c r="J98" s="527">
        <f t="shared" si="10"/>
        <v>0</v>
      </c>
      <c r="K98" s="218">
        <f t="shared" si="11"/>
        <v>0</v>
      </c>
      <c r="L98" s="229">
        <f t="shared" si="12"/>
        <v>0</v>
      </c>
      <c r="M98" s="831" t="e">
        <f t="shared" si="13"/>
        <v>#DIV/0!</v>
      </c>
    </row>
    <row r="99" spans="1:13" ht="24" x14ac:dyDescent="0.55000000000000004">
      <c r="A99" s="216">
        <v>93</v>
      </c>
      <c r="B99" s="48" t="s">
        <v>185</v>
      </c>
      <c r="C99" s="49" t="s">
        <v>157</v>
      </c>
      <c r="D99" s="830">
        <v>108000</v>
      </c>
      <c r="E99" s="218">
        <v>27000</v>
      </c>
      <c r="F99" s="525">
        <f t="shared" si="8"/>
        <v>81000</v>
      </c>
      <c r="G99" s="524">
        <v>0</v>
      </c>
      <c r="H99" s="218">
        <v>0</v>
      </c>
      <c r="I99" s="526">
        <f t="shared" si="9"/>
        <v>0</v>
      </c>
      <c r="J99" s="527">
        <f t="shared" si="10"/>
        <v>108000</v>
      </c>
      <c r="K99" s="218">
        <f t="shared" si="11"/>
        <v>27000</v>
      </c>
      <c r="L99" s="229">
        <f t="shared" si="12"/>
        <v>81000</v>
      </c>
      <c r="M99" s="528">
        <f t="shared" si="13"/>
        <v>25</v>
      </c>
    </row>
    <row r="100" spans="1:13" ht="24" x14ac:dyDescent="0.5">
      <c r="A100" s="216">
        <v>94</v>
      </c>
      <c r="B100" s="48" t="s">
        <v>194</v>
      </c>
      <c r="C100" s="49" t="s">
        <v>86</v>
      </c>
      <c r="D100" s="524">
        <v>0</v>
      </c>
      <c r="E100" s="218">
        <f t="shared" si="7"/>
        <v>0</v>
      </c>
      <c r="F100" s="525">
        <f t="shared" si="8"/>
        <v>0</v>
      </c>
      <c r="G100" s="524">
        <v>0</v>
      </c>
      <c r="H100" s="218">
        <v>0</v>
      </c>
      <c r="I100" s="526">
        <f t="shared" si="9"/>
        <v>0</v>
      </c>
      <c r="J100" s="527">
        <f t="shared" si="10"/>
        <v>0</v>
      </c>
      <c r="K100" s="218">
        <f t="shared" si="11"/>
        <v>0</v>
      </c>
      <c r="L100" s="229">
        <f t="shared" si="12"/>
        <v>0</v>
      </c>
      <c r="M100" s="831" t="e">
        <f t="shared" si="13"/>
        <v>#DIV/0!</v>
      </c>
    </row>
    <row r="101" spans="1:13" ht="24" x14ac:dyDescent="0.5">
      <c r="A101" s="216">
        <v>95</v>
      </c>
      <c r="B101" s="48" t="s">
        <v>193</v>
      </c>
      <c r="C101" s="49" t="s">
        <v>43</v>
      </c>
      <c r="D101" s="524">
        <v>0</v>
      </c>
      <c r="E101" s="218">
        <v>0</v>
      </c>
      <c r="F101" s="525">
        <f t="shared" si="8"/>
        <v>0</v>
      </c>
      <c r="G101" s="524">
        <v>0</v>
      </c>
      <c r="H101" s="218">
        <v>0</v>
      </c>
      <c r="I101" s="526">
        <f t="shared" si="9"/>
        <v>0</v>
      </c>
      <c r="J101" s="527">
        <f t="shared" si="10"/>
        <v>0</v>
      </c>
      <c r="K101" s="218">
        <f t="shared" si="11"/>
        <v>0</v>
      </c>
      <c r="L101" s="229">
        <f t="shared" si="12"/>
        <v>0</v>
      </c>
      <c r="M101" s="831" t="e">
        <f t="shared" si="13"/>
        <v>#DIV/0!</v>
      </c>
    </row>
    <row r="102" spans="1:13" ht="24.75" thickBot="1" x14ac:dyDescent="0.6">
      <c r="A102" s="216">
        <v>96</v>
      </c>
      <c r="B102" s="48" t="s">
        <v>185</v>
      </c>
      <c r="C102" s="49" t="s">
        <v>213</v>
      </c>
      <c r="D102" s="830">
        <v>50400</v>
      </c>
      <c r="E102" s="218">
        <v>9000</v>
      </c>
      <c r="F102" s="525">
        <f t="shared" si="8"/>
        <v>41400</v>
      </c>
      <c r="G102" s="524">
        <v>0</v>
      </c>
      <c r="H102" s="218">
        <v>0</v>
      </c>
      <c r="I102" s="526">
        <f t="shared" si="9"/>
        <v>0</v>
      </c>
      <c r="J102" s="527">
        <f t="shared" si="10"/>
        <v>50400</v>
      </c>
      <c r="K102" s="218">
        <f t="shared" si="11"/>
        <v>9000</v>
      </c>
      <c r="L102" s="229">
        <f t="shared" si="12"/>
        <v>41400</v>
      </c>
      <c r="M102" s="528">
        <f t="shared" si="13"/>
        <v>17.857142857142858</v>
      </c>
    </row>
    <row r="103" spans="1:13" s="238" customFormat="1" ht="30.75" customHeight="1" thickBot="1" x14ac:dyDescent="0.5">
      <c r="A103" s="1244" t="s">
        <v>159</v>
      </c>
      <c r="B103" s="1245"/>
      <c r="C103" s="1246"/>
      <c r="D103" s="529">
        <f>SUM(D7:D102)</f>
        <v>2700000</v>
      </c>
      <c r="E103" s="529">
        <f t="shared" ref="E103:F103" si="14">SUM(E7:E102)</f>
        <v>556359.67999999993</v>
      </c>
      <c r="F103" s="646">
        <f t="shared" si="14"/>
        <v>2143640.3199999998</v>
      </c>
      <c r="G103" s="645">
        <f>SUM(G7:G102)</f>
        <v>0</v>
      </c>
      <c r="H103" s="529">
        <f t="shared" ref="H103" si="15">SUM(H7:H102)</f>
        <v>0</v>
      </c>
      <c r="I103" s="646">
        <f t="shared" ref="I103" si="16">SUM(I7:I102)</f>
        <v>0</v>
      </c>
      <c r="J103" s="645">
        <f>SUM(J7:J102)</f>
        <v>2700000</v>
      </c>
      <c r="K103" s="529">
        <f t="shared" ref="K103" si="17">SUM(K7:K102)</f>
        <v>556359.67999999993</v>
      </c>
      <c r="L103" s="529">
        <f t="shared" ref="L103" si="18">SUM(L7:L102)</f>
        <v>2143640.3199999998</v>
      </c>
      <c r="M103" s="530">
        <f>+K103*100/J103</f>
        <v>20.605914074074072</v>
      </c>
    </row>
    <row r="104" spans="1:13" s="344" customFormat="1" ht="30.75" hidden="1" customHeight="1" thickTop="1" thickBot="1" x14ac:dyDescent="0.55000000000000004">
      <c r="A104" s="1243" t="s">
        <v>280</v>
      </c>
      <c r="B104" s="1243"/>
      <c r="C104" s="1243"/>
      <c r="D104" s="147">
        <f>+D103-D7</f>
        <v>2655000</v>
      </c>
      <c r="E104" s="147">
        <f t="shared" ref="E104:L104" si="19">+E103-E7</f>
        <v>551559.67999999993</v>
      </c>
      <c r="F104" s="149">
        <f t="shared" si="19"/>
        <v>2103440.3199999998</v>
      </c>
      <c r="G104" s="150">
        <f t="shared" si="19"/>
        <v>0</v>
      </c>
      <c r="H104" s="147">
        <f t="shared" si="19"/>
        <v>0</v>
      </c>
      <c r="I104" s="149">
        <f t="shared" si="19"/>
        <v>0</v>
      </c>
      <c r="J104" s="235">
        <f t="shared" si="19"/>
        <v>2655000</v>
      </c>
      <c r="K104" s="147">
        <f t="shared" si="19"/>
        <v>551559.67999999993</v>
      </c>
      <c r="L104" s="147">
        <f t="shared" si="19"/>
        <v>2103440.3199999998</v>
      </c>
      <c r="M104" s="148">
        <f>+K104*100/J104</f>
        <v>20.774375894538604</v>
      </c>
    </row>
    <row r="105" spans="1:13" s="95" customFormat="1" ht="24" hidden="1" thickTop="1" x14ac:dyDescent="0.5">
      <c r="A105" s="95" t="s">
        <v>351</v>
      </c>
      <c r="C105" s="211"/>
      <c r="D105" s="212"/>
      <c r="E105" s="212"/>
      <c r="F105" s="212"/>
      <c r="J105" s="236"/>
      <c r="M105" s="213"/>
    </row>
    <row r="106" spans="1:13" s="95" customFormat="1" ht="23.25" hidden="1" x14ac:dyDescent="0.5">
      <c r="A106" s="95" t="s">
        <v>352</v>
      </c>
      <c r="C106" s="211"/>
      <c r="D106" s="212"/>
      <c r="E106" s="212"/>
      <c r="F106" s="212"/>
      <c r="G106" s="214"/>
      <c r="J106" s="236"/>
      <c r="M106" s="213"/>
    </row>
    <row r="107" spans="1:13" hidden="1" x14ac:dyDescent="0.5"/>
    <row r="108" spans="1:13" hidden="1" x14ac:dyDescent="0.5">
      <c r="C108" s="344" t="s">
        <v>175</v>
      </c>
      <c r="D108" s="345">
        <v>4320000</v>
      </c>
      <c r="G108" s="237">
        <v>619500</v>
      </c>
    </row>
    <row r="109" spans="1:13" hidden="1" x14ac:dyDescent="0.5">
      <c r="D109" s="345">
        <f>+D103-D108</f>
        <v>-1620000</v>
      </c>
    </row>
    <row r="110" spans="1:13" s="215" customFormat="1" ht="24.75" thickTop="1" x14ac:dyDescent="0.55000000000000004">
      <c r="A110" s="215" t="s">
        <v>198</v>
      </c>
      <c r="C110" s="1238" t="s">
        <v>927</v>
      </c>
      <c r="D110" s="1238"/>
      <c r="E110" s="1238"/>
      <c r="F110" s="1238"/>
      <c r="G110" s="1238"/>
      <c r="H110" s="1238"/>
      <c r="I110" s="1238"/>
      <c r="J110" s="1238"/>
      <c r="K110" s="1238"/>
      <c r="L110" s="1238"/>
      <c r="M110" s="1238"/>
    </row>
    <row r="111" spans="1:13" s="215" customFormat="1" ht="24" hidden="1" x14ac:dyDescent="0.55000000000000004">
      <c r="A111" s="215" t="s">
        <v>160</v>
      </c>
      <c r="C111" s="1238"/>
      <c r="D111" s="1238"/>
      <c r="E111" s="1238"/>
      <c r="F111" s="1238"/>
      <c r="G111" s="1238"/>
      <c r="H111" s="1238"/>
      <c r="I111" s="1238"/>
      <c r="J111" s="1238"/>
      <c r="K111" s="1238"/>
      <c r="L111" s="1238"/>
      <c r="M111" s="1238"/>
    </row>
    <row r="112" spans="1:13" s="215" customFormat="1" ht="24" hidden="1" x14ac:dyDescent="0.55000000000000004">
      <c r="C112" s="1238"/>
      <c r="D112" s="1238"/>
      <c r="E112" s="1238"/>
      <c r="F112" s="1238"/>
      <c r="G112" s="1238"/>
      <c r="H112" s="1238"/>
      <c r="I112" s="1238"/>
      <c r="J112" s="1238"/>
      <c r="K112" s="1238"/>
      <c r="L112" s="1238"/>
      <c r="M112" s="1238"/>
    </row>
    <row r="113" spans="3:13" s="215" customFormat="1" ht="24" hidden="1" x14ac:dyDescent="0.55000000000000004">
      <c r="C113" s="1238"/>
      <c r="D113" s="1238"/>
      <c r="E113" s="1238"/>
      <c r="F113" s="1238"/>
      <c r="G113" s="1238"/>
      <c r="H113" s="1238"/>
      <c r="I113" s="1238"/>
      <c r="J113" s="1238"/>
      <c r="K113" s="1238"/>
      <c r="L113" s="1238"/>
      <c r="M113" s="1238"/>
    </row>
    <row r="114" spans="3:13" s="215" customFormat="1" ht="24" hidden="1" x14ac:dyDescent="0.55000000000000004">
      <c r="C114" s="1238"/>
      <c r="D114" s="1238"/>
      <c r="E114" s="1238"/>
      <c r="F114" s="1238"/>
      <c r="G114" s="1238"/>
      <c r="H114" s="1238"/>
      <c r="I114" s="1238"/>
      <c r="J114" s="1238"/>
      <c r="K114" s="1238"/>
      <c r="L114" s="1238"/>
      <c r="M114" s="1238"/>
    </row>
    <row r="115" spans="3:13" s="215" customFormat="1" ht="24" hidden="1" x14ac:dyDescent="0.55000000000000004">
      <c r="C115" s="1238"/>
      <c r="D115" s="1238"/>
      <c r="E115" s="1238"/>
      <c r="F115" s="1238"/>
      <c r="G115" s="1238"/>
      <c r="H115" s="1238"/>
      <c r="I115" s="1238"/>
      <c r="J115" s="1238"/>
      <c r="K115" s="1238"/>
      <c r="L115" s="1238"/>
      <c r="M115" s="1238"/>
    </row>
    <row r="116" spans="3:13" s="215" customFormat="1" ht="24" hidden="1" x14ac:dyDescent="0.55000000000000004">
      <c r="C116" s="1238"/>
      <c r="D116" s="1238"/>
      <c r="E116" s="1238"/>
      <c r="F116" s="1238"/>
      <c r="G116" s="1238"/>
      <c r="H116" s="1238"/>
      <c r="I116" s="1238"/>
      <c r="J116" s="1238"/>
      <c r="K116" s="1238"/>
      <c r="L116" s="1238"/>
      <c r="M116" s="1238"/>
    </row>
    <row r="117" spans="3:13" s="215" customFormat="1" ht="24" hidden="1" x14ac:dyDescent="0.55000000000000004">
      <c r="C117" s="1238"/>
      <c r="D117" s="1238"/>
      <c r="E117" s="1238"/>
      <c r="F117" s="1238"/>
      <c r="G117" s="1238"/>
      <c r="H117" s="1238"/>
      <c r="I117" s="1238"/>
      <c r="J117" s="1238"/>
      <c r="K117" s="1238"/>
      <c r="L117" s="1238"/>
      <c r="M117" s="1238"/>
    </row>
    <row r="118" spans="3:13" s="215" customFormat="1" ht="24" hidden="1" x14ac:dyDescent="0.55000000000000004">
      <c r="C118" s="1238"/>
      <c r="D118" s="1238"/>
      <c r="E118" s="1238"/>
      <c r="F118" s="1238"/>
      <c r="G118" s="1238"/>
      <c r="H118" s="1238"/>
      <c r="I118" s="1238"/>
      <c r="J118" s="1238"/>
      <c r="K118" s="1238"/>
      <c r="L118" s="1238"/>
      <c r="M118" s="1238"/>
    </row>
    <row r="119" spans="3:13" s="215" customFormat="1" ht="24" hidden="1" x14ac:dyDescent="0.55000000000000004">
      <c r="C119" s="1238"/>
      <c r="D119" s="1238"/>
      <c r="E119" s="1238"/>
      <c r="F119" s="1238"/>
      <c r="G119" s="1238"/>
      <c r="H119" s="1238"/>
      <c r="I119" s="1238"/>
      <c r="J119" s="1238"/>
      <c r="K119" s="1238"/>
      <c r="L119" s="1238"/>
      <c r="M119" s="1238"/>
    </row>
    <row r="120" spans="3:13" s="215" customFormat="1" ht="24" x14ac:dyDescent="0.55000000000000004">
      <c r="C120" s="1238" t="s">
        <v>981</v>
      </c>
      <c r="D120" s="1238"/>
      <c r="E120" s="1238"/>
      <c r="F120" s="1238"/>
      <c r="G120" s="1238"/>
      <c r="H120" s="1238"/>
      <c r="I120" s="1238"/>
      <c r="J120" s="1238"/>
      <c r="K120" s="1238"/>
      <c r="L120" s="1238"/>
      <c r="M120" s="1238"/>
    </row>
    <row r="121" spans="3:13" s="215" customFormat="1" ht="24" x14ac:dyDescent="0.55000000000000004">
      <c r="C121" s="834"/>
      <c r="D121" s="835"/>
      <c r="E121" s="835"/>
      <c r="F121" s="835"/>
      <c r="J121" s="836"/>
      <c r="K121" s="836"/>
      <c r="M121" s="270"/>
    </row>
    <row r="122" spans="3:13" x14ac:dyDescent="0.5">
      <c r="J122" s="241"/>
      <c r="L122" s="346"/>
    </row>
  </sheetData>
  <mergeCells count="22">
    <mergeCell ref="C115:M115"/>
    <mergeCell ref="A1:M1"/>
    <mergeCell ref="A2:M2"/>
    <mergeCell ref="A3:M3"/>
    <mergeCell ref="A4:M4"/>
    <mergeCell ref="C110:M110"/>
    <mergeCell ref="C120:M120"/>
    <mergeCell ref="G5:I5"/>
    <mergeCell ref="J5:L5"/>
    <mergeCell ref="A104:C104"/>
    <mergeCell ref="A103:C103"/>
    <mergeCell ref="A5:A6"/>
    <mergeCell ref="B5:C6"/>
    <mergeCell ref="D5:F5"/>
    <mergeCell ref="C116:M116"/>
    <mergeCell ref="C117:M117"/>
    <mergeCell ref="C118:M118"/>
    <mergeCell ref="C119:M119"/>
    <mergeCell ref="C111:M111"/>
    <mergeCell ref="C112:M112"/>
    <mergeCell ref="C113:M113"/>
    <mergeCell ref="C114:M114"/>
  </mergeCells>
  <pageMargins left="0.35433070866141736" right="0.35433070866141736" top="0.47" bottom="0.51181102362204722" header="0.31496062992125984" footer="0.19685039370078741"/>
  <pageSetup paperSize="9" scale="82" orientation="landscape" r:id="rId1"/>
  <headerFooter>
    <oddFooter>&amp;Lกลุ่มบริหารงานบัญชีและงบประมาณ&amp;Rหน้าที่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26</vt:i4>
      </vt:variant>
      <vt:variant>
        <vt:lpstr>ช่วงที่มีชื่อ</vt:lpstr>
      </vt:variant>
      <vt:variant>
        <vt:i4>18</vt:i4>
      </vt:variant>
    </vt:vector>
  </HeadingPairs>
  <TitlesOfParts>
    <vt:vector size="44" baseType="lpstr">
      <vt:lpstr>รายจ่ายจริง</vt:lpstr>
      <vt:lpstr>รายงานเสนอ อธ (2)</vt:lpstr>
      <vt:lpstr>เงินกันปี64 (2)</vt:lpstr>
      <vt:lpstr>งบลงทุน (2)</vt:lpstr>
      <vt:lpstr>รายงานเสนอ อธ</vt:lpstr>
      <vt:lpstr>งบลงทุน</vt:lpstr>
      <vt:lpstr>งบรายจ่ายอื่น</vt:lpstr>
      <vt:lpstr>เงินกันปี64</vt:lpstr>
      <vt:lpstr>เบิกแทน กรมคุม</vt:lpstr>
      <vt:lpstr>1. สรุปเบิกจ่าย65รวมงบ(GF)</vt:lpstr>
      <vt:lpstr>2. สุรปเบิกจ่าย แยกงบ (GF)</vt:lpstr>
      <vt:lpstr>3.งบบุคลากร (GF)</vt:lpstr>
      <vt:lpstr>4. งบดำเนินงาน (GF)</vt:lpstr>
      <vt:lpstr>5.งบลงทุน</vt:lpstr>
      <vt:lpstr>6.งบรายจ่ายอื่น (GF)</vt:lpstr>
      <vt:lpstr>เงินกันปี63</vt:lpstr>
      <vt:lpstr>แผนภูมิแท่ง</vt:lpstr>
      <vt:lpstr>เงินกันปี63 (2)</vt:lpstr>
      <vt:lpstr>รายงานผู้บริหาร</vt:lpstr>
      <vt:lpstr>เทียบงบ</vt:lpstr>
      <vt:lpstr>งบลงทุน (ชมพู่)</vt:lpstr>
      <vt:lpstr>เงินกันปี63 (3)</vt:lpstr>
      <vt:lpstr>เงินกันปี63 (4)</vt:lpstr>
      <vt:lpstr>Sheet6</vt:lpstr>
      <vt:lpstr>ไม่ใช้แล้วไม่ต้องเปิด</vt:lpstr>
      <vt:lpstr>รายงานเสนอ</vt:lpstr>
      <vt:lpstr>'1. สรุปเบิกจ่าย65รวมงบ(GF)'!Print_Titles</vt:lpstr>
      <vt:lpstr>'2. สุรปเบิกจ่าย แยกงบ (GF)'!Print_Titles</vt:lpstr>
      <vt:lpstr>'3.งบบุคลากร (GF)'!Print_Titles</vt:lpstr>
      <vt:lpstr>'4. งบดำเนินงาน (GF)'!Print_Titles</vt:lpstr>
      <vt:lpstr>'5.งบลงทุน'!Print_Titles</vt:lpstr>
      <vt:lpstr>'6.งบรายจ่ายอื่น (GF)'!Print_Titles</vt:lpstr>
      <vt:lpstr>งบรายจ่ายอื่น!Print_Titles</vt:lpstr>
      <vt:lpstr>งบลงทุน!Print_Titles</vt:lpstr>
      <vt:lpstr>'งบลงทุน (2)'!Print_Titles</vt:lpstr>
      <vt:lpstr>'งบลงทุน (ชมพู่)'!Print_Titles</vt:lpstr>
      <vt:lpstr>เงินกันปี63!Print_Titles</vt:lpstr>
      <vt:lpstr>'เงินกันปี63 (2)'!Print_Titles</vt:lpstr>
      <vt:lpstr>'เงินกันปี63 (3)'!Print_Titles</vt:lpstr>
      <vt:lpstr>'เงินกันปี63 (4)'!Print_Titles</vt:lpstr>
      <vt:lpstr>เงินกันปี64!Print_Titles</vt:lpstr>
      <vt:lpstr>'เงินกันปี64 (2)'!Print_Titles</vt:lpstr>
      <vt:lpstr>'เบิกแทน กรมคุม'!Print_Titles</vt:lpstr>
      <vt:lpstr>รายจ่ายจริง!Print_Titles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ชุณห์พิมาณ คงวิเชียร</cp:lastModifiedBy>
  <cp:lastPrinted>2022-02-01T05:54:05Z</cp:lastPrinted>
  <dcterms:created xsi:type="dcterms:W3CDTF">2006-07-19T22:18:22Z</dcterms:created>
  <dcterms:modified xsi:type="dcterms:W3CDTF">2022-02-01T07:46:37Z</dcterms:modified>
</cp:coreProperties>
</file>