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70" tabRatio="626" firstSheet="8" activeTab="9"/>
  </bookViews>
  <sheets>
    <sheet name="รายจ่ายจริง" sheetId="131" r:id="rId1"/>
    <sheet name="รายงานเสนอรองญ" sheetId="193" r:id="rId2"/>
    <sheet name="เงินกันปี64เสนอรองญ" sheetId="192" r:id="rId3"/>
    <sheet name="งบลงทุนเสนอรองญ" sheetId="191" r:id="rId4"/>
    <sheet name="รายงานเสนอ อธ" sheetId="190" r:id="rId5"/>
    <sheet name="งบลงทุน" sheetId="77" r:id="rId6"/>
    <sheet name="งบรายจ่ายอื่น" sheetId="171" r:id="rId7"/>
    <sheet name="เงินกันปี64" sheetId="186" r:id="rId8"/>
    <sheet name="เบิกแทน กรมคุม" sheetId="135" r:id="rId9"/>
    <sheet name="สรุปเบิกจ่าย65รวมงบ(GF)" sheetId="136" r:id="rId10"/>
    <sheet name="เงินกันปี63" sheetId="174" r:id="rId11"/>
    <sheet name="เงินกันปี63 (2)" sheetId="176" r:id="rId12"/>
    <sheet name="รายงานผู้บริหาร" sheetId="170" r:id="rId13"/>
    <sheet name="เทียบงบ" sheetId="147" r:id="rId14"/>
    <sheet name="งบลงทุน (ชมพู่)" sheetId="183" r:id="rId15"/>
    <sheet name="เงินกันปี63 (3)" sheetId="184" r:id="rId16"/>
    <sheet name="เงินกันปี63 (4)" sheetId="185" r:id="rId17"/>
    <sheet name="Sheet6" sheetId="188" r:id="rId18"/>
    <sheet name="ไม่ใช้แล้วไม่ต้องเปิด" sheetId="160" r:id="rId19"/>
    <sheet name="รายงานเสนอ" sheetId="189" r:id="rId20"/>
    <sheet name="เงินกันปี64 (2)" sheetId="195" r:id="rId21"/>
  </sheets>
  <definedNames>
    <definedName name="_xlnm.Print_Titles" localSheetId="6">งบรายจ่ายอื่น!$1:$7</definedName>
    <definedName name="_xlnm.Print_Titles" localSheetId="5">งบลงทุน!$1:$7</definedName>
    <definedName name="_xlnm.Print_Titles" localSheetId="14">'งบลงทุน (ชมพู่)'!$1:$7</definedName>
    <definedName name="_xlnm.Print_Titles" localSheetId="3">งบลงทุนเสนอรองญ!$1:$7</definedName>
    <definedName name="_xlnm.Print_Titles" localSheetId="10">เงินกันปี63!$1:$5</definedName>
    <definedName name="_xlnm.Print_Titles" localSheetId="11">'เงินกันปี63 (2)'!$1:$5</definedName>
    <definedName name="_xlnm.Print_Titles" localSheetId="15">'เงินกันปี63 (3)'!$1:$5</definedName>
    <definedName name="_xlnm.Print_Titles" localSheetId="16">'เงินกันปี63 (4)'!$1:$5</definedName>
    <definedName name="_xlnm.Print_Titles" localSheetId="7">เงินกันปี64!$1:$5</definedName>
    <definedName name="_xlnm.Print_Titles" localSheetId="20">'เงินกันปี64 (2)'!$1:$5</definedName>
    <definedName name="_xlnm.Print_Titles" localSheetId="2">เงินกันปี64เสนอรองญ!$1:$6</definedName>
    <definedName name="_xlnm.Print_Titles" localSheetId="8">'เบิกแทน กรมคุม'!$1:$6</definedName>
    <definedName name="_xlnm.Print_Titles" localSheetId="0">รายจ่ายจริง!$1:$6</definedName>
    <definedName name="_xlnm.Print_Titles" localSheetId="9">'สรุปเบิกจ่าย65รวมงบ(GF)'!$1:$7</definedName>
  </definedNames>
  <calcPr calcId="144525"/>
</workbook>
</file>

<file path=xl/comments1.xml><?xml version="1.0" encoding="utf-8"?>
<comments xmlns="http://schemas.openxmlformats.org/spreadsheetml/2006/main">
  <authors>
    <author>ชุณห์พิมาณ คงวิเชียร</author>
  </authors>
  <commentList>
    <comment ref="E8" authorId="0">
      <text>
        <r>
          <rPr>
            <b/>
            <sz val="9"/>
            <rFont val="Tahoma"/>
            <charset val="222"/>
          </rPr>
          <t>ชุณห์พิมาณ คงวิเชียร:</t>
        </r>
        <r>
          <rPr>
            <sz val="9"/>
            <rFont val="Tahoma"/>
            <charset val="222"/>
          </rPr>
          <t xml:space="preserve">
มียอดที่ดริฟของบ้านกาญสิรินธร 12,600.-บาท</t>
        </r>
      </text>
    </comment>
  </commentList>
</comments>
</file>

<file path=xl/sharedStrings.xml><?xml version="1.0" encoding="utf-8"?>
<sst xmlns="http://schemas.openxmlformats.org/spreadsheetml/2006/main" count="3404" uniqueCount="1019">
  <si>
    <t>กรมพินิจและคุ้มครองเด็กและเยาวชน   กระทรวงยุติธรรม</t>
  </si>
  <si>
    <t>สรุปรายละเอียดการเบิกจ่ายเงินงบประมาณประจำปีงบประมาณ พ.ศ. 2565  ในระบบ New GFMIS Thai</t>
  </si>
  <si>
    <t>ตั้งแต่วันที่ 1  ตุลาคม 2564 ถึงวันที่ 30 เมษายน 2565</t>
  </si>
  <si>
    <t>แผนงบประมาณ/ผลผลิต/รายการ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</si>
  <si>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</si>
  <si>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</si>
  <si>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</si>
  <si>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</si>
  <si>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</si>
  <si>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รวมงบประมาณ</t>
  </si>
  <si>
    <t>เงินเดือน</t>
  </si>
  <si>
    <t>ค่าจ้างประจำ</t>
  </si>
  <si>
    <t>ค่าตอบแทน</t>
  </si>
  <si>
    <t>รวม</t>
  </si>
  <si>
    <t>สาธารณูปโภค</t>
  </si>
  <si>
    <t>ครุภัณฑ์</t>
  </si>
  <si>
    <t>ที่ดิน สิ่งก่อสร้าง</t>
  </si>
  <si>
    <t>พนักงานราชการ</t>
  </si>
  <si>
    <t>ใช้สอยและวัสดุ</t>
  </si>
  <si>
    <t>แผนงานบูรณาการขับเคลื่อน</t>
  </si>
  <si>
    <t>งบประมาณตาม พรบ. ปี 65</t>
  </si>
  <si>
    <t>การแก้ไขปัญหาจังหวัดชายแดนภาคใต้</t>
  </si>
  <si>
    <t>เงินจัดสรร ปี 65</t>
  </si>
  <si>
    <t>โครงการเสริมสร้างภูมิคุ้มกัน</t>
  </si>
  <si>
    <t>ใบสั่งซื้อ/สั่งจ้าง (PO)</t>
  </si>
  <si>
    <t>เพื่อสันติสุขในพื้นที่จังหวัด</t>
  </si>
  <si>
    <t>เบิกจ่าย</t>
  </si>
  <si>
    <t>ชายแดนภาคใต้</t>
  </si>
  <si>
    <t>คงเหลือจากเบิกจ่าย</t>
  </si>
  <si>
    <t>รหัสงบ 1600604028700001</t>
  </si>
  <si>
    <t>คงเหลือจาก PO+ เบิกจ่าย</t>
  </si>
  <si>
    <t>รหัสงบ 1600604028700002</t>
  </si>
  <si>
    <t>ร้อยละของงบประมาณ</t>
  </si>
  <si>
    <t>ร้อยละของเงินจัดสรร</t>
  </si>
  <si>
    <t>แผนงานบูรณาการป้องกัน ปราบปราม</t>
  </si>
  <si>
    <t xml:space="preserve"> และบำบัดรักษาผู้ติดยาเสพติด</t>
  </si>
  <si>
    <t>โครงการบำบัดรักษาผู้เสพ</t>
  </si>
  <si>
    <t>ผู้ติดยาเสพติด</t>
  </si>
  <si>
    <t>รหัสงบ 1600606011700001</t>
  </si>
  <si>
    <t>โครงการสร้างภูมิคุ้มกันและ</t>
  </si>
  <si>
    <t>ป้องกันยาเสพติด</t>
  </si>
  <si>
    <t>รหัสงบ 1600606017700001-3</t>
  </si>
  <si>
    <t>แผนงานพื้นฐานด้านความมั่นคง</t>
  </si>
  <si>
    <t>ผลผลิต : จำแนกเด็กและ</t>
  </si>
  <si>
    <t>เยาวชนในสถานพินิจเกี่ยวกับ</t>
  </si>
  <si>
    <t>การใช้ยาเสพติด</t>
  </si>
  <si>
    <t>รหัสงบ 1600613007000000</t>
  </si>
  <si>
    <t>แผนงานบุคลากรภาครัฐ</t>
  </si>
  <si>
    <t>รายการค่าใช้จ่ายบุคลากรภาครัฐ</t>
  </si>
  <si>
    <t>ปฏิรูปกฎหมายและพัฒนา</t>
  </si>
  <si>
    <t>กระบวนการยุติธรรม</t>
  </si>
  <si>
    <t>รหัสงบ 1600614009000000</t>
  </si>
  <si>
    <t>แผนงานยุทธศาสตร์พัฒนา</t>
  </si>
  <si>
    <t>ศักยภาพคนตลอดช่วงชีวิต</t>
  </si>
  <si>
    <t>โครงการพัฒนาเด็กและเยาวชนดี</t>
  </si>
  <si>
    <t>เพื่อสังคม</t>
  </si>
  <si>
    <t>รหัสงบ 1600631030700001</t>
  </si>
  <si>
    <t>กฏหมายและกระบวนการยุติธรรม</t>
  </si>
  <si>
    <t>1. โครงการส่งเสริมและพัฒนา</t>
  </si>
  <si>
    <t>กระบวนการยุติธรรมทางเลือก</t>
  </si>
  <si>
    <t>รหัสงบ 1600658014000000</t>
  </si>
  <si>
    <t>2. โครงการพัฒนาระบบการแก้ไข</t>
  </si>
  <si>
    <t>บำบัด ฟื้นฟู เด็กและเยาวชน</t>
  </si>
  <si>
    <t>รหัสงบ 1600658029700001-3</t>
  </si>
  <si>
    <t>แผนงานพื้นฐานด้านการปรับสมดุล</t>
  </si>
  <si>
    <t>และพัฒนาระบบบริหารจัดการภาครัฐ</t>
  </si>
  <si>
    <t>ผลผลิตที่ 1 เด็ก เยาวชนและ</t>
  </si>
  <si>
    <t>ผู้เยาว์ได้รับการคุ้มครองดูแล</t>
  </si>
  <si>
    <t>รหัสงบ 1600660002000000</t>
  </si>
  <si>
    <t>เงินประจำงวด ปี 65</t>
  </si>
  <si>
    <t>ผลผลิตที่ 2 เด็กและเยาวชน</t>
  </si>
  <si>
    <t>ได้รับการพัฒนาพฤตินิสัย</t>
  </si>
  <si>
    <t>รหัสงบ 1600660003000000</t>
  </si>
  <si>
    <t>แผนงานพื้นฐานด้าน</t>
  </si>
  <si>
    <t>การปรับสมดุลและพัฒนา</t>
  </si>
  <si>
    <t>ระบบบริหารจัดการภาครัฐ</t>
  </si>
  <si>
    <t>( 7 + 8 )</t>
  </si>
  <si>
    <t>กรมบัญชีกลางยกยอดมาให้</t>
  </si>
  <si>
    <t xml:space="preserve">กรมพินิจฯ </t>
  </si>
  <si>
    <t>ได้รับจัดสรร</t>
  </si>
  <si>
    <t>รวมทั้งสิ้น</t>
  </si>
  <si>
    <t>งบประจำ</t>
  </si>
  <si>
    <r>
      <rPr>
        <b/>
        <u/>
        <sz val="26"/>
        <rFont val="TH SarabunPSK"/>
        <charset val="134"/>
      </rPr>
      <t>หมายเหตุ</t>
    </r>
    <r>
      <rPr>
        <b/>
        <sz val="26"/>
        <rFont val="TH SarabunPSK"/>
        <charset val="134"/>
      </rPr>
      <t xml:space="preserve">   : 1. เป้าหมายการเบิกจ่ายเงินงบประมาณรายจ่ายประจำปี  พ.ศ.  2555 ตามมติคณะรัฐมนตรี  ภาพรวม  ณ  สิ้นปีงบประมาณ  พ.ศ.  2555  ร้อยละ  93.00 </t>
    </r>
    <r>
      <rPr>
        <b/>
        <u/>
        <sz val="26"/>
        <rFont val="TH SarabunPSK"/>
        <charset val="134"/>
      </rPr>
      <t>ซึ่งเป้าหมายอัตราการเบิกสะสม ณ สิ้นเดือนกันยายน 2555  คิดเป็นร้อยละ 93.00</t>
    </r>
  </si>
  <si>
    <t xml:space="preserve">                           ไตรมาส  ที่  1</t>
  </si>
  <si>
    <t>ร้อยละ     20.00</t>
  </si>
  <si>
    <t>ตั้งแต่วันที่ 1 ตุลาคม 2554 - วันที่ 31 ธันวาคม 2554</t>
  </si>
  <si>
    <t xml:space="preserve">                         ไตรมาส  ที่  2</t>
  </si>
  <si>
    <t>ร้อยละ     42.00</t>
  </si>
  <si>
    <t>ตั้งแต่วันที่ 1 มกราคม 2555 - วันที่ 31 มีนาคม 2555</t>
  </si>
  <si>
    <t xml:space="preserve">                         ไตรมาส  ที่  3</t>
  </si>
  <si>
    <t>ร้อยละ     67.00</t>
  </si>
  <si>
    <t>ตั้งแต่วันที่ 1 เมษายน 2555 - วันที่ 30 มิถุนายน 2555</t>
  </si>
  <si>
    <t xml:space="preserve">                         ไตรมาส  ที่  4</t>
  </si>
  <si>
    <t>ร้อยละ     93.00</t>
  </si>
  <si>
    <t>ตั้งแต่วันที่ 1 กรกฎาคม 2555 - วันที่ 30 กันยายน 2555</t>
  </si>
  <si>
    <r>
      <rPr>
        <b/>
        <sz val="26"/>
        <rFont val="TH SarabunPSK"/>
        <charset val="134"/>
      </rPr>
      <t xml:space="preserve">                    2. เป้าหมายการเบิกจ่ายงบประมาณรายจ่ายลงทุน  ณ  สิ้นปีงบประมาณ  พ.ศ.  2555  ร้อยละ  72.00  ของวงเงินงบประมาณรายจ่ายลงทุน  </t>
    </r>
    <r>
      <rPr>
        <b/>
        <u/>
        <sz val="26"/>
        <rFont val="TH SarabunPSK"/>
        <charset val="134"/>
      </rPr>
      <t>ซึ่งเป้าหมายอัตราการเบิกสะสม ณ สิ้นเดือนกันยายน 2555  คิดเป็นร้อยละ 72.00</t>
    </r>
  </si>
  <si>
    <t>ร้อยละ     10.00</t>
  </si>
  <si>
    <t>ร้อยละ     23.00</t>
  </si>
  <si>
    <t>ร้อยละ     43.00</t>
  </si>
  <si>
    <t>ร้อยละ     72.00</t>
  </si>
  <si>
    <t>***หมายเหตุ กรมพินิจฯ ได้ตัดโอนงบประมาณงบดำเนินงานไปตั้งจ่ายให้กับกรมโยธาธิการและผังเมือง เป็นเงินจำนวน 67,630.- บาท ในลักษณะงบประมาณเบิกแทนกัน</t>
  </si>
  <si>
    <t>***</t>
  </si>
  <si>
    <t xml:space="preserve">เงินกันไว้เบิกเหลื่อมปี พ.ศ. 2556  เป็นเงินจำนวน 121,520,316.68  บาท แต่มี Po ที่มีมูลค่าต่ำกว่า 10,815.56.- บาท ที่งบประมาณพับไป ในระบบ GFMIS จึงทำให้ยอดเงินกันฯ แสดงในรายงานนี้เป็นเงินจำนวน 121,531,132.24 บาท  </t>
  </si>
  <si>
    <t>สรุปรายละเอียดการเบิกจ่ายเงินงบประมาณรายจ่ายลงทุน</t>
  </si>
  <si>
    <t>รายการที่ดินและสิ่งก่อสร้าง</t>
  </si>
  <si>
    <t>รายการ</t>
  </si>
  <si>
    <t>วงเงินงบประมาณที่ได้รับ</t>
  </si>
  <si>
    <t>เบิกจ่ายแล้ว</t>
  </si>
  <si>
    <t>ร้อยละเบิกจ่าย</t>
  </si>
  <si>
    <t>ใบสั่งซื้อสั่งจ้าง</t>
  </si>
  <si>
    <t>การใช้จ่าย (เบิกจ่าย+PO)</t>
  </si>
  <si>
    <t>คงเหลือ</t>
  </si>
  <si>
    <t>ร้อยละคงเหลือ</t>
  </si>
  <si>
    <t>ตาม พรบ.</t>
  </si>
  <si>
    <t>ในระบบ GFMIS</t>
  </si>
  <si>
    <t>ต่องบประมาณ</t>
  </si>
  <si>
    <t>(PO)</t>
  </si>
  <si>
    <t>เป็นเงินจำนวน</t>
  </si>
  <si>
    <t>ร้อยละ</t>
  </si>
  <si>
    <t>ยังไม่เบิกจ่าย</t>
  </si>
  <si>
    <t xml:space="preserve"> (1)</t>
  </si>
  <si>
    <t xml:space="preserve"> (2)</t>
  </si>
  <si>
    <t xml:space="preserve"> (3)</t>
  </si>
  <si>
    <t xml:space="preserve"> (4)=(3)x100)/(1)</t>
  </si>
  <si>
    <t xml:space="preserve"> (5)</t>
  </si>
  <si>
    <t xml:space="preserve"> (6)=(3)+(5)</t>
  </si>
  <si>
    <t xml:space="preserve"> (7)=(6)x100)/(1)</t>
  </si>
  <si>
    <t xml:space="preserve"> (8)=(1) - (3)</t>
  </si>
  <si>
    <t xml:space="preserve"> (9)=(8)x100)/(1)</t>
  </si>
  <si>
    <t>1) เงินกันไว้เบิกเหลื่อมปี (พ.ศ. 2564) (รายละเอียดแนบหน้าที่  2 ถึง 4 )</t>
  </si>
  <si>
    <t>2.1 ส่วนกลาง (กค. ดำเนินการ)</t>
  </si>
  <si>
    <t>2.2 หน่วยงานในสังกัด ดำเนินการ</t>
  </si>
  <si>
    <t>สรุปเงินกันไว้เบิกเหลื่อมปีรวมทั้งสิ้น</t>
  </si>
  <si>
    <t>2) งบประมาณรายจ่ายประจำปีงบประมาณ พ.ศ. 2565 (รายละเอียดแนบหน้าที่ 5 ถึง 8 )</t>
  </si>
  <si>
    <t>2.1.1</t>
  </si>
  <si>
    <t>งบผูกพัน</t>
  </si>
  <si>
    <t>2.1.2</t>
  </si>
  <si>
    <t>งบปีเดียว (เป็นรายการที่มี         การยกเลิกรายการ และ/หรือ เงินเหลือจ่ายจากการจัดซื้อจัดจ้างแล้ว)</t>
  </si>
  <si>
    <t>2.2.1</t>
  </si>
  <si>
    <t>2.2.2</t>
  </si>
  <si>
    <t>งบปีเดียว</t>
  </si>
  <si>
    <t>สรุปงบประมาณปี 2565 รวมทั้งสิ้น</t>
  </si>
  <si>
    <t>เป้าหมายการเบิกจ่ายงบประมาณและการใช้จ่ายภาครัฐ ประจำปีงบประมาณ พ.ศ. 2565 ตามมติคณะรัฐมนตรี เมื่อวันที่ 21 ธันวาคม 2564</t>
  </si>
  <si>
    <t>ไตรมาส1</t>
  </si>
  <si>
    <t>ไตรมาส2</t>
  </si>
  <si>
    <t>ไตรมาส3</t>
  </si>
  <si>
    <t>ไตรมาส4</t>
  </si>
  <si>
    <t>สรุป ต่ำกว่า / มากกว่า เป้าหมาย ณ ไตรมาส 3</t>
  </si>
  <si>
    <t>เบิกจ่าย(สะสม)</t>
  </si>
  <si>
    <t>ใช้จ่าย(สะสม)</t>
  </si>
  <si>
    <t>รายจ่ายลงทุน</t>
  </si>
  <si>
    <t>ต่ำกว่าเป้าหมาย</t>
  </si>
  <si>
    <t>กรมพินิจและคุ้มครองเด็กและเยาวชน</t>
  </si>
  <si>
    <t>สรุปรายละเอียดการกันไว้เบิกเหลื่อมปีงบประมาณ พ.ศ. 2564</t>
  </si>
  <si>
    <t>งบลงทุน รายการที่ดินและสิ่งก่อสร้าง</t>
  </si>
  <si>
    <t>ลำดับ</t>
  </si>
  <si>
    <t>ชื่อหน่วยงาน</t>
  </si>
  <si>
    <t>รหัสหน่วยงาน</t>
  </si>
  <si>
    <t>แหล่งของเงิน</t>
  </si>
  <si>
    <t>รหัสงบประมาณ</t>
  </si>
  <si>
    <t>เลขที่ PO</t>
  </si>
  <si>
    <t>ชื่อรายการ</t>
  </si>
  <si>
    <t>คงเหลือสุทธิ</t>
  </si>
  <si>
    <t>คิดเป็น</t>
  </si>
  <si>
    <t>วันที่สิ้นสุดสัญญา</t>
  </si>
  <si>
    <t>หมายเหตุ</t>
  </si>
  <si>
    <t>ณ ปัจจุบัน</t>
  </si>
  <si>
    <t>กรมพินิจฯ ส่วนกลาง</t>
  </si>
  <si>
    <t>1600660002420002</t>
  </si>
  <si>
    <t xml:space="preserve">ก่อสร้างอาคารชุดที่พักอาศัยข้าราชการ ขนาด 18 ยูนิต สถานพินิจฯจังหวัดนนทบุรี </t>
  </si>
  <si>
    <t>28.04.2022</t>
  </si>
  <si>
    <t>1600660002420001</t>
  </si>
  <si>
    <t xml:space="preserve">ก่อสร้างสถานพินิจฯจังหวัดชุมพร(ที่มีสถานแรกรับเด็กและเยาวชน)  พร้อมส่วนประกอบ และอาคารชุดที่พักอาศัยข้าราชการ ขนาด  18 ยูนิต </t>
  </si>
  <si>
    <t>17.05.2022</t>
  </si>
  <si>
    <t>1600660002420005</t>
  </si>
  <si>
    <t xml:space="preserve">ก่อสร้างศูนย์แรกรับฯบ้านเมตตาพร้อมส่วนประกอบ (เพิ่มเติม) </t>
  </si>
  <si>
    <t>22.04.2022</t>
  </si>
  <si>
    <t>1600660003420002</t>
  </si>
  <si>
    <t>ก่อสร้างศูนย์ฝึกฯ จังหวัดสงขลาพร้อมส่วนประกอบ</t>
  </si>
  <si>
    <t>24.03.2022</t>
  </si>
  <si>
    <t>1600660002420006</t>
  </si>
  <si>
    <t>โครงการบ้านพักข้าราชการ (บ้านหลวง) สถานพินิจฯจังหวัดแม่ฮ่องสอน</t>
  </si>
  <si>
    <t>21.12.2022</t>
  </si>
  <si>
    <t>รวมส่วนกลางดำเนินการ</t>
  </si>
  <si>
    <t>ศูนย์ฝึกฯ เขต 2</t>
  </si>
  <si>
    <t>1600660003410001</t>
  </si>
  <si>
    <t>งานก่อสร้างอาคารห้องประชุมขนาดเล็ก ศูนย์ฝึกและอบรมเด็กและเยาวชนเขต 2 จังหวัดราชบุรี</t>
  </si>
  <si>
    <t>07.06.2021</t>
  </si>
  <si>
    <t>ศูนย์ฝึกฯ เขต 9</t>
  </si>
  <si>
    <t>1600660003420001</t>
  </si>
  <si>
    <t xml:space="preserve">โครงการเพิ่มประสิทธิภาพเพื่อการดูแลเด็กและเยาวชนสำหรับศูนย์ฝึกฯจังหวัดยะลา </t>
  </si>
  <si>
    <t>21.06.2022</t>
  </si>
  <si>
    <t>สถานพินิจฯ จังหวัดสมุทรปราการ</t>
  </si>
  <si>
    <t>1600660002410001</t>
  </si>
  <si>
    <t xml:space="preserve">ปรับปรุงซ่อมแซมระบบบำบัดน้ำเสียจากอาคารสำนักงานและหอนอนเด็กและเยาวชน สถานพินิจฯ จังหวัดสมุทรปราการ </t>
  </si>
  <si>
    <t>05.11.2021</t>
  </si>
  <si>
    <t>สถานพินิจฯ จังหวัดนนทบุรี</t>
  </si>
  <si>
    <t>1600660002410032</t>
  </si>
  <si>
    <t>ก่อสร้างห้องพยาบาลเด็กและเยาวชน สถานพินิจฯ จังหวัดนนทบุรี</t>
  </si>
  <si>
    <t>19.09.2021</t>
  </si>
  <si>
    <t>สถานพินิจฯ จังหวัดสุรินทร์</t>
  </si>
  <si>
    <t>1600660003410025</t>
  </si>
  <si>
    <t xml:space="preserve">ติดตั้งผ้าม่านมู่ลี่ ของสถานพินิจฯ จังหวัดสุรินทร์
</t>
  </si>
  <si>
    <t>30.09.2021</t>
  </si>
  <si>
    <t>1600660003410026</t>
  </si>
  <si>
    <t xml:space="preserve">ปรับปรุงอาคารหอนอนเด็กและเยาวชน ของสถานพินิจฯ จังหวัดสุรินทร์
</t>
  </si>
  <si>
    <t>26.11.2021</t>
  </si>
  <si>
    <t>สถานพินิจฯ จังหวัดตาก</t>
  </si>
  <si>
    <t>1600660003410027</t>
  </si>
  <si>
    <t xml:space="preserve">ปรับปรุงประตูทางเข้าออกอาคารตึกอำนวยการ ของสถานพินิจฯ จังหวัดตาก
</t>
  </si>
  <si>
    <t>01.11.2021</t>
  </si>
  <si>
    <t>ศูนย์ฝึกฯ บ้านบึง</t>
  </si>
  <si>
    <t>1600660003410029</t>
  </si>
  <si>
    <t xml:space="preserve">โครงการงานรั้วเหล็กโปร่งรอบลานสนามกีฬา ของศูนย์ฝึกฯ บ้านบึง </t>
  </si>
  <si>
    <t>22.10.2021</t>
  </si>
  <si>
    <t>1600660002410036</t>
  </si>
  <si>
    <t>ลานกีฬาคอนกรีตของศูนย์ฝึกฯ บ้านบึง</t>
  </si>
  <si>
    <t>16.10.2021</t>
  </si>
  <si>
    <t>1600660003410028</t>
  </si>
  <si>
    <t xml:space="preserve">ปรับปรุงหลังคาอาคารอำนวยการศูนย์ฝึกฯ บ้านบึง ของศูนย์ฝึกฯ บ้านบึง </t>
  </si>
  <si>
    <t>รวมหน่วยงานในสังกัดดำเนินการ</t>
  </si>
  <si>
    <t>รวมงบลงทุน</t>
  </si>
  <si>
    <t>ที่ดิน</t>
  </si>
  <si>
    <t>รายละเอียดงบประมาณรายจ่ายประจำปีงบประมาณ  พ.ศ.  2565</t>
  </si>
  <si>
    <t xml:space="preserve"> งบลงทุน รายการที่ดินและสิ่งก่อสร้าง</t>
  </si>
  <si>
    <t>งบประมาณที่ได้รับ</t>
  </si>
  <si>
    <t xml:space="preserve">คงเหลือ </t>
  </si>
  <si>
    <t>ที่</t>
  </si>
  <si>
    <t>หรือโอนเปลี่ยนแปลงฯ</t>
  </si>
  <si>
    <t>หรือ PO</t>
  </si>
  <si>
    <t>(บาท)</t>
  </si>
  <si>
    <t>(หักยอดเบิกจ่าย)</t>
  </si>
  <si>
    <t>(หักเบิกจ่าย+ใบ PO)</t>
  </si>
  <si>
    <t>ของ</t>
  </si>
  <si>
    <t>1</t>
  </si>
  <si>
    <t>2</t>
  </si>
  <si>
    <t>3</t>
  </si>
  <si>
    <t>4</t>
  </si>
  <si>
    <t>5 = 1-4</t>
  </si>
  <si>
    <t>6 = 1-3-4</t>
  </si>
  <si>
    <t>การเบิกจ่าย</t>
  </si>
  <si>
    <t>การเบิกจ่าย+PO</t>
  </si>
  <si>
    <t>ค่าปรับปรุงอาคารที่ทำการ/ค่าปรับปรุงอาคารที่พักอาศัย และสิ่งก่อสร้างประกอบที่มีราคาต่อหน่วยต่ำกว่า 10 ล้าน และค่าก่อสร้างอื่นๆ (งบประมาณปีเดียว) (18 รายการ)</t>
  </si>
  <si>
    <t>ต่อเติมห้องพักเด็กและเยาวชนสถานพินิจฯ จังหวัดสระบุรี</t>
  </si>
  <si>
    <t>รายการเดิม ที่ได้รับจัดสรรตาม พรบ. งบประมาณ</t>
  </si>
  <si>
    <t>1600660002410002</t>
  </si>
  <si>
    <t>โครงการโรงอาบน้ำแบบ 2 สถานพินิจฯ จังหวัดบุรีรัมย์</t>
  </si>
  <si>
    <t>1600660002410003</t>
  </si>
  <si>
    <t>ก่อสร้างอาคารอเนกประสงค์สถานพินิจฯ จังหวัดอุบลราชธานี</t>
  </si>
  <si>
    <t xml:space="preserve">ยกเลิกรายการ และมีการโอนเปลี่ยนแปลงงบประมาณจากรายการเดิม ไปตั้งจ่ายเป็นรายการใหม่ </t>
  </si>
  <si>
    <t>1600660002410004</t>
  </si>
  <si>
    <t>ก่อสร้างอาคารอเนกประสงค์สถานพินิจฯ จังหวัดพิษณุโลก</t>
  </si>
  <si>
    <t>1600660002410005</t>
  </si>
  <si>
    <t>ซ่อมแซมอาคาร สถานพินิจฯ จังหวัดนครศรีธรรมราช</t>
  </si>
  <si>
    <t>1600660002410006</t>
  </si>
  <si>
    <t>งานติดตั้งถังเก็บน้ำดีและติดตั้งปั้มน้ำ สถานพินิจฯ จังหวัดภูเก็ต</t>
  </si>
  <si>
    <t>1600660002410007</t>
  </si>
  <si>
    <t>ปรับปรุงรั้วตาข่ายถักลานตากผ้า สถานพินิจฯ จังหวัดสงขลา</t>
  </si>
  <si>
    <t>1600660002410008</t>
  </si>
  <si>
    <t>งานเหล็กกันตกอาคารหอนอน/อาคารวิชาชีพ สถานพินิจฯ กรุงเทพ</t>
  </si>
  <si>
    <t>1600660002410009</t>
  </si>
  <si>
    <t xml:space="preserve">งานซ่อมแซมหลังคาและฝ้าเพดานโรงครัว สถานพินิจฯ กรุงเทพ </t>
  </si>
  <si>
    <t>ยกเลิกรายการ เนื่องจากหน่วยงานส่งคืนเงินงบประมาณกลับมาตั้งจ่ายที่ส่วนกลางเพราะได้รับจัดสรรงบประมาณในปี 2564 แล้ว และได้โอนเปลี่ยนแปลงงบประมาณไปตั้งจ่ายรายการใหม่แล้ว)</t>
  </si>
  <si>
    <t>1600660002410010</t>
  </si>
  <si>
    <t>ติดตั้งตาข่ายกั้นนกและกันสาดสถานพินิจฯ จังหวัดนนทบุรี</t>
  </si>
  <si>
    <t>1600660002410011</t>
  </si>
  <si>
    <t>โครงการปรับปรุงอาคารชุดที่พักอาศัยข้าราชการ 18 ยูนิตและก่อสร้างรั้วกำแพงกันดินพร้อมถมดินรอบอาคาร สถานพินิจฯ จังหวัดร้อยเอ็ด</t>
  </si>
  <si>
    <t>1600660002410012</t>
  </si>
  <si>
    <t>ก่อสร้างรั้วบ้านพักข้าราชการ สถานพินิจฯ จังหวัดนครศรีธรรมราช</t>
  </si>
  <si>
    <t>1600660002410013</t>
  </si>
  <si>
    <t>ก่อสร้างรั้วบ้านพักข้าราชการ สถานพินิจฯ จังหวัดเชียงราย</t>
  </si>
  <si>
    <t>1600660002410014</t>
  </si>
  <si>
    <t>ปรับปรุงซ่อมแซมห้องน้ำในเรือนนอนชาย สถานพินิจฯ จังหวัดบุรีรัมย์</t>
  </si>
  <si>
    <t>1600660002410015</t>
  </si>
  <si>
    <t>งานรื้อถอนโรงอาบน้ำ (อาคารเดิม) สถานพินิจฯ จังหวัดบุรีรัมย์</t>
  </si>
  <si>
    <t>1600660002410041</t>
  </si>
  <si>
    <t>งานกั้นห้องกระจกส่วนคดี สถานพินิจฯ อยุธยา</t>
  </si>
  <si>
    <t>1600660002410042</t>
  </si>
  <si>
    <t>ปรับปรุงพื้นที่ทางเข้า-ออก สถานแรกรับฯ สถานพินิจฯ อยุธยา</t>
  </si>
  <si>
    <t>1600660002410043</t>
  </si>
  <si>
    <t>ก่อสร้างอาคารอเนกประสงค์ 2 ชั้น (อาคารหอนอนหญิง) สถานพินิจฯ อุบลราชธานี</t>
  </si>
  <si>
    <t>1600660002410044</t>
  </si>
  <si>
    <t>ปรับปรุงหอนอนเด็กและเยาวชนสถานพินิจและคุ้มครองเด็กและเยาวชนจังหวัดสุรินทร์</t>
  </si>
  <si>
    <t>ปรับปรุงซ่อมแซมอาคารหอนอนเด็กและเยาวชน ศูนย์ฝึกฯ เขต10 จังหวัดพังงา</t>
  </si>
  <si>
    <t>1600660003410002</t>
  </si>
  <si>
    <t>จัดจ้างรื้อหน้าต่างบานเกร็ดและทำหน้าต่างบานเลื่อนอลูมิเนียม      ศูนย์ฝึกฯ สิรินธร</t>
  </si>
  <si>
    <t>1600660003410003</t>
  </si>
  <si>
    <t>งานรื้อถอนอาคารส่วนราชการ(อาคารพักอาศัยเจ้าหน้าที่)ศูนย์ฝึกฯ เขต 1 จังหวัดระยอง (เดิมได้รับตาม พรบ. 1,931,900.- บาท ต่อมา     ได้มีการโอนเปลี่ยนแปลงฯ )</t>
  </si>
  <si>
    <t>ยกเลิกรายการ และมีการโอนเปลี่ยนแปลงงบประมาณจากรายการเดิม ไปตั้งจ่ายเป็นรายการใหม่</t>
  </si>
  <si>
    <t>1600660003410030</t>
  </si>
  <si>
    <t>ปรับปรุงและซ่อมแซมห้องบำบัด สถานพินิจฯ จังหวัดพระนครศรีอยุธยา</t>
  </si>
  <si>
    <t>เป็นรายการโอนเปลี่ยนแปลง  เมื่อวันที่ 30 พฤศจิกายน 2564</t>
  </si>
  <si>
    <t>1600660003410031</t>
  </si>
  <si>
    <t>ปรับปรุงอาคารหอนอนชายสถานแรกรับเด็กและเยาวชน สถานพินิจฯ จังหวัดฉะเชิงเทรา</t>
  </si>
  <si>
    <t>1600660003410032</t>
  </si>
  <si>
    <t>ปรับปรุงซ่อมแซมกำแพงรั้วสถานพินิจฯ หอนอน สถานพินิจฯ จังหวัดปทุมธานี</t>
  </si>
  <si>
    <t>1600660003410033</t>
  </si>
  <si>
    <t>ปรับปรุงหลังคาอาคารเรือนนอน 2 ชั้น สถานพินิจฯ จังหวัดสกลนคร</t>
  </si>
  <si>
    <t>1600660003410034</t>
  </si>
  <si>
    <t>ปรับปรุงบ้านพักผู้อำนวยการ ศูนย์ฝึกฯ บ้านบึง</t>
  </si>
  <si>
    <r>
      <rPr>
        <b/>
        <sz val="16"/>
        <rFont val="TH SarabunPSK"/>
        <charset val="134"/>
      </rPr>
      <t xml:space="preserve">ค่าก่อสร้างงบประมาณผูกผัน </t>
    </r>
    <r>
      <rPr>
        <sz val="16"/>
        <rFont val="TH SarabunPSK"/>
        <charset val="134"/>
      </rPr>
      <t>(7 รายการ)</t>
    </r>
  </si>
  <si>
    <t xml:space="preserve">ก่อสร้างสถานพินิจฯ จังหวัดฉะเชิงเทรา (ที่มีสถานแรกรับเด็กและเยาวชน) พร้อมส่วนประกอบ </t>
  </si>
  <si>
    <t>ยังไม่ได้รับจัดสรรงบประมาณในระบบ GFMIS (และเงินงบประมาณดังกล่าว      จักต้องมีการโอนเปลี่ยนแปลงงบประมาณ ไปตั้งจ่ายให้แก่ รายการก่อสร้างศูนย์ฝึกฯ สงขลา ต่อไป)</t>
  </si>
  <si>
    <t xml:space="preserve">ก่อสร้างสถานพินิจฯ จังหวัดชุมพร(ที่มีสถานแรกรับเด็กและเยาวชน) พร้อมส่วนประกอบ และอาคารชุดที่พักอาศัยข้าราชการขนาด 18ยูนิต </t>
  </si>
  <si>
    <t>1600660002420003</t>
  </si>
  <si>
    <t>ก่อสร้างศูนย์แรกรับฯ บ้านเมตตา เขตบางนา กรุงเทพมหานคร พร้อมส่วนประกอบ</t>
  </si>
  <si>
    <t>1600660002420004</t>
  </si>
  <si>
    <t>ก่อสร้างอาคารชุดที่พักอาศัยข้าราชการ ขนาด 18 ยูนิตสถานพินิจฯ จังหวัดสกลนคร  (งานใหม่)</t>
  </si>
  <si>
    <t xml:space="preserve">ก่อหนี้ผูกพันเรียบร้อยแล้ว  ในวงเงิน 29,900,000.- บาท </t>
  </si>
  <si>
    <t>5</t>
  </si>
  <si>
    <t>ก่อสร้างศูนย์ฝึกฯ จังหวัดสงขลา พร้อมส่วนประกอบ</t>
  </si>
  <si>
    <t>6</t>
  </si>
  <si>
    <t>โครงการเพิ่มประสิทธิภาพเพื่อการดูแลเด็กและเยาวชนสำหรับศูนย์ฝึกฯ จังหวัดยะลา</t>
  </si>
  <si>
    <t>ยังไม่ได้รับจัดสรรงบประมาณในระบบ GFMIS</t>
  </si>
  <si>
    <t>1600660003420003</t>
  </si>
  <si>
    <t>7</t>
  </si>
  <si>
    <t>ก่อสร้างอาคารชุดที่พักอาศัยข้าราชการ ขนาด 18 ยูนิตสำหรับศูนย์ฝึกฯ เขต 1 จังหวัดระยอง (งานใหม่)</t>
  </si>
  <si>
    <t>ก่อหนี้ผูกพันเรียบร้อยแล้ว ในวงเงิน 57,204,000.- บาท</t>
  </si>
  <si>
    <t>รวมที่ดินและสิ่งก่อสร้าง</t>
  </si>
  <si>
    <t>รายการสูงกว่า 2 ล้าน</t>
  </si>
  <si>
    <t>ก่อหนี้+เบิกจ่าย รายการสูงกว่า 2 ล้าน</t>
  </si>
  <si>
    <t>ก่อหนี้+เบิกจ่ายแล้วทั้งหมด</t>
  </si>
  <si>
    <t>เบิกจ่ายแล้วทั้งหมด</t>
  </si>
  <si>
    <t>ครุภัณฑ์ต่ำกว่า 5 แสน 609 รายการ</t>
  </si>
  <si>
    <t>ครุภัณฑ์มากกว่า 5 แสน 4 รายการ</t>
  </si>
  <si>
    <t>ที่ดิน ต่ำกว่า 5 แสน 11 รายการ</t>
  </si>
  <si>
    <t>ที่ดิน มากกว่า 5 แสน 16 รายการ</t>
  </si>
  <si>
    <t>*หมายเหตุ      ใช้วงเงินงบประมาณตาม พรบ. เป็นฐานในการคำนวณ</t>
  </si>
  <si>
    <t>1) งบประมาณรายจ่ายประจำปีงบประมาณ พ.ศ. 2565 (รายละเอียดแนบหน้าที่  3 ถึง 7 )</t>
  </si>
  <si>
    <t>งบประมาณรายจ่ายประจำ</t>
  </si>
  <si>
    <t>งบประมาณรายจ่ายลงทุน</t>
  </si>
  <si>
    <t>รายจ่ายภาพรวม</t>
  </si>
  <si>
    <t>รายจ่ายประจำ</t>
  </si>
  <si>
    <t>2) เงินกันไว้เบิกเหลื่อมปี (พ.ศ. 2564) (รายละเอียดแนบหน้าที่  8  ถึง 12 )</t>
  </si>
  <si>
    <t>กรมพินิจฯ ดำเนินการ</t>
  </si>
  <si>
    <t>กรมสุขภาพจิต ดำเนินการ</t>
  </si>
  <si>
    <t>3) สรุปรายละเอียดการเบิกจ่ายเงินงบประมาณประจำปีงบประมาณ พ.ศ. 2565 งบประมาณแทนกันของกรมคุมประพฤติ รายการโครงการคืนคนดีสู่สังคม</t>
  </si>
  <si>
    <t>ค่าจ้างงานผู้พ้นโทษ</t>
  </si>
  <si>
    <t>*หมายเหตุ 1) ใช้วงเงินงบประมาณตาม พรบ. เป็นฐานในการคำนวณ</t>
  </si>
  <si>
    <r>
      <rPr>
        <b/>
        <sz val="18"/>
        <color theme="0"/>
        <rFont val="TH SarabunPSK"/>
        <charset val="134"/>
      </rPr>
      <t>*หมายเหตุ</t>
    </r>
    <r>
      <rPr>
        <b/>
        <sz val="18"/>
        <rFont val="TH SarabunPSK"/>
        <charset val="134"/>
      </rPr>
      <t xml:space="preserve"> 2) กรมพินิจฯ ได้รับงบประมาณปี พ.ศ. 2565 ตาม พรบ. เป็นเงิน 1,969,681,900.- บาท </t>
    </r>
    <r>
      <rPr>
        <b/>
        <u/>
        <sz val="18"/>
        <rFont val="TH SarabunPSK"/>
        <charset val="134"/>
      </rPr>
      <t>แต่ปัจจุบัน</t>
    </r>
    <r>
      <rPr>
        <b/>
        <sz val="18"/>
        <rFont val="TH SarabunPSK"/>
        <charset val="134"/>
      </rPr>
      <t>ได้รับจัดสรรในระบบ GFMIS เป็นเงิน 1,474,414,000.- บาท หรือคิดเป็นร้อยละ 74.86</t>
    </r>
  </si>
  <si>
    <r>
      <rPr>
        <b/>
        <sz val="18"/>
        <color theme="0"/>
        <rFont val="TH SarabunPSK"/>
        <charset val="134"/>
      </rPr>
      <t>*หมายเหตุ</t>
    </r>
    <r>
      <rPr>
        <b/>
        <sz val="18"/>
        <rFont val="TH SarabunPSK"/>
        <charset val="134"/>
      </rPr>
      <t xml:space="preserve"> 3) เงินกันไว้เบิกเหลื่อมปี กรณีกรมสุขภาพจิตดำเนินการ คือ กรมพินิจฯ ได้ตัดโอนงบประมาณในลักษณะงบประมาณแทนกัน(TO BE NO.1) ให้กรมสุขภาพจิต ดำเนินการโครงการ</t>
    </r>
  </si>
  <si>
    <t>สรุปรายละเอียดเงินงบประมาณปี พ.ศ. 2563 ที่ต้องถูกพับไปโดยผลของกฎหมาย ตามพระราชบัญญัติวิธีการงบประมาณ พ.ศ. 2561</t>
  </si>
  <si>
    <t>วงเงินที่พับไป (บาท)</t>
  </si>
  <si>
    <t>ค่าเช่ารถยนต์ราชการ (พับไปรอบมีนาคม 2564 เป็นเงินจำนวน 267,340.31 บาท และพับไปรอบกันยายน 2564 เป็นเงินจำนวน 721,233.50 บาท)</t>
  </si>
  <si>
    <t>เงินเหลือจ่ายจากการจัดซื้อจัดจ้าง</t>
  </si>
  <si>
    <t>ค่าก่อสร้างศูนย์ฝึกฯ จังหวัดสงขลา</t>
  </si>
  <si>
    <t>ค่าก่อสร้างสถานพินิจฯ จังหวัดชุมพร</t>
  </si>
  <si>
    <t>ค่าก่อสร้างอาคารชุดที่พักฯ สถานพินิจฯ จังหวัดนนทบุรี</t>
  </si>
  <si>
    <t>ค่าปรับปรุงเขตพื้นที่ฯ ศูนย์ฝึกฯ เขต 4</t>
  </si>
  <si>
    <t>ผู้รับจ้างทิ้งงาน</t>
  </si>
  <si>
    <t>รวมเป็นเงินจำนวนทั้งสิ้น</t>
  </si>
  <si>
    <t>รายละเอียดงบประมาณรายจ่ายประจำปีงบประมาณ  พ.ศ. 2565</t>
  </si>
  <si>
    <t xml:space="preserve"> งบลงทุน</t>
  </si>
  <si>
    <t>ครุภัณฑ์ที่มีราคาต่อหน่วยต่ำกว่า 1 ล้านบาท ( 605 รายการ) (เดิมได้รับจัดสรรตาม พรบ.    เป็นเงินจำนวน 19,128,700.- บาท ต่อมาได้รับงบประมาณเพิ่มเติมจากการโอนเปลี่ยนแปลงงบประมาณ เป็นเงินจำนวน 1,296,985.-บาท)</t>
  </si>
  <si>
    <t>3.1</t>
  </si>
  <si>
    <t>3.2</t>
  </si>
  <si>
    <t>3.3</t>
  </si>
  <si>
    <t>3.4</t>
  </si>
  <si>
    <t>3.5</t>
  </si>
  <si>
    <t>3.6</t>
  </si>
  <si>
    <t>3.7</t>
  </si>
  <si>
    <t>รวมงบลงทุนทั้งสิ้น</t>
  </si>
  <si>
    <t>รายการต่ำกว่า 2 ล้าน</t>
  </si>
  <si>
    <t>ก่อหนี้+เบิกจ่าย รายการต่ำกว่า 2ล้าน</t>
  </si>
  <si>
    <t>ร้อยละของ</t>
  </si>
  <si>
    <t>งบประมาณ</t>
  </si>
  <si>
    <t xml:space="preserve">การเบิกจ่าย </t>
  </si>
  <si>
    <t>5 = 1 - 4</t>
  </si>
  <si>
    <t>6 = 1 - 3 - 4</t>
  </si>
  <si>
    <t xml:space="preserve"> + PO</t>
  </si>
  <si>
    <t>1600604028700001</t>
  </si>
  <si>
    <t>ค่าใช้จ่ายในการดำเนินโครงการเพิ่มประสิทธิภาพกระบวนการยุติธรรมและแก้ไขฟื้นฟูเด็กและเยาวชนที่มีความเสี่ยงหรือเข้าไปเกี่ยวข้องกับสถานการณ์ความไม่มั่นคงในพื้นที่จังหวัดชายแดนภาคใต้</t>
  </si>
  <si>
    <t>1600604028700002</t>
  </si>
  <si>
    <t>ค่าใช้จ่ายในการดำเนินกิจกรรมเสริมสร้างประสิทธิภาพงานยุติธรรม เพื่อการสร้างความเป็นธรรมในจังหวัดชายแดนภาคใต้</t>
  </si>
  <si>
    <t>1600606011700001</t>
  </si>
  <si>
    <t>ค่าใช้จ่ายเกี่ยวกับการดำเนินงานในกิจกรรมการป้องกัน บำบัด แก้ไข ฟื้นฟูสมรรถภาพเด็กและเยาวชนที่เกี่ยวข้องกับยาและสารเสพติด</t>
  </si>
  <si>
    <t>1600606017700001</t>
  </si>
  <si>
    <r>
      <rPr>
        <sz val="16"/>
        <rFont val="TH SarabunPSK"/>
        <charset val="134"/>
      </rPr>
      <t xml:space="preserve">ค่าใช้จ่ายในการรณรงค์ป้องกันและแก้ไขปัญหายาเสพติด TO BE NUMBER ONE </t>
    </r>
    <r>
      <rPr>
        <b/>
        <sz val="16"/>
        <rFont val="TH SarabunPSK"/>
        <charset val="134"/>
      </rPr>
      <t>(ตัดโอนงบประมาณให้กรมสุขภาพจิต)</t>
    </r>
  </si>
  <si>
    <t>1600606017700002</t>
  </si>
  <si>
    <t>ค่าใช้จ่ายในการป้องกันเด็กและเยาวชนกลุ่มเสี่ยงต่อการใช้ยาเสพติดในสถานพินิจและศูนย์ฝึกและอบรม</t>
  </si>
  <si>
    <t>1600606017700003</t>
  </si>
  <si>
    <t>ค่าใช้จ่ายในการรณรงค์ป้องกันและแก้ไขปัญหายาเสพติดในสถานพินิจและศูนย์ฝึกและอบรม</t>
  </si>
  <si>
    <t>1600631030700001</t>
  </si>
  <si>
    <t>ค่าใช้จ่ายในการพัฒนาเด็กและเยาวชนดีเพื่อสังคม</t>
  </si>
  <si>
    <t>8</t>
  </si>
  <si>
    <t>1600658029700001</t>
  </si>
  <si>
    <t>ค่าใช้จ่ายในการพัฒนาระบบการแก้ไข บำบัด ฟื้นฟู เด็กและเยาวชน</t>
  </si>
  <si>
    <t>9</t>
  </si>
  <si>
    <t>1600658029700002</t>
  </si>
  <si>
    <t>ค่าใช้จ่ายในการสร้างปัญญาพัฒนาอาชีพสำหรับเด็กและเยาวชนในกระบวนการยุติธรรม</t>
  </si>
  <si>
    <t>10</t>
  </si>
  <si>
    <t>1600658029700003</t>
  </si>
  <si>
    <t>ค่าใช้จ่ายในการเพิ่มประสิทธิภาพการบำบัดทางจิตวิทยาในเด็กและเยาวชนที่มีปัญหาสุขภาพจิตหรือปัญหาซับซ้อนรุนแรง</t>
  </si>
  <si>
    <t>11</t>
  </si>
  <si>
    <t>1600660003700001</t>
  </si>
  <si>
    <t>ค่าใช้จ่ายในการพัฒนาเครือข่ายความร่วมมือในการพิทักษ์คุ้มครองสิทธิและสวัสดิภาพเด็กเยาวชนในสถานพินิจฯ</t>
  </si>
  <si>
    <t>12</t>
  </si>
  <si>
    <t>1600660003700002</t>
  </si>
  <si>
    <t>ค่าใช้จ่ายโครงการพัฒนาการบำบัด แก้ไข ฟื้นฟูและพัฒนาพฤตินิสัยเด็กและเยาวชนโดยการจัดการศึกษา ฝึกวิชาชีพการพัฒนากาย/จิตใจและการเตรียมความพร้อมก่อนปล่อย</t>
  </si>
  <si>
    <t>13</t>
  </si>
  <si>
    <t>1600660003700003</t>
  </si>
  <si>
    <t>โครงการการบำบัดแก้ไขฟื้นฟูเด็กและเยาวชนเฉพาะรายแบบไร้รอยต่อ (IRC)</t>
  </si>
  <si>
    <t xml:space="preserve">*หมายเหตุ ใช้วงเงินงบประมาณตาม พรบ. เป็นฐานในการคำนวณ  </t>
  </si>
  <si>
    <r>
      <rPr>
        <b/>
        <sz val="16"/>
        <rFont val="TH SarabunPSK"/>
        <charset val="134"/>
      </rPr>
      <t xml:space="preserve">        </t>
    </r>
    <r>
      <rPr>
        <b/>
        <u/>
        <sz val="16"/>
        <rFont val="TH SarabunPSK"/>
        <charset val="134"/>
      </rPr>
      <t>ดังนั้น</t>
    </r>
    <r>
      <rPr>
        <b/>
        <sz val="16"/>
        <rFont val="TH SarabunPSK"/>
        <charset val="134"/>
      </rPr>
      <t xml:space="preserve"> งบรายจ่ายอื่น ได้รับจัดสรรสุทธิ เป็นเงินจำนวนทั้งสิ้น 37,148,400.- บาท  รายละเอียดดังนี้</t>
    </r>
  </si>
  <si>
    <t xml:space="preserve">        1.1) มีการโอนเปลี่ยนแปลงงบประมาณ จากงบดำเนินงาน  มาตั้งจ่ายเป็น งบรายจ่ายอื่น (ค่าจ้างที่ปรึกษา จำนวน 4 โครงการ ตั้งแต่ลำดับ 14 -16 และ 18) เป็นเงินจำนวน 5,015,000.- บาท</t>
  </si>
  <si>
    <t xml:space="preserve">        โอนเปลี่ยนแปลงกลับไปตั้งจ่ายเป็นงบดำเนินงาน เป็นเงินจำนวน 10,500.- บาท  คงเหลือ 5,004,500.- บาท</t>
  </si>
  <si>
    <t xml:space="preserve">        1.2) มีการโอนเปลี่ยนแปลงงบประมาณ จากงบลงทุน  มาตั้งจ่ายเป็นงบรายจ่ายอื่น(รายการ PMQA 4.0 หรือรายการลำดับที่ 17) เป็นเงินจำนวน 400,000.- บาท โอนเปลี่ยนแปลงกลับไปตั้งจ่ายเป็นงบดำเนินงาน</t>
  </si>
  <si>
    <t xml:space="preserve">          เป็นเงินจำนวน 1,000 บาท คงเหลือ 399,000.- บาท</t>
  </si>
  <si>
    <t xml:space="preserve">   2) ใช้วงเงินงบประมาณหลังโอนเปลี่ยนแปลงงบประมาณ หรือได้รับสุทธิ เป็นฐานในการคำนวณ</t>
  </si>
  <si>
    <t xml:space="preserve">                     2) งบรายจ่ายอื่น มีรายการที่ถูกตัดโอนงบประมาณโดยนำเข้า พ.ร.บ. โอน 2563 เป็นเงินจำนวน 3,557,200- บาท</t>
  </si>
  <si>
    <t xml:space="preserve">                     3) มีการโอนเปลี่ยนแปลงงบประมาณ จากงบรายจ่ายอื่น ไปตั้งจ่ายเป็นงบลงทุน เป็นเงินจำนวน 99,276.- บาท เพื่อจัดซื้อครุภัณฑ์การเกษตร ของโครงการ DJOP Smart Farm</t>
  </si>
  <si>
    <t xml:space="preserve">                     4) มีการโอนเปลี่ยนแปลงงบประมาณ จากงบดำเนินงาน ไปตั้งจ่ายเป็นงบรายจ่ายอื่น เป็นเงินจำนวน 5,700,400.- บาท เป็นรายการค่าจ้างที่ปรึกษา และได้ยกเลิกรายการแล้ว</t>
  </si>
  <si>
    <t xml:space="preserve">                    5) มีการโอนเปลี่ยนแปลงงบประมาณ จากรายจ่ายอื่น ไปตั้งจ่ายเป็นงบดำเนินงาน เป็นเงินจำนวน 5,700,400.- บาท เพื่อจัดซื้อวัสดุเครื่องแต่งกายเด็กและเยาวชน</t>
  </si>
  <si>
    <t>1600660003000000</t>
  </si>
  <si>
    <t>ค่าเช่าเครื่องถ่ายเอกสาร (กองคลัง)</t>
  </si>
  <si>
    <t>ค่าเช่าเครื่องถ่ายเอกสาร (กพส)</t>
  </si>
  <si>
    <t>1600660002000000</t>
  </si>
  <si>
    <t>ค่าบำรุงรักษาระบบคอมพิวเตอร์</t>
  </si>
  <si>
    <t>30.11.2021</t>
  </si>
  <si>
    <t>โครงการจัดทำข้อมูลความปลอดภัย</t>
  </si>
  <si>
    <t>28.10.2021</t>
  </si>
  <si>
    <t>ค่าจ้างเหมาย้ายระบบสารสนเทศฯ</t>
  </si>
  <si>
    <t>26.10.2021</t>
  </si>
  <si>
    <t>ค่าเช่ารถยนต์ราชการ</t>
  </si>
  <si>
    <t>31.08.2021</t>
  </si>
  <si>
    <t>จัดจ้างที่ปรึกษาบำรุงรักษาระบบราชการ</t>
  </si>
  <si>
    <t>18.10.2021</t>
  </si>
  <si>
    <t>ค่าจ้างเหมาย้ายเครื่องคอมแม่ข่ายฯ</t>
  </si>
  <si>
    <t>03.10.2021</t>
  </si>
  <si>
    <t>โครงการจัดทำฐานข้อมูลและระบบครุภัณฑ์</t>
  </si>
  <si>
    <t>27.01.2022</t>
  </si>
  <si>
    <t xml:space="preserve">เป็นรายการที่กรมพินิจฯ ขอขยายเวลาเบิกจ่าย </t>
  </si>
  <si>
    <t>ค่าจัดจ้างผลิตสื่อวีดีทัศน์ 70 ปี</t>
  </si>
  <si>
    <t>สถานพินิจฯ จังหวัดแม่ฮ่องสอน</t>
  </si>
  <si>
    <t>ค่าไส้กรองเครื่องกรองน้ำ</t>
  </si>
  <si>
    <t>10.10.2021</t>
  </si>
  <si>
    <t>1600613007000000</t>
  </si>
  <si>
    <t>ค่าจัดจ้างพิมพ์วัสดุแบบพิมพ์</t>
  </si>
  <si>
    <t>ค่าจัดซื้อกระดาษ</t>
  </si>
  <si>
    <t>ค่าจัดซื้อเครื่องแบบประจำวันฯ</t>
  </si>
  <si>
    <t>ค่าเครื่องแต่งกาย</t>
  </si>
  <si>
    <t>21.10.2021</t>
  </si>
  <si>
    <t>ค่าเช่าใช้บริการสัญญาณเครือข่าย</t>
  </si>
  <si>
    <t>รวมงบดำเนินงาน</t>
  </si>
  <si>
    <t>1600660002110045 / 1600660002110147/ 1600660003110117</t>
  </si>
  <si>
    <t>เครื่องรับส่งวิทยุสี่อสาร</t>
  </si>
  <si>
    <t>08.07.2021</t>
  </si>
  <si>
    <t>1600660003110254</t>
  </si>
  <si>
    <t>โครงการจัดทำระบบคำของบประมาณประเภทลงทุน</t>
  </si>
  <si>
    <t>26.03.2022</t>
  </si>
  <si>
    <t>1600660003110267</t>
  </si>
  <si>
    <t>เครื่องวัดออกซิเจนปลายนิ้ว ของกรมพินิจฯ (ส่วนกลาง)</t>
  </si>
  <si>
    <t>26.09.2021</t>
  </si>
  <si>
    <t>1600660003110467</t>
  </si>
  <si>
    <t>โครงการจัดซื้อเครื่องคอมพิวเตอร์แบบพกพา (iPad wifi) สำหรับสนับสนุนสถานการณ์โควิด</t>
  </si>
  <si>
    <t>17.11.2021</t>
  </si>
  <si>
    <t>1600660003110464</t>
  </si>
  <si>
    <t>โครงการพัฒนาระบบรายงานแสดงข้อมูลงบประมาณรายจ่ายประจำปีของกรมพินิจฯ ประจำปีงบประมาณ พ.ศ. 2564</t>
  </si>
  <si>
    <t>17.02.2022</t>
  </si>
  <si>
    <t>1600660003110463</t>
  </si>
  <si>
    <t>โครงการปรับปรุงระบบคำของบประมาณครุภัณฑ์/สิ่งก่อสร้าง</t>
  </si>
  <si>
    <t>19.03.2022</t>
  </si>
  <si>
    <t>1600660003110465</t>
  </si>
  <si>
    <t>โครงการพัฒนาระบบเบิกจ่ายพัสดุแบบออนไลน์</t>
  </si>
  <si>
    <t>21.01.2022</t>
  </si>
  <si>
    <t>โครงการจัดทำระบบประเมินและจัดเก็บข้อมูลการตรวจสอบภายในด้วยอิเล็กทรอนิกส์ ประจำปีงบประมาณ พ.ศ. 2564</t>
  </si>
  <si>
    <t>1600660003110492</t>
  </si>
  <si>
    <t>บอร์ดนิทรรศการ 70 ปี</t>
  </si>
  <si>
    <t>28.12.2021</t>
  </si>
  <si>
    <t>ศูนย์ฝึกฯ บ้านกรุณา</t>
  </si>
  <si>
    <t>1600660003110314 / 160066000311315</t>
  </si>
  <si>
    <t>กล้องวงจรปิด พร้อมอุปกรณ์สำหรับห้อง แยกกัก ศฝ.บ้านกรุณา และกล้องวงจรปิด พร้อมอุปกรณ์สำหรับจัดตั้ง รพ.สนาม (ระบบ WiFi) ศฝ.บ้านกรุณา</t>
  </si>
  <si>
    <t>25.09.2021</t>
  </si>
  <si>
    <t>1600660003110387</t>
  </si>
  <si>
    <t>ถังออกซิเจน พร้อมอุปกรณ์ ศฝ.เขต 2</t>
  </si>
  <si>
    <t xml:space="preserve">   </t>
  </si>
  <si>
    <t>1600660003700005</t>
  </si>
  <si>
    <t>ค่าจ้างที่ปรึกษาโครงการพัฒนาแบบประเมินความเสี่ยง และความจำเป็นในการบำบัดฟื้นฟูเด็กและเยาวชนในสถานพินิจฯ  (สถาบันวิจัยและพัฒนา)</t>
  </si>
  <si>
    <t>04.10.2021</t>
  </si>
  <si>
    <t>ผลิตหนังสือทำเนียบกรรมการสงเคราะห์</t>
  </si>
  <si>
    <t>23.09.2021</t>
  </si>
  <si>
    <t>ผลิตสื่อการเรียนรู้</t>
  </si>
  <si>
    <t>1600631016700003</t>
  </si>
  <si>
    <t>จัดจ้างคู่มือเพื่อเสริมสร้างความเข้าใจ</t>
  </si>
  <si>
    <t>19.10.2021</t>
  </si>
  <si>
    <t>จัดซื้อชุดตรวจสารเสพติด</t>
  </si>
  <si>
    <t>ผลิตเกมออกไปข้างนอก</t>
  </si>
  <si>
    <t>15.10.2021</t>
  </si>
  <si>
    <t>จัดทำใบประกาศเกียรติคุณ</t>
  </si>
  <si>
    <t>จัดจ้างทำโล่ สำหรับกรรมการสงเคราะห์</t>
  </si>
  <si>
    <t>1600660003700008</t>
  </si>
  <si>
    <t>ค่าจ้างที่ปรึกษาในการดำเนินโครงการ “การศึกษาและวิเคราะห์ข้อมูลเยาวชน Juvenile Profile Analytics (JPA)” (สำนักบริหาร)</t>
  </si>
  <si>
    <t>27.03.2022</t>
  </si>
  <si>
    <t xml:space="preserve">รวมงบรายจ่ายอื่น ของกรมพินิจฯ </t>
  </si>
  <si>
    <t>กรมพินิจฯ ได้จัดสรรงบประมาณงบรายจ่ายอื่น ไปตั้งจ่ายให้แก่กรมสุขภาพจิต  ในลักษณะงบประมาณ   แทนกัน</t>
  </si>
  <si>
    <t>ค่าใช้จ่ายในการรณรงค์ป้องกันและแก้ไขปัญหายาเสพติด (TO BE NUMBER ONE)</t>
  </si>
  <si>
    <t>กรมสุขภาพจิต   เป็นผู้ดำเนินการ</t>
  </si>
  <si>
    <t>รวมงบรายจ่ายอื่นทั้งสิ้น</t>
  </si>
  <si>
    <t>สรุปสถานะการใช้จ่ายเงินงบประมาณประจำปีงบประมาณ  พ.ศ. 2565 เงินงบประมาณแทนกันของกรมคุมประพฤติ</t>
  </si>
  <si>
    <t>รายการโครงการคืนคนดีสู่สังคม</t>
  </si>
  <si>
    <t>หน่วยงาน</t>
  </si>
  <si>
    <t>ค่าจ้างงานเยาวชน</t>
  </si>
  <si>
    <t>ค่าใช้จ่ายในการสัมมนาและฝึกอบรม</t>
  </si>
  <si>
    <t>สรุปรวมทั้งสิ้น</t>
  </si>
  <si>
    <t>คิดเป็นร้อยละ</t>
  </si>
  <si>
    <t>ของการเบิกจ่าย</t>
  </si>
  <si>
    <t xml:space="preserve">กรมพินิจ ฯ </t>
  </si>
  <si>
    <t>สถานพินิจ ฯ</t>
  </si>
  <si>
    <t>กรุงเทพมหานคร</t>
  </si>
  <si>
    <t xml:space="preserve">ศูนย์ฝึก ฯ </t>
  </si>
  <si>
    <t>บ้านกรุณา</t>
  </si>
  <si>
    <t>บ้านมุทิตา</t>
  </si>
  <si>
    <t>บ้านอุเบกขา</t>
  </si>
  <si>
    <t>บ้านปรานี</t>
  </si>
  <si>
    <t>สิรินธร</t>
  </si>
  <si>
    <t>ศูนย์ฝึก ฯ เขต 1</t>
  </si>
  <si>
    <t>ศูนย์ฝึก ฯ เขต 2</t>
  </si>
  <si>
    <t>ศูนย์ฝึก ฯ เขต 3</t>
  </si>
  <si>
    <t>ศูนย์ฝึก ฯ เขต 4</t>
  </si>
  <si>
    <t>ศูนย์ฝึก ฯ เขต 5</t>
  </si>
  <si>
    <t>ศูนย์ฝึก ฯ เขต 6</t>
  </si>
  <si>
    <t>ศูนย์ฝึก ฯ เขต 7</t>
  </si>
  <si>
    <t>ศูนย์ฝึก ฯ เขต 8</t>
  </si>
  <si>
    <t>ศูนย์ฝึก ฯ เขต 9</t>
  </si>
  <si>
    <t>สมุทรปราการ</t>
  </si>
  <si>
    <t>นนทบุรี</t>
  </si>
  <si>
    <t>ปทุมธานี</t>
  </si>
  <si>
    <t>อยุธยา</t>
  </si>
  <si>
    <t>อ่างทอง</t>
  </si>
  <si>
    <t>สิงห์บุรี</t>
  </si>
  <si>
    <t>สระบุรี</t>
  </si>
  <si>
    <t>ชลบุรี</t>
  </si>
  <si>
    <t>ระยอง</t>
  </si>
  <si>
    <t>จันทบุรี</t>
  </si>
  <si>
    <t>ฉะเชิงเทรา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</si>
  <si>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</si>
  <si>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</si>
  <si>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</si>
  <si>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</si>
  <si>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</si>
  <si>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อำนาจเจริญ</t>
  </si>
  <si>
    <t>ขอนแก่น</t>
  </si>
  <si>
    <t>อุดรธานี</t>
  </si>
  <si>
    <t>ร้อยเอ็ด</t>
  </si>
  <si>
    <t>นครพนม</t>
  </si>
  <si>
    <t>เชียงใหม่</t>
  </si>
  <si>
    <t>ลำพูน</t>
  </si>
  <si>
    <t>ลำปาง</t>
  </si>
  <si>
    <t>นครสวรรค์</t>
  </si>
  <si>
    <t>สุโขทัย</t>
  </si>
  <si>
    <t>พิษณุโลก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</si>
  <si>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</si>
  <si>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</si>
  <si>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</si>
  <si>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</si>
  <si>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</si>
  <si>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</si>
  <si>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เพชรบุรี</t>
  </si>
  <si>
    <t>นครศรีธรรมราช</t>
  </si>
  <si>
    <t>ภูเก็ต</t>
  </si>
  <si>
    <t>สุราษฎร์ธานี</t>
  </si>
  <si>
    <t>สงขลา</t>
  </si>
  <si>
    <t>สตูล</t>
  </si>
  <si>
    <t>ตรัง</t>
  </si>
  <si>
    <t>ปัตตานี</t>
  </si>
  <si>
    <t>ยะลา</t>
  </si>
  <si>
    <t>นราธิวาส</t>
  </si>
  <si>
    <t>หนองบัวลำภู</t>
  </si>
  <si>
    <t>ตราด</t>
  </si>
  <si>
    <t>แพร่</t>
  </si>
  <si>
    <t>สระแก้ว</t>
  </si>
  <si>
    <t>ชัยภูมิ</t>
  </si>
  <si>
    <t>กำแพงเพชร</t>
  </si>
  <si>
    <t>ลพบุรี</t>
  </si>
  <si>
    <t>เชียงราย</t>
  </si>
  <si>
    <t>เลย</t>
  </si>
  <si>
    <t>หนองคาย</t>
  </si>
  <si>
    <t>กาฬสินธุ์</t>
  </si>
  <si>
    <t>สกลนคร</t>
  </si>
  <si>
    <t>มุกดาหาร</t>
  </si>
  <si>
    <t>อุตรดิตถ์</t>
  </si>
  <si>
    <t>น่าน</t>
  </si>
  <si>
    <t>อุทัยธานี</t>
  </si>
  <si>
    <t>สมุทรสงคราม</t>
  </si>
  <si>
    <t>ประจวบคีรีขันธ์</t>
  </si>
  <si>
    <t>กระบี่</t>
  </si>
  <si>
    <t>พัทลุง</t>
  </si>
  <si>
    <t>ชัยนาท</t>
  </si>
  <si>
    <t>ปราจีนบุรี</t>
  </si>
  <si>
    <t>นครนายก</t>
  </si>
  <si>
    <t>ยโสธร</t>
  </si>
  <si>
    <t>มหาสารคาม</t>
  </si>
  <si>
    <t>พะเยา</t>
  </si>
  <si>
    <t>แม่ฮ่องสอน</t>
  </si>
  <si>
    <t>ตาก</t>
  </si>
  <si>
    <t>พิจิตร</t>
  </si>
  <si>
    <t>พังงา</t>
  </si>
  <si>
    <t>ระนอง</t>
  </si>
  <si>
    <t>ชุมพร</t>
  </si>
  <si>
    <t>บ้านบึง</t>
  </si>
  <si>
    <t>บึงกาฬ</t>
  </si>
  <si>
    <t>ศูนย์ฝึก ฯ เขต 11</t>
  </si>
  <si>
    <t>บ้านกาญจนาภิเษก</t>
  </si>
  <si>
    <t>ของหน่วยงานในสังกัด</t>
  </si>
  <si>
    <t xml:space="preserve">*หมายเหตุ  เงินงบประมาณดังกล่าว ประกอบด้วย งบประมาณปี พ.ศ. 2562 ไปพลางก่อน + งบประมาณปี พ.ศ. 2563 </t>
  </si>
  <si>
    <t>และปัจจุบันอยู่ระหว่างรอกรมบัญชีกลางดำเนินการ Mappingงบประมาณ จาก ปี พ.ศ. 2562 ไปพลางก่อน ไปเป็น ปี พ.ศ. 2563</t>
  </si>
  <si>
    <t xml:space="preserve"> </t>
  </si>
  <si>
    <t>หมายเหตุ ข้อมูลงบประมาณดังกล่าว เป็นข้อมูลจากรายงาน MIS : Financial Analytics</t>
  </si>
  <si>
    <t xml:space="preserve">สรุปสถานะการใช้จ่ายเงินงบประมาณประจำปีงบประมาณ พ.ศ. 2565 ในระบบ GFMIS (New GFMIS Thai)    </t>
  </si>
  <si>
    <t>ตามพระราชบัญญัติงบประมาณรายจ่ายประจำปีงบประมาณ พ.ศ. 2562</t>
  </si>
  <si>
    <t>ภาพรวม (ตามที่กรมได้จัดสรรให้จริง ในระบบ GFMIS / New GFMIS Thai) (Financial Analytic - MIS)</t>
  </si>
  <si>
    <t>ใบสั่งซื้อสั่งจ้าง (PO)</t>
  </si>
  <si>
    <t>ของการเบิกจ่าย+PO</t>
  </si>
  <si>
    <t>ส่วนกลาง</t>
  </si>
  <si>
    <t>สพ.</t>
  </si>
  <si>
    <t>กรุงเทพ</t>
  </si>
  <si>
    <t>ศฝ.</t>
  </si>
  <si>
    <t>เขต 1 ระยอง</t>
  </si>
  <si>
    <t>เขต 2 ราชบุรี</t>
  </si>
  <si>
    <t>เขต 3 นครราชสีมา</t>
  </si>
  <si>
    <t>เขต 4 ขอนแก่น</t>
  </si>
  <si>
    <t>เขต 5 อุบลราชธานี</t>
  </si>
  <si>
    <t>เขต 6 นครสวรรค์</t>
  </si>
  <si>
    <t>เขต 7 เชียงใหม่</t>
  </si>
  <si>
    <t>เขต 8 สุราษฎร์ธานี</t>
  </si>
  <si>
    <t>เขต 9 สงขลา</t>
  </si>
  <si>
    <t>ประจวบคีรีขันธุ์</t>
  </si>
  <si>
    <t>กรมพินิจ ฯ  ภาพรวม</t>
  </si>
  <si>
    <t>1. ใช้วงเงินงบประมาณในระบบ GFMIS เป็นฐานในการคำนวณ</t>
  </si>
  <si>
    <t>2. ข้อมูลรายงานจากระบบบริหารการเงินการคลังภาครัฐแบบอิเล็กทรอนิกส์ใหม่ (New GFMIS Thai) (Financial Analytic - MIS)</t>
  </si>
  <si>
    <t>สรุปรายละเอียดการกันไว้เบิกเหลื่อมปีงบประมาณ พ.ศ. 2563</t>
  </si>
  <si>
    <t>หมายเหตุ : สถานะปัจจุบัน</t>
  </si>
  <si>
    <t>ชื่อคู่สัญญา</t>
  </si>
  <si>
    <t>วันที่ทำเอกสาร</t>
  </si>
  <si>
    <t>วันสิ้นสุด</t>
  </si>
  <si>
    <t>ชื่อรายการใน GF</t>
  </si>
  <si>
    <t>และ/หรือ สิ้นสุดสัญญา</t>
  </si>
  <si>
    <t>1600656703000000</t>
  </si>
  <si>
    <t>ค่า รปภ.</t>
  </si>
  <si>
    <t>เบิกจ่ายเรียบร้อยแล้ว</t>
  </si>
  <si>
    <t>องค์การสงเคราะห์ทหาร</t>
  </si>
  <si>
    <t>04.02.2020</t>
  </si>
  <si>
    <t>30.09.2020</t>
  </si>
  <si>
    <t>บริการพนักงานรักษาคว</t>
  </si>
  <si>
    <t>1600656702000000</t>
  </si>
  <si>
    <t>ค่าบำรุงรักษาระบบคอมพิวเตอร์เครือข่าย</t>
  </si>
  <si>
    <t>บริษัท ซีดีจี ซิสเต็</t>
  </si>
  <si>
    <t>12.11.2019</t>
  </si>
  <si>
    <t>เครื่องแม่ข่ายสำหรับ</t>
  </si>
  <si>
    <t>28.04.2020</t>
  </si>
  <si>
    <t>ค่าจัดจ้างผลิตวารสารกรมพินิจฯ</t>
  </si>
  <si>
    <t>บริษัท ทองกมล 999 จำ</t>
  </si>
  <si>
    <t>27.05.2020</t>
  </si>
  <si>
    <t>31.07.2020</t>
  </si>
  <si>
    <t>วัสดุเพื่อการประชาสั</t>
  </si>
  <si>
    <t>ค่าเช่าเครื่องถ่ายเอกสาร</t>
  </si>
  <si>
    <t>บจก พีเอสไอ เซลส์ แอ</t>
  </si>
  <si>
    <t>13.08.2020</t>
  </si>
  <si>
    <t>24.08.2020</t>
  </si>
  <si>
    <t>เครื่องถ่ายเอกสาร</t>
  </si>
  <si>
    <t>โครงการจัดทำแผนการกำหนดตำแหน่ง และการประเมินฯ</t>
  </si>
  <si>
    <t xml:space="preserve">สิ้นสุดวันที่ 24 มีนาคม 64 </t>
  </si>
  <si>
    <t>บริษัท อินทิเกรเทด แ</t>
  </si>
  <si>
    <t>26.08.2020</t>
  </si>
  <si>
    <t>24.03.2021</t>
  </si>
  <si>
    <t>บริการให้คำปรึกษาทาง</t>
  </si>
  <si>
    <t>7015270833/ 7015636946</t>
  </si>
  <si>
    <t>สิ้นสุดวันที่ 10 พฤษภาคม 64 และปัจจุบันได้เบิกจ่ายเสร็จเรียบร้อยแล้ว และมีเงินเหลือจ่ายที่ต้องพับไป เป็นเงินจำนวน 988,573.81 บาท งบประมาณพับไป</t>
  </si>
  <si>
    <t>บริษัท ทรู ลีสซิ่ง จ</t>
  </si>
  <si>
    <t>25.09.2020</t>
  </si>
  <si>
    <t>10.10.2020</t>
  </si>
  <si>
    <t>พาหนะให้เช่า</t>
  </si>
  <si>
    <t>สถานพินิจฯ จังหวัดเลย</t>
  </si>
  <si>
    <t>ค่าซ่อมแซมรถยนต์</t>
  </si>
  <si>
    <t>หจก.อู่คุณสัญญา</t>
  </si>
  <si>
    <t>02.09.2020</t>
  </si>
  <si>
    <t>19.10.2020</t>
  </si>
  <si>
    <t>(ยกเลิก)บริการการบำร</t>
  </si>
  <si>
    <t>ศูนย์ฝึกฯ จังหวัดอยุธยา</t>
  </si>
  <si>
    <t>ค่าซ่อมแซมห้องน้ำ</t>
  </si>
  <si>
    <t>บริษัท ช ธาม จำกัด</t>
  </si>
  <si>
    <t>11.08.2020</t>
  </si>
  <si>
    <t>บริการซ่อมแซมปรับปรุ</t>
  </si>
  <si>
    <t>ค่าวัสดุโครงการ</t>
  </si>
  <si>
    <t>ห้างหุ้นส่วนจำกัดไวย</t>
  </si>
  <si>
    <t>ซีเมนต์</t>
  </si>
  <si>
    <t>ค่าสายรัดข้อมือ</t>
  </si>
  <si>
    <t>ห้างหุ้นส่วนจำกัด เอ</t>
  </si>
  <si>
    <t>01.07.2020</t>
  </si>
  <si>
    <t>14.10.2020</t>
  </si>
  <si>
    <t>สายรัด</t>
  </si>
  <si>
    <t>ค่าเครื่องแต่งกายเด็กและเยาวชน</t>
  </si>
  <si>
    <t>28.09.2020</t>
  </si>
  <si>
    <t>26.01.2021</t>
  </si>
  <si>
    <t>เครื่องแบบ</t>
  </si>
  <si>
    <t>สถานพินิจฯ จังหวัดอุบลราชธานี</t>
  </si>
  <si>
    <t>ค่าอาหารเด็กและเยาวชน</t>
  </si>
  <si>
    <t>หน่วยงานทำ Po ซ้ำ จึงส่งผลทำให้เป็นงบประมาณพับไป</t>
  </si>
  <si>
    <t>ธิราภรณ์ โดยนางธิราภ</t>
  </si>
  <si>
    <t>29.10.2019</t>
  </si>
  <si>
    <t>มันฝรั่งปรุงรส ข้าว</t>
  </si>
  <si>
    <t>บริษัท แอดวานซ์ ไวร์</t>
  </si>
  <si>
    <t>20.11.2019</t>
  </si>
  <si>
    <t>20.11.2020</t>
  </si>
  <si>
    <t>บริการที่เกี่ยวข้องก</t>
  </si>
  <si>
    <t>สถานพินิจฯ กรุงเทพฯ</t>
  </si>
  <si>
    <t>ค่าเช่าเครือข่าย</t>
  </si>
  <si>
    <t>บริษัท กสท.โทรคมนาคม</t>
  </si>
  <si>
    <t>08.05.2020</t>
  </si>
  <si>
    <t>31.08.2020</t>
  </si>
  <si>
    <t>(ยกเลิก)บริการอินเตอ</t>
  </si>
  <si>
    <t>1600656702120002</t>
  </si>
  <si>
    <t>โครงการจัดซื้อกล้องโทรทัศน์วงจรปิด</t>
  </si>
  <si>
    <t>บริษัท แอดวานซ์ เน็ต</t>
  </si>
  <si>
    <t>26.06.2020</t>
  </si>
  <si>
    <t>24.10.2020</t>
  </si>
  <si>
    <t>กล้องรักษาความปลอดภั</t>
  </si>
  <si>
    <t>1600656703110619</t>
  </si>
  <si>
    <t>เครื่องกระตุ้นไฟฟ้าหัวใจ</t>
  </si>
  <si>
    <t>ห้างหุ้นส่วนจำกัด ลา</t>
  </si>
  <si>
    <t>02.11.2020</t>
  </si>
  <si>
    <t>เครื่องกระตุ้นหัวใจภ</t>
  </si>
  <si>
    <t>1600656703110454</t>
  </si>
  <si>
    <t>โครงการพัฒนาระบบการประเมินผล (กบค.)</t>
  </si>
  <si>
    <t>บ. ดีคอร์ซิสเต็ม อิน</t>
  </si>
  <si>
    <t>บริการเขียนโปรแกรมระ</t>
  </si>
  <si>
    <t>1600656703420001</t>
  </si>
  <si>
    <t>ก่อสร้างศูนย์ฝึกฯ จังหวัดสงขลา</t>
  </si>
  <si>
    <t>สิ้นสุดวันที่ 24 มีนาคม 65 งบประมาณพับไป</t>
  </si>
  <si>
    <t>หจก</t>
  </si>
  <si>
    <t>1600656702420006</t>
  </si>
  <si>
    <t>ก่อสร้างสถานพินิจฯ จังหวัดพะเยา</t>
  </si>
  <si>
    <t>หจก. เธียรสวัสดิ์ คอน</t>
  </si>
  <si>
    <t>01.10.2016</t>
  </si>
  <si>
    <t>03.03.2020</t>
  </si>
  <si>
    <t>1600656702420002</t>
  </si>
  <si>
    <t>ก่อสร้างสถานพินิจฯ จังหวัดสุรินทร์</t>
  </si>
  <si>
    <t>บริษัท สินรัตนันต์</t>
  </si>
  <si>
    <t>01.10.2019</t>
  </si>
  <si>
    <t>19.01.2021</t>
  </si>
  <si>
    <t>1600656702420007</t>
  </si>
  <si>
    <t>ก่อสร้างสถานพินิจฯ จังหวัดฉะเชิงเทรา</t>
  </si>
  <si>
    <t>บริษัท โกลเดน ไลน์ ค</t>
  </si>
  <si>
    <t>05.05.2020</t>
  </si>
  <si>
    <t>07.05.2020</t>
  </si>
  <si>
    <t>(ยกเลิก)การก่อสร้างอ</t>
  </si>
  <si>
    <t>1600656702420004</t>
  </si>
  <si>
    <t>ก่อสร้างสถานพินิจฯ จังหวัดชุมพร</t>
  </si>
  <si>
    <t>สิ้นสุดวันที่ 11 สิงหาคม 65 งบประมาณพับไป</t>
  </si>
  <si>
    <t>กิจการร่วมค้าบริษัทเ</t>
  </si>
  <si>
    <t>17.05.2021</t>
  </si>
  <si>
    <t>บริการการจัดการ:การก</t>
  </si>
  <si>
    <t>1600656702420003</t>
  </si>
  <si>
    <t>โครงการบ้านพักข้าราชการ (บ้านหลวง)สถานพินิจฯ จังหวัดแม่ฮ่องสอน</t>
  </si>
  <si>
    <t>บริษัท บ้านแก้ว เอ็น</t>
  </si>
  <si>
    <t>29.07.2020</t>
  </si>
  <si>
    <t>13.08.2021</t>
  </si>
  <si>
    <t>1600656702420005</t>
  </si>
  <si>
    <t>ก่อสร้างก่อสร้างอาคารชุดที่พักอาศัยข้าราชการฯสถานพินิจฯ จังหวัดนนทบุรี</t>
  </si>
  <si>
    <t>สิ้นสุดวันที่ 3 มกราคม 65 งบประมาณพับไป</t>
  </si>
  <si>
    <t>บริษัท เอ.ซี.เอ็นจิเ</t>
  </si>
  <si>
    <t>03.01.2022</t>
  </si>
  <si>
    <t>ศูนย์ฝึกฯ เขต 1</t>
  </si>
  <si>
    <t>1600656703410002</t>
  </si>
  <si>
    <t>งานปรับปรุงเขตพื้นที่ศูนย์ฝึก</t>
  </si>
  <si>
    <t>บริษัท เพฟดิเวลล็อป</t>
  </si>
  <si>
    <t>05.06.2020</t>
  </si>
  <si>
    <t>05.10.2020</t>
  </si>
  <si>
    <t>งานก่อสร้าง:ระบบประป</t>
  </si>
  <si>
    <t>1600656703410003</t>
  </si>
  <si>
    <t xml:space="preserve">เบิกจ่ายเรียบร้อยแล้ว </t>
  </si>
  <si>
    <t>บริษัท ชินาภัค คอนกร</t>
  </si>
  <si>
    <t>23.11.2020</t>
  </si>
  <si>
    <t>ศูนย์ฝึกฯ เขต 3</t>
  </si>
  <si>
    <t>1600656703410009</t>
  </si>
  <si>
    <t>บริษัท อะโรส  รีโนเว</t>
  </si>
  <si>
    <t>28.05.2020</t>
  </si>
  <si>
    <t>02.07.2020</t>
  </si>
  <si>
    <t>บริการจัดการ:อุตสาหก</t>
  </si>
  <si>
    <t>ศูนย์ฝึกฯ เขต 4</t>
  </si>
  <si>
    <t>1600656703410019</t>
  </si>
  <si>
    <r>
      <rPr>
        <b/>
        <sz val="18"/>
        <color theme="1"/>
        <rFont val="TH SarabunPSK"/>
        <charset val="134"/>
      </rPr>
      <t xml:space="preserve">สิ้นสุดวันที่  25 กันยายน 63 และ ปัจจุบันงานก่อสร้างยังไม่แล้วเสร็จ </t>
    </r>
    <r>
      <rPr>
        <b/>
        <u val="singleAccounting"/>
        <sz val="18"/>
        <color theme="1"/>
        <rFont val="TH SarabunPSK"/>
        <charset val="134"/>
      </rPr>
      <t>(ผู้รับจ้างทิ้งงาน) งบประมาณพับไป</t>
    </r>
  </si>
  <si>
    <t>บริษัท ลูกหลวงเรียลค</t>
  </si>
  <si>
    <t>สิ่งก่อสร้างเกี่ยวกั</t>
  </si>
  <si>
    <t>1600656702410027</t>
  </si>
  <si>
    <t>ปรับปรุงเพิ่มเติมงานอาคารของ      ศูนย์ฝึกฯ จังหวัดยะลา</t>
  </si>
  <si>
    <t>หจก. บำรุงโยธากิจ</t>
  </si>
  <si>
    <t>29.05.2020</t>
  </si>
  <si>
    <t>25.11.2020</t>
  </si>
  <si>
    <t>1600656703420002</t>
  </si>
  <si>
    <t>โครงการเพิ่มประสิทธิภาพฯศูนย์ฝึกฯ จังหวัดยะลา</t>
  </si>
  <si>
    <t>สถานพินิจฯ จังหวัดปัตตานี</t>
  </si>
  <si>
    <t>1600656702410029</t>
  </si>
  <si>
    <t>โครงการงานปรับปรุงซ่อมแซมฯ</t>
  </si>
  <si>
    <t>ห้างหุ้นส่วนจำกัด เก</t>
  </si>
  <si>
    <t>12.06.2020</t>
  </si>
  <si>
    <t>07.07.2021</t>
  </si>
  <si>
    <t>บริการตกแต่ง:ภายในอา</t>
  </si>
  <si>
    <t>สถานพินิจฯ จังหวัดสกลนคร</t>
  </si>
  <si>
    <t>1600656702410010</t>
  </si>
  <si>
    <t>โครงการก่อสร้างโรงครัว</t>
  </si>
  <si>
    <t>หจก ยิ่งเจริญชำนาญกิ</t>
  </si>
  <si>
    <t>21.05.2020</t>
  </si>
  <si>
    <t>27.11.2020</t>
  </si>
  <si>
    <t>โรงอาหาร</t>
  </si>
  <si>
    <t>1600603728700002</t>
  </si>
  <si>
    <t>ค่าจ้างที่ปรึกษาโครงการสร้างการรับรู้และความเข้าใจในเรื่องกระบวนการยุติธรรมฯ</t>
  </si>
  <si>
    <t>มหาวิทยาลัยสงขลานคริ</t>
  </si>
  <si>
    <t>1600605711700001</t>
  </si>
  <si>
    <t>ค่าเครื่องตรวจสารเสพติด</t>
  </si>
  <si>
    <t>บริษัท อัลฟ่า ทรีออน</t>
  </si>
  <si>
    <t>17.09.2020</t>
  </si>
  <si>
    <t>01.11.2020</t>
  </si>
  <si>
    <t>วัสดุสิ้นเปลืองต่างๆ</t>
  </si>
  <si>
    <t>รวมงบรายจ่ายอื่น</t>
  </si>
  <si>
    <t>ณ วันที่ 1 ตุลาคม 2563</t>
  </si>
  <si>
    <t>เค่าเช่าเครื่องถ่ายเอกสาร</t>
  </si>
  <si>
    <t>ปรับปรุงเพิ่มเติมงานอาคารของศูนย์ฝึกฯ จังหวัดยะลา</t>
  </si>
  <si>
    <t>ก่อสร้างสถานพินิจฯ จังหวัดแม่ฮ่องสอน</t>
  </si>
  <si>
    <t>ก่อสร้างสถานพินิจฯ จังหวัดนนทบุรี</t>
  </si>
  <si>
    <t>กรมพินิจและคุ้มครองเด็กและเยาวชน กระทรวงยุติธรรม</t>
  </si>
  <si>
    <t>สรุปรายละเอียดการเบิกจ่ายเงินงบประมาณประจำปีงบประมาณ พ.ศ. 2565</t>
  </si>
  <si>
    <t>หมวด/รายการ</t>
  </si>
  <si>
    <t>PO+เบิกจ่าย</t>
  </si>
  <si>
    <t xml:space="preserve"> ตาม พรบ.</t>
  </si>
  <si>
    <t xml:space="preserve">PO </t>
  </si>
  <si>
    <t>ของการเบิกจ่าย +</t>
  </si>
  <si>
    <t xml:space="preserve">    ครุภัณฑ์</t>
  </si>
  <si>
    <t xml:space="preserve">   -ที่ดิน/สิ่งก่อสร้าง</t>
  </si>
  <si>
    <t>รวมทั้งสิ้น/ภาพรวม</t>
  </si>
  <si>
    <t>เป้าหมายการใช้จ่ายงบประมาณ ประจำปีงบประมาณ พ.ศ. 2564 ตามมติคณะรัฐมนตรี</t>
  </si>
  <si>
    <t>ประเภทรายจ่าย</t>
  </si>
  <si>
    <t>ไตรมาส 1</t>
  </si>
  <si>
    <t>ไตรมาส 2</t>
  </si>
  <si>
    <t>ไตรมาส 3</t>
  </si>
  <si>
    <t>ไตรมาส 4</t>
  </si>
  <si>
    <t>หมายเหตุ ต่ำกว่า / สูงกว่า เป้าหมาย</t>
  </si>
  <si>
    <t xml:space="preserve">ภาพรวม </t>
  </si>
  <si>
    <t>(สะสม)</t>
  </si>
  <si>
    <r>
      <rPr>
        <b/>
        <sz val="22"/>
        <color theme="1"/>
        <rFont val="TH SarabunPSK"/>
        <charset val="134"/>
      </rPr>
      <t xml:space="preserve">*หมายเหตุ :   1. กรมพินิจฯ ได้รับงบประมาณ ตาม พรบ. เป็นเงินจำนวน 1,969,681,900.- บาท </t>
    </r>
    <r>
      <rPr>
        <b/>
        <u/>
        <sz val="22"/>
        <color theme="1"/>
        <rFont val="TH SarabunPSK"/>
        <charset val="134"/>
      </rPr>
      <t>แต่</t>
    </r>
    <r>
      <rPr>
        <b/>
        <sz val="22"/>
        <color theme="1"/>
        <rFont val="TH SarabunPSK"/>
        <charset val="134"/>
      </rPr>
      <t xml:space="preserve"> ปัจจุบันได้รับจัดสรรในเบื้องต้น(ในระบบ GFMIS)</t>
    </r>
  </si>
  <si>
    <t xml:space="preserve">                    เป็นเงินจำนวน 993,916,800.- บาท  หรือคิดเป็นร้อยละ 50.46</t>
  </si>
  <si>
    <r>
      <rPr>
        <b/>
        <sz val="22"/>
        <color theme="0"/>
        <rFont val="TH SarabunPSK"/>
        <charset val="134"/>
      </rPr>
      <t xml:space="preserve">*หมายเหตุ : </t>
    </r>
    <r>
      <rPr>
        <b/>
        <sz val="22"/>
        <color theme="1"/>
        <rFont val="TH SarabunPSK"/>
        <charset val="134"/>
      </rPr>
      <t xml:space="preserve">  2. ใช้วงเงินงบประมาณตาม พรบ. เป็นฐานในการคำนวณ</t>
    </r>
  </si>
  <si>
    <t>วงเงิน</t>
  </si>
  <si>
    <t>ค่าเช่ารถยนต์ราชการ (พับรอบมีนาคม2564 เป็นเงินจำนวน 267,340.31 บาท  และรอบกันยายน เป็นเงินจำนวน 721,233.50.- บาท)</t>
  </si>
  <si>
    <t>เงินเหลือจ่ายจากการจัดจ้าง</t>
  </si>
  <si>
    <t>2.1 ค่าก่อสร้างศูนย์ฝึกฯ จังหวัดสงขลา</t>
  </si>
  <si>
    <t>2.2 ค่าก่อสร้างสถานพินิจฯ จังหวัดชุมพร</t>
  </si>
  <si>
    <t>2.2 ค่าก่อสร้างอาคารชุดที่พักฯ สถานพินิจฯ จังหวัดนนทบุรี</t>
  </si>
  <si>
    <t>2.2 ค่าปรับปรุงเขตพื้นที่ศูนย์ฝึกฯ เขต 4</t>
  </si>
  <si>
    <t>2.1 รายการครุภัณฑ์</t>
  </si>
  <si>
    <t>2.1 รายการที่ดินและสิ่งก่อสร้าง</t>
  </si>
  <si>
    <t>3.1 งบรายจ่ายอื่น กรมพินิจฯ ดำเนินการ</t>
  </si>
  <si>
    <r>
      <rPr>
        <sz val="18"/>
        <rFont val="TH SarabunPSK"/>
        <charset val="134"/>
      </rPr>
      <t>3.2 งบรายจ่ายอื่น กรมพินิจฯ ตัดโอนงบประมาณให้</t>
    </r>
    <r>
      <rPr>
        <u/>
        <sz val="18"/>
        <rFont val="TH SarabunPSK"/>
        <charset val="134"/>
      </rPr>
      <t>กรมสุขภาพจิต ดำเนินการ (รายการโครงการ TO BE NUMBER ONE)</t>
    </r>
  </si>
  <si>
    <t xml:space="preserve">กรมพินิจฯ ตัดโอนงบประมาณให้แก่       กรมสุขภาพจิต </t>
  </si>
  <si>
    <t>หมายเหตุ  รายละเอียดประกอบตั้งแต่หน้าที่ 9 ถึง 13</t>
  </si>
  <si>
    <t>รายการโครงการคืนคนดีสู่สังคัม</t>
  </si>
  <si>
    <t>1)</t>
  </si>
  <si>
    <t>2)</t>
  </si>
  <si>
    <t>ค่าใช้จ่ายในการสัมมนาและฝึกอาชีพ</t>
  </si>
  <si>
    <t xml:space="preserve">หมายเหตุ  ปัจจุบันได้จัดสรรงบประมาณไปตั้งจ่ายให้แก่หน่วยงานในสังกัดเรียบร้อยแล้ว โดยมีการอนุมัติจ้างงงานตั้งแต่วันที่ 16 พฤศจิกายน 2563 เป็นต้นไป </t>
  </si>
  <si>
    <t>จัดสรร</t>
  </si>
  <si>
    <t>สำรอง</t>
  </si>
  <si>
    <t>Po</t>
  </si>
  <si>
    <t>ยอด GFMIS</t>
  </si>
  <si>
    <t xml:space="preserve">เบิกแทนกัน </t>
  </si>
  <si>
    <t>รวม เบิกแทนกัน</t>
  </si>
  <si>
    <t>คงเหลือเงินงบ ปี 62</t>
  </si>
  <si>
    <t>ในตารางจ่ายจริง</t>
  </si>
  <si>
    <t>ผลต่าง</t>
  </si>
  <si>
    <t>งบประมาณ60ยกยอด</t>
  </si>
  <si>
    <t>เบิกแทนกันยกยอด</t>
  </si>
  <si>
    <t>สรุปเงินงบยกยอด</t>
  </si>
  <si>
    <t>รายละเอียดงบประมาณรายจ่ายประจำปีงบประมาณ  พ.ศ.  2564</t>
  </si>
  <si>
    <t>งบประมาณปี พ.ศ. 2564</t>
  </si>
  <si>
    <t>เงินกันไว้เบิก</t>
  </si>
  <si>
    <t>งบประมาณที่ได้รับใน</t>
  </si>
  <si>
    <t>เพิ่ม / ลด</t>
  </si>
  <si>
    <t>งบประมาณสุทธิ</t>
  </si>
  <si>
    <t>สรุปงบประมาณ</t>
  </si>
  <si>
    <t xml:space="preserve">เหลื่อมปี </t>
  </si>
  <si>
    <t>ตาม พรบ</t>
  </si>
  <si>
    <t xml:space="preserve"> GFMIS ณ ปัจจุบัน</t>
  </si>
  <si>
    <t>ที่ยังไม่ได้รับจัดสรร</t>
  </si>
  <si>
    <t>พ.ศ. 2563</t>
  </si>
  <si>
    <t>(3)</t>
  </si>
  <si>
    <t>(4)</t>
  </si>
  <si>
    <t>จากสำนักงบประมาณ</t>
  </si>
  <si>
    <t>คงเหลือ ณ ปัจจุบัน</t>
  </si>
  <si>
    <t>ค่าก่อสร้างงบประมาณผูกผัน รายการเดิม ( 8 รายการ)</t>
  </si>
  <si>
    <t xml:space="preserve">ก่อสร้างสถานพินิจฯจังหวัดชุมพร(ที่มีสถานแรกรับเด็กและเยาวชน)  พร้อมส่วนประกอบ และอาคารชุดที่พักอาศัยข้าราชการขนาด 18 ยูนิต </t>
  </si>
  <si>
    <t>สิ้นสุดสัญญา วันที่ 17 พฤษภาคม 2564</t>
  </si>
  <si>
    <t>สิ้นสุดสัญญา วันที่ 3 มกราคม 2565</t>
  </si>
  <si>
    <t>ก่อสร้างสถานพินิจฯ จังหวัดสุรินทร์(ที่มีสถานแรกรับเด็กและเยาวชน) พร้อมส่วนประกอบ</t>
  </si>
  <si>
    <t>สิ้นสุดสัญญา วันที่ 14 มิถุนายน 2564</t>
  </si>
  <si>
    <t>ก่อสร้างสถานพินิจฯจังหวัดฉะเชิงเทรา (ที่มีสถานแรกรับเด็กและเยาวชน) พร้อมส่วนประกอบ</t>
  </si>
  <si>
    <t>สิ้นสุดสัญญา วันที่ 28 มกราคม 2564</t>
  </si>
  <si>
    <t>งบประมาณปี 2563 พับไป</t>
  </si>
  <si>
    <t>สิ้นสุดสัญญา วันที่ 22 เมษายน 2565</t>
  </si>
  <si>
    <t>สิ้นสุดสัญญา วันที่ 13 สิงหาคม 2564</t>
  </si>
  <si>
    <t>สิ้นสุดสัญญา วันที่ 21 มิถุนายน 2565 และเบื้องต้นอยู่ระหว่างขออนุมัติเบิกจ่ายเงินอีก    เป็นเงินจำนวน 1,054,054.- บาท (จากเงินปี 63 = 582,768.- บาท ปี 64 = 471,286.- บาท)</t>
  </si>
  <si>
    <t>สิ้นสุดสัญญา วันที่ 24 มีนาคม 2565</t>
  </si>
  <si>
    <t>ที่ดินและสิ่งก่อสร้าง</t>
  </si>
  <si>
    <t>งบปีผูกพัน</t>
  </si>
  <si>
    <t>รายละเอียดงบประมาณ งบปีเดียวที่มียอดคงเหลือสุทธิ ได้แก่</t>
  </si>
  <si>
    <t xml:space="preserve">1. ครุภัณฑ์รายการเดิม ที่หน่วยงานหมดความจำเป็น และอยู่ระหว่างขออนุมัติโอนเปลี่ยนแปลงไปเป็นรายการใหม่ </t>
  </si>
  <si>
    <t>2. ครุภัณฑ์รายการใหม่ ซึ่งเป็นรายการโอนเปลี่ยนแปลงจากเงินเหลือจ่ายจากการจัดซื้อจัดจ้าง ไปตั้งจ่ายเป็นรายการใหม่ และปัจจุบันอยู่ระหว่างขั้นตอนการจัดซื้อจัดจ้าง</t>
  </si>
  <si>
    <t>3. ครุภัณฑ์เงินเหลือจ่ายจากการจัดซื้อจัดจ้าง และ   อยู่ระหว่างขออนุมัติโอนเปลี่ยนแปลงไปตั้งจ่ายเป็นรายการใหม่</t>
  </si>
  <si>
    <t>4. ที่ดินและสิ่งก่อสร้าง ที่ยังไม่ก่อหนี้ผูกพัน (รายการเดิมที่ได้รับจัดสรรตาม พรบ. งบประมาณ) และปัจจุบันอยู่ระหว่างการปรับ/แก้ไข แบบรูปรายการ</t>
  </si>
  <si>
    <t>5. ที่ดินและสิ่งก่อสร้าง ที่ยังไม่ก่อหนี้ผูกพัน (ซึ่งเป็นรายการใหม่ ที่ได้โอนเปลี่ยนแปลงงบประมาณจากเงินเหลือจ่ายจากการจัดซื้อจัดจ้างไปตั้งจ่ายเป็นรายการใหม่) และปัจจุบันอยู่ระหว่างดำเนินการจัดจ้าง</t>
  </si>
  <si>
    <t>6. ที่ดินและสิ่งก่อสร้าง ที่ยังไม่ก่อหนี้ผูกพัน (ซึ่งเป็นเงิบประมาณเหลือจ่ายจากการจัดซื้อจัดจ้าง และปัจจุบันอยู่ระหว่างขออนุมัติโอนเปลี่ยนแปลง         ไปตั้งจ่ายเป็นรายการใหม่)</t>
  </si>
  <si>
    <t>รายการต่ำกว่า 1 ล้าน</t>
  </si>
  <si>
    <t>ก่อหนี้+เบิกจ่าย รายการต่ำกว่า 1 ล้าน</t>
  </si>
  <si>
    <t>รายการสูงกว่า 1 ล้าน</t>
  </si>
  <si>
    <t>ก่อหนี้+เบิกจ่าย รายการสูงกว่า 1 ล้าน</t>
  </si>
  <si>
    <t>รายการที่ดินและสิ่งก่อสร้างต่ำกว่า 10 ล้าน</t>
  </si>
  <si>
    <t>ก่อหนี้+เบิกจ่าย รายการต่ำกว่า 10 ล้าน</t>
  </si>
  <si>
    <t>รายการที่ดินและสิ่งก่อสร้างสูงกว่า 10 ล้าน</t>
  </si>
  <si>
    <t>*หมายเหตุ     1) กรมพินิจฯ ได้รับงบประมาณตามพรบ. เป็นเงินจำนวน 195,714,800.- บาท แต่เบื้องต้นได้รับจัดสรรงบประมาณในระบบ GFMIS เป็นเงินจำนวน 88,481,100.- บาท หรือคิดเป็น ร้อยละ 45.21 ของวงเงินที่ได้รับจัดสรรตาม พรบ.</t>
  </si>
  <si>
    <t>2) มีการโอนเปลี่ยนแปลงงบประมาณ จากงบดำเนินงาน ไปตั้งจ่ายเป็นงบลงทุน เป็นเงินจำนวน 2,834,599.- บาท</t>
  </si>
  <si>
    <t>3) สำนักงบประมาณ ได้จัดสรรเงินงบประมาณรายการก่อสร้างสถานพินิจฯ จังหวัดฉะเชิงเทรา มาตั้งจ่ายให้เพิ่มเติม เป็นเงินจำนวน 2,386,400.- บาท (เพื่อเบิกจ่ายให้ผู้รับจ้างที่มีการส่งมอบงานในบางส่วนเรียบร้อยแล้ว )</t>
  </si>
  <si>
    <t xml:space="preserve">4) มีการโอนเปลี่ยนแปลงงบประมาณ จากงบลงทุน ไปตั้งจ่ายเป็นงบรายจ่ายอื่น(PMQA4.0) เป็นเงินจำนวน 400,000.- บาท </t>
  </si>
  <si>
    <t>5) ใช้วงเงินงบประมาณตาม พรบ. และหลังโอนเปลี่ยนแปลงงบประมาณ เป็นฐานในการคำนวณ</t>
  </si>
  <si>
    <t>สิ้นสุดวันที่ 24 มีนาคม 64</t>
  </si>
  <si>
    <t>สิ้นสุดวันที่ 10 พฤษภาคม 64 และเดิมมีการกันเงินฯ เป็นเงินจำนวน 5,772,752.96 บาท แต่ต่อมามีการปรับลดยอด PO    ไปเป็น 5,505,412.65 บาท จึงส่งผลให้มีวงเงินคงเหลือ 267,340.31 บาท (หรือเป็นงบประมาณพับไป 267,340.31 บาท)</t>
  </si>
  <si>
    <t>สิ้นสุดวันที่ 26 มกราคม 64</t>
  </si>
  <si>
    <t>หน่วยงานทำ Po ซ้ำ จึงส่งผลทำให้เสียงบประมาณดังกล่าวไป</t>
  </si>
  <si>
    <t>สิ้นสุดวันที่ 22 กุมภาพันธ์ 64</t>
  </si>
  <si>
    <t>สิ้นสุดวันที่ 24 มีนาคม 65</t>
  </si>
  <si>
    <t>สิ้นสุดวันที่ 22 มกราคม 64</t>
  </si>
  <si>
    <t>สิ้นสุดวันที่ 29 ธันวาคม 63</t>
  </si>
  <si>
    <t>สิ้นสุดวันที่ 17 พฤษภาคม 64</t>
  </si>
  <si>
    <t>สิ้นสุดวันที่ 13 สิงหาคม 64</t>
  </si>
  <si>
    <t>สิ้นสุดวันที่ 3 มกราคม 65</t>
  </si>
  <si>
    <t>สิ้นสุดวันที่ 23 พฤศจิกายน 63 ปัจจุบันงานก่อสร้างยังไม่แล้วเสร็จ</t>
  </si>
  <si>
    <t>สิ้นสุดวันที่  25 กันยายน 63 และ ปัจจุบันงานก่อสร้างยังไม่แล้วเสร็จ</t>
  </si>
  <si>
    <t>สิ้นสุดวันที่  21 มิถุนายน 65</t>
  </si>
  <si>
    <t>สิ้นสุดวันที่ 7 มิถุนายน 2564</t>
  </si>
  <si>
    <t>สิ้นสุดวันที่ 24 ธันวาคม 63</t>
  </si>
  <si>
    <t>สิ้นสุดวันที่ 10 พฤษภาคม 64 และปัจจุบันได้เบิกจ่ายเสร็จเรียร้อยแล้ว และมีเงินเหลือจ่ายที่ต้องพับไป เป็นเงินจำนวน 988,573.81 บาท</t>
  </si>
  <si>
    <t>สิ้นสุดวันที่ 11 สิงหาคม 65</t>
  </si>
  <si>
    <t>สิ้นสุดวันที่ 21 ธันวาคม 64</t>
  </si>
  <si>
    <r>
      <rPr>
        <b/>
        <sz val="18"/>
        <color theme="1"/>
        <rFont val="TH SarabunPSK"/>
        <charset val="134"/>
      </rPr>
      <t xml:space="preserve">สิ้นสุดวันที่  25 กันยายน 63 และ ปัจจุบันงานก่อสร้างยังไม่แล้วเสร็จ </t>
    </r>
    <r>
      <rPr>
        <b/>
        <u val="singleAccounting"/>
        <sz val="18"/>
        <color theme="1"/>
        <rFont val="TH SarabunPSK"/>
        <charset val="134"/>
      </rPr>
      <t>(ผู้รับจ้างทิ้งงาน)</t>
    </r>
  </si>
  <si>
    <t>การใช้จ่าย (PO+เบิกจ่าย)</t>
  </si>
  <si>
    <t xml:space="preserve"> (6)=(5)x100)/(1)</t>
  </si>
  <si>
    <t xml:space="preserve"> (7)=(1) - (3)</t>
  </si>
  <si>
    <t xml:space="preserve"> (8)=(7)x100)/(1)</t>
  </si>
  <si>
    <t>1) งบประมาณรายจ่าย ประจำปีงบประมาณ พ.ศ. 2565 (รายละเอียดแนบหน้าที่  3 ถึง  7 )</t>
  </si>
  <si>
    <t>รวมงบประมาณทั้งสิ้น</t>
  </si>
  <si>
    <r>
      <rPr>
        <b/>
        <sz val="18"/>
        <color theme="0"/>
        <rFont val="TH SarabunPSK"/>
        <charset val="134"/>
      </rPr>
      <t>*หมายเหตุ</t>
    </r>
    <r>
      <rPr>
        <b/>
        <sz val="18"/>
        <rFont val="TH SarabunPSK"/>
        <charset val="134"/>
      </rPr>
      <t xml:space="preserve"> 2) เงินกันไว้เบิกเหลื่อมปี กรณีกรมสุขภาพจิตดำเนินการ คือ กรมพินิจฯ ได้ตัดโอนงบประมาณในลักษณะงบประมาณแทนกัน(TO BE NO.1) ให้กรมสุขภาพจิต ดำเนินการโครงการ</t>
    </r>
  </si>
  <si>
    <t>สรุปรายละเอียดการเบิกจ่ายเงินงบประมาณประจำปีงบประมาณ พ.ศ. 2562 ไปพลางก่อน</t>
  </si>
  <si>
    <t>1) ได้รับจัดสรรตาม พรบ.</t>
  </si>
  <si>
    <t>ได้รับจัดสรรตาม พรบ.</t>
  </si>
  <si>
    <t xml:space="preserve">ได้รับจัดสรรใน GFMIS </t>
  </si>
  <si>
    <t>โอนเพิ่ม/ปรับลด</t>
  </si>
  <si>
    <t xml:space="preserve">   -ครุภัณฑ์</t>
  </si>
  <si>
    <t>2) ได้รับจัดสรรจริงตามระบบ GFMIS</t>
  </si>
  <si>
    <t xml:space="preserve">ได้รับจัดสรรใน GF </t>
  </si>
  <si>
    <t>เป้าหมายการใช้จ่ายงบประมาณ ประจำปีงบประมาณ พ.ศ. 2562 ไปพลางก่อน</t>
  </si>
  <si>
    <t>สูง/ต่ำกว่าเป้าหมาย</t>
  </si>
  <si>
    <t xml:space="preserve">หมายเหตุ </t>
  </si>
  <si>
    <t>ปัจจุบันกรมพินิจฯ ได้รับจัดสรรงบประมาณ 100% เรียบร้อยแล้ว</t>
  </si>
  <si>
    <t>2.  ปัจจุบันกรมพินิจฯ ได้จัดสรรงบประมาณ งบรายจ่ายอื่น ไปตั้งจ่ายให้กับหน่วยงานในสังกัด เพียง 2 รายการ จาก 13 รายการ</t>
  </si>
  <si>
    <t>เป้าหมายการใช้จ่ายงบประมาณปีงบประมาณ พ.ศ. 2562 (ไม่รวมงบกลาง)</t>
  </si>
  <si>
    <t>ปีงบประมาณ พ.ศ. 2562</t>
  </si>
  <si>
    <t>ไตรมาสที่ 1</t>
  </si>
  <si>
    <t>ไตรมาสที่ 2</t>
  </si>
  <si>
    <t>ไตรมาสที่ 3</t>
  </si>
  <si>
    <t>ไตรมาสที่ 4</t>
  </si>
  <si>
    <t>ภาพรวม (สะสม)</t>
  </si>
  <si>
    <t>วงเงิน (บาท)</t>
  </si>
  <si>
    <t>รายจ่ายประจำ (สะสม)</t>
  </si>
  <si>
    <t>รายจ่ายลงทุน (สะสม)</t>
  </si>
  <si>
    <t>สรุปผลการเบิกจ่าย</t>
  </si>
  <si>
    <t>เป้าหมายการเบิกจ่าย ณ สิ้นไตรมาสที่ 1</t>
  </si>
  <si>
    <t>คิดเป็นร้อยละ 32</t>
  </si>
  <si>
    <t>แต่ ณ สิ้นไตรมาสที่ 1 กรมพินิจฯ เบิกจ่ายได้เพียง ร้อยละ 21.15</t>
  </si>
  <si>
    <t>ต่ำกว่าเป้าหมายร้อยละ 10.85</t>
  </si>
  <si>
    <t xml:space="preserve">ณ วันที่ 28 มกราคม 2562 กรมพินิจฯ เบิกจ่ายได้เพียง ร้อยละ </t>
  </si>
  <si>
    <t>การขยายเวลาเบิกจ่ายเงิน และเงินกันไว้เบิกเหลื่อมปี</t>
  </si>
  <si>
    <t>รอบเดือนกันยายน 2561</t>
  </si>
  <si>
    <t>ได้รับจัดสรรจากส่วนราชการ / รายการ</t>
  </si>
  <si>
    <t>สรุปรายละเอียดการเบิกจ่ายเงินงบประมาณประจำปีงบประมาณ พ.ศ. 2562</t>
  </si>
  <si>
    <t>เงินงบประมาณเบิกแทนกัน</t>
  </si>
  <si>
    <t>1. สำนักงานปลัดกระทรวงยุติธรรม</t>
  </si>
  <si>
    <t>2. กรมคุ้มครองสิทธิและเสรีภาพ</t>
  </si>
  <si>
    <t xml:space="preserve">1) กรมคุมประพฤติ </t>
  </si>
  <si>
    <t xml:space="preserve">รายการโครงการคืนคนดีสู่สังคม (ค่าจ้างงานผู้พ้นโทษ) </t>
  </si>
  <si>
    <t>1.1 ค่าจ้างงานผู้พ้นโทษ</t>
  </si>
  <si>
    <r>
      <rPr>
        <sz val="16"/>
        <color theme="1"/>
        <rFont val="TH SarabunPSK"/>
        <charset val="134"/>
      </rPr>
      <t>1.2 ค่าใช้จ่ายในการสัมมนาและฝึกอบรม</t>
    </r>
    <r>
      <rPr>
        <b/>
        <sz val="16"/>
        <color indexed="8"/>
        <rFont val="TH SarabunPSK"/>
        <charset val="134"/>
      </rPr>
      <t xml:space="preserve"> </t>
    </r>
  </si>
  <si>
    <t xml:space="preserve">*หมายเหตุ : ปัจจุบันกรมพินิจฯ ได้จัดสรรงบประมาณประจำปีงบประมาณ พ.ศ. 2562 ไปพลางก่อน (ในเบื้องต้น) เป็นเงินจำนวน 990,689,600.- บาท </t>
  </si>
  <si>
    <t>การขยายเวลาเบิกจ่ายเงิน และเงินกันไว้เบิกเหลื่อมปี (รอบเดือนกันยายน 2562)</t>
  </si>
  <si>
    <t>เงินงบประมาณปี พ.ศ. 2561 (ขยายเวลาเบิกจ่าย)</t>
  </si>
  <si>
    <t>ก่อสร้างสถานพินิจฯจังหวัดฉะเชิงเทรา</t>
  </si>
  <si>
    <t>ก่อสร้างสถานพินิจฯจังหวัดพะเยา</t>
  </si>
  <si>
    <t>เงินงบประมาณปี พ.ศ. 2562 (กันเงินไว้เบิกเหลื่อมปี)</t>
  </si>
  <si>
    <t>รายการครุภัณฑ์</t>
  </si>
  <si>
    <t>สรุปขยายเวลาเบิกจ่าย และเงินกันไว้เบิกเหลื่อมปี รวมทั้งสิ้น</t>
  </si>
  <si>
    <r>
      <rPr>
        <b/>
        <u/>
        <sz val="18"/>
        <color indexed="8"/>
        <rFont val="TH SarabunPSK"/>
        <charset val="134"/>
      </rPr>
      <t>หมายเหตุ</t>
    </r>
    <r>
      <rPr>
        <sz val="16"/>
        <color indexed="8"/>
        <rFont val="TH SarabunPSK"/>
        <charset val="134"/>
      </rPr>
      <t xml:space="preserve"> งบประมาณปี พ.ศ. 2562 มีรายการก่อสร้างศูนย์ฝึกฯ สงขลา เป็นจำนวนเงิน 12,866,000.- บาท และรายการก่อสร้างอาคารชุดฯ สถานพินิจฯ นนทบุรี </t>
    </r>
  </si>
  <si>
    <r>
      <rPr>
        <sz val="16"/>
        <color theme="1"/>
        <rFont val="TH SarabunPSK"/>
        <charset val="134"/>
      </rPr>
      <t xml:space="preserve">เป็นจำนวนเงิน 4,000,000.- บาท ไม่สามารถก่อหนี้ผูกพันได้ทันภายในปีงบประมาณ 2562 จึงไม่สามารถกันเงินไว้เบิกเหลื่อมปีได้ </t>
    </r>
    <r>
      <rPr>
        <b/>
        <sz val="16"/>
        <color indexed="8"/>
        <rFont val="TH SarabunPSK"/>
        <charset val="134"/>
      </rPr>
      <t>ดังนั้น</t>
    </r>
    <r>
      <rPr>
        <sz val="16"/>
        <color indexed="8"/>
        <rFont val="TH SarabunPSK"/>
        <charset val="134"/>
      </rPr>
      <t xml:space="preserve"> รายการก่อสร้าง ทั้ง 2 รายการ </t>
    </r>
  </si>
  <si>
    <t>รวมเป็นเงินจำนวน 16,866,000.- บาท จึงถูกพับไป ตาม พรบ. วิธีงบประมาณ พ.ศ. 2561 และหลักเกณฑ์/เงื่อนไขการกันเงินไว้เบิกเหลื่อมปี</t>
  </si>
  <si>
    <t>รายงานการเบิกจ่ายเงินงบประมาณเบิกแทนกัน ประจำปีงบประมาณ พ.ศ. 2562 ไปพลางก่อน</t>
  </si>
  <si>
    <t>คิดเป็นร้อยละของการเบิกจ่าย</t>
  </si>
  <si>
    <t>คิดเป็นร้อยละของการเบิกจ่ายรวมใบสั่งซื้อสั่งจ้าง</t>
  </si>
  <si>
    <t>กรมคุมประพฤติ</t>
  </si>
  <si>
    <t>โครงการคืนคนดีสู่สังคม</t>
  </si>
  <si>
    <t>1) งบประมาณรายจ่ายประจำปีงบประมาณ พ.ศ. 2565 (รายละเอียดแนบหน้าที่  3 ถึง  7 )</t>
  </si>
  <si>
    <r>
      <rPr>
        <b/>
        <sz val="18"/>
        <color theme="0"/>
        <rFont val="TH SarabunPSK"/>
        <charset val="134"/>
      </rPr>
      <t>*หมายเหตุ</t>
    </r>
    <r>
      <rPr>
        <b/>
        <sz val="18"/>
        <rFont val="TH SarabunPSK"/>
        <charset val="134"/>
      </rPr>
      <t xml:space="preserve"> 2) กรมพินิจฯ ได้รับงบประมาณปี พ.ศ. 2565 ตาม พรบ. เป็นเงิน 1,969,681,900.- บาท </t>
    </r>
    <r>
      <rPr>
        <b/>
        <u/>
        <sz val="18"/>
        <rFont val="TH SarabunPSK"/>
        <charset val="134"/>
      </rPr>
      <t>แต่ปัจจุบัน</t>
    </r>
    <r>
      <rPr>
        <b/>
        <sz val="18"/>
        <rFont val="TH SarabunPSK"/>
        <charset val="134"/>
      </rPr>
      <t>ได้รับจัดสรรในระบบ GFMIS เป็นเงิน 993,916,800.- บาท หรือคิดเป็นร้อยละ 50.46</t>
    </r>
  </si>
  <si>
    <t>เงินเหลือจ่ายจากการจัดซื้อ   จัดจ้าง</t>
  </si>
  <si>
    <t>ผู้รับจ้างขอขยายระยะเวลาการส่งมอบ คาดว่าจะสามารถเบิกจ่ายได้ทันภายในเดือน มี.ค. 65</t>
  </si>
  <si>
    <t>มีการขยายเวลาส่งมอบงาน และอยู่ระหว่างการปรับแก้สัญญา คาดว่าจะสามารถเบิกจ่ายได้ทันภายในเดือน มี.ค.65</t>
  </si>
  <si>
    <t>อยู่ระหว่าง คกก. ตรวจรับ พิจารณาการตรวจรับงาน และคาดว่าจะสามารถเบิกจ่ายได้ทันภายในเดือน มี.ค. 65</t>
  </si>
  <si>
    <t>อยู่ระหว่าง คกก. ตรวจรับ พิจารณาการตรวจรับงาน คาดว่าจะสามารถเบิกจ่ายได้ทันภายในเดือน มี.ค. 65</t>
  </si>
  <si>
    <t>ยังไม่ครบกำหนดตามสัญญา คาดว่าจะสามารถเบิกจ่ายได้ทันภายในเดือน มี.ค. 65</t>
  </si>
  <si>
    <t>ขอขยายเวลาส่งมอบ กำหนดการส่งมอบปลายเดือน ก.พ. 65 และคาดว่าจะเบิกจ่ายได้ทันภายในเดือน มี.ค. 65</t>
  </si>
  <si>
    <t>ขอขยายเวลาส่งมอบ อยู่ระหว่าง คกก. ตรวจรับ พิจารณาการตรวจรับงาน และคาดว่าจะเบิกจ่ายได้ทันภายในเดือน มี.ค. 65</t>
  </si>
  <si>
    <t>ยังใม่ครบกำหนดตามสัญญา</t>
  </si>
  <si>
    <t>งานก่อสร้างยังไม่แล้วเสร็จ และผู้รับจ้างได้ขอขยายเวลาส่งมอบงาน ในเบื้องต้น คกก. ตรวจรับงานอยู่ระหว่างพิจารณา และคาดว่าจะสามารถส่งมอบงาน/เบิกจ่าย ได้ทันภายในเดือนมี.ค. 65</t>
  </si>
  <si>
    <t>งานปรับปรุงยังไม่แล้วเสร็จ และผู้รับจ้างได้   ขอขยายเวลาส่งมอบงาน และหน่วยงานได้เร่งรัดผู้รับจ้าง ให้ส่งมอบงาน/เบิกจ่าย ภายในเดือน มี.ค. 65</t>
  </si>
  <si>
    <t xml:space="preserve">ยังไม่ครบกำหนดตามสัญญา </t>
  </si>
</sst>
</file>

<file path=xl/styles.xml><?xml version="1.0" encoding="utf-8"?>
<styleSheet xmlns="http://schemas.openxmlformats.org/spreadsheetml/2006/main">
  <numFmts count="13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#,##0.0"/>
    <numFmt numFmtId="181" formatCode="#,##0.00;\-#,##0.00"/>
    <numFmt numFmtId="182" formatCode="0.0"/>
    <numFmt numFmtId="183" formatCode="0.0000"/>
    <numFmt numFmtId="184" formatCode="_(* #,##0.00_);_(* \(#,##0.00\);_(* &quot;-&quot;??_);_(@_)"/>
    <numFmt numFmtId="185" formatCode="_-* #,##0.0000_-;\-* #,##0.0000_-;_-* &quot;-&quot;??_-;_-@_-"/>
    <numFmt numFmtId="186" formatCode="d\-mmm\-yy"/>
    <numFmt numFmtId="187" formatCode="_-* #,##0_-;\-* #,##0_-;_-* &quot;-&quot;??_-;_-@_-"/>
    <numFmt numFmtId="188" formatCode="_(* #,##0.0000_);_(* \(#,##0.0000\);_(* &quot;-&quot;??_);_(@_)"/>
  </numFmts>
  <fonts count="113">
    <font>
      <sz val="14"/>
      <name val="Cordia New"/>
      <charset val="222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b/>
      <sz val="17"/>
      <color theme="1"/>
      <name val="TH SarabunPSK"/>
      <charset val="134"/>
    </font>
    <font>
      <sz val="16"/>
      <color theme="1"/>
      <name val="TH SarabunPSK"/>
      <charset val="134"/>
    </font>
    <font>
      <sz val="16"/>
      <name val="TH SarabunPSK"/>
      <charset val="134"/>
    </font>
    <font>
      <b/>
      <sz val="16"/>
      <name val="TH SarabunPSK"/>
      <charset val="134"/>
    </font>
    <font>
      <b/>
      <sz val="18"/>
      <name val="TH SarabunPSK"/>
      <charset val="134"/>
    </font>
    <font>
      <sz val="18"/>
      <name val="TH SarabunPSK"/>
      <charset val="134"/>
    </font>
    <font>
      <b/>
      <sz val="20"/>
      <name val="TH SarabunPSK"/>
      <charset val="134"/>
    </font>
    <font>
      <sz val="18"/>
      <color theme="1"/>
      <name val="TH SarabunPSK"/>
      <charset val="134"/>
    </font>
    <font>
      <b/>
      <sz val="20"/>
      <color rgb="FFFF0000"/>
      <name val="TH SarabunPSK"/>
      <charset val="134"/>
    </font>
    <font>
      <b/>
      <sz val="16"/>
      <color theme="0"/>
      <name val="TH SarabunPSK"/>
      <charset val="134"/>
    </font>
    <font>
      <sz val="14"/>
      <name val="TH SarabunPSK"/>
      <charset val="134"/>
    </font>
    <font>
      <b/>
      <sz val="14"/>
      <name val="TH SarabunPSK"/>
      <charset val="134"/>
    </font>
    <font>
      <sz val="16"/>
      <color rgb="FFFF0000"/>
      <name val="TH SarabunPSK"/>
      <charset val="134"/>
    </font>
    <font>
      <b/>
      <sz val="22"/>
      <color theme="1"/>
      <name val="TH SarabunPSK"/>
      <charset val="134"/>
    </font>
    <font>
      <b/>
      <sz val="20"/>
      <color theme="1"/>
      <name val="TH SarabunPSK"/>
      <charset val="134"/>
    </font>
    <font>
      <b/>
      <sz val="26"/>
      <color theme="1"/>
      <name val="TH SarabunPSK"/>
      <charset val="134"/>
    </font>
    <font>
      <b/>
      <sz val="36"/>
      <color theme="1"/>
      <name val="TH SarabunPSK"/>
      <charset val="134"/>
    </font>
    <font>
      <b/>
      <sz val="24"/>
      <name val="TH SarabunPSK"/>
      <charset val="134"/>
    </font>
    <font>
      <b/>
      <sz val="22"/>
      <name val="TH SarabunPSK"/>
      <charset val="134"/>
    </font>
    <font>
      <b/>
      <sz val="22"/>
      <color theme="1"/>
      <name val="Angsana New"/>
      <charset val="134"/>
    </font>
    <font>
      <sz val="18"/>
      <color rgb="FFFF0000"/>
      <name val="TH SarabunPSK"/>
      <charset val="134"/>
    </font>
    <font>
      <b/>
      <sz val="16"/>
      <color rgb="FFFF0000"/>
      <name val="TH SarabunPSK"/>
      <charset val="134"/>
    </font>
    <font>
      <b/>
      <sz val="14"/>
      <color theme="1"/>
      <name val="Angsana New"/>
      <charset val="134"/>
    </font>
    <font>
      <b/>
      <sz val="14"/>
      <name val="Angsana New"/>
      <charset val="134"/>
    </font>
    <font>
      <b/>
      <sz val="18"/>
      <color rgb="FFFF0000"/>
      <name val="TH SarabunPSK"/>
      <charset val="134"/>
    </font>
    <font>
      <b/>
      <sz val="19"/>
      <color theme="1"/>
      <name val="TH SarabunPSK"/>
      <charset val="134"/>
    </font>
    <font>
      <sz val="14"/>
      <color theme="1"/>
      <name val="TH SarabunPSK"/>
      <charset val="134"/>
    </font>
    <font>
      <sz val="14"/>
      <name val="Cordia New"/>
      <charset val="134"/>
    </font>
    <font>
      <b/>
      <sz val="16"/>
      <color theme="1"/>
      <name val="Angsana New"/>
      <charset val="134"/>
    </font>
    <font>
      <sz val="16"/>
      <color theme="1"/>
      <name val="Angsana New"/>
      <charset val="134"/>
    </font>
    <font>
      <b/>
      <sz val="18"/>
      <color theme="1"/>
      <name val="Angsana New"/>
      <charset val="134"/>
    </font>
    <font>
      <sz val="18"/>
      <color theme="1"/>
      <name val="Angsana New"/>
      <charset val="134"/>
    </font>
    <font>
      <sz val="16"/>
      <name val="Angsana New"/>
      <charset val="134"/>
    </font>
    <font>
      <b/>
      <sz val="18"/>
      <color rgb="FFFF0000"/>
      <name val="Angsana New"/>
      <charset val="134"/>
    </font>
    <font>
      <b/>
      <sz val="16"/>
      <name val="Angsana New"/>
      <charset val="134"/>
    </font>
    <font>
      <sz val="22"/>
      <color theme="1"/>
      <name val="Angsana New"/>
      <charset val="134"/>
    </font>
    <font>
      <b/>
      <sz val="20"/>
      <color theme="1"/>
      <name val="Angsana New"/>
      <charset val="134"/>
    </font>
    <font>
      <b/>
      <sz val="24"/>
      <color theme="1"/>
      <name val="Angsana New"/>
      <charset val="134"/>
    </font>
    <font>
      <sz val="20"/>
      <color theme="1"/>
      <name val="Angsana New"/>
      <charset val="134"/>
    </font>
    <font>
      <b/>
      <sz val="18"/>
      <color theme="0" tint="-0.0499893185216834"/>
      <name val="Angsana New"/>
      <charset val="134"/>
    </font>
    <font>
      <b/>
      <sz val="18"/>
      <color theme="0"/>
      <name val="Angsana New"/>
      <charset val="134"/>
    </font>
    <font>
      <b/>
      <sz val="18"/>
      <name val="Cordia New"/>
      <charset val="134"/>
    </font>
    <font>
      <sz val="22"/>
      <color theme="1"/>
      <name val="TH SarabunPSK"/>
      <charset val="134"/>
    </font>
    <font>
      <b/>
      <sz val="22"/>
      <color theme="0"/>
      <name val="TH SarabunPSK"/>
      <charset val="134"/>
    </font>
    <font>
      <sz val="24"/>
      <color theme="1"/>
      <name val="TH SarabunPSK"/>
      <charset val="134"/>
    </font>
    <font>
      <sz val="20"/>
      <color theme="1"/>
      <name val="TH SarabunPSK"/>
      <charset val="134"/>
    </font>
    <font>
      <b/>
      <sz val="18"/>
      <color indexed="8"/>
      <name val="TH SarabunPSK"/>
      <charset val="134"/>
    </font>
    <font>
      <b/>
      <sz val="24"/>
      <color theme="1"/>
      <name val="TH SarabunPSK"/>
      <charset val="134"/>
    </font>
    <font>
      <b/>
      <sz val="26"/>
      <color rgb="FFFF0000"/>
      <name val="TH SarabunPSK"/>
      <charset val="134"/>
    </font>
    <font>
      <b/>
      <sz val="19"/>
      <name val="TH SarabunPSK"/>
      <charset val="134"/>
    </font>
    <font>
      <sz val="15"/>
      <name val="Angsana New"/>
      <charset val="134"/>
    </font>
    <font>
      <b/>
      <sz val="16"/>
      <name val="Cordia New"/>
      <charset val="222"/>
    </font>
    <font>
      <b/>
      <sz val="14"/>
      <name val="Cordia New"/>
      <charset val="134"/>
    </font>
    <font>
      <b/>
      <sz val="16"/>
      <color rgb="FFFF0000"/>
      <name val="Angsana New"/>
      <charset val="134"/>
    </font>
    <font>
      <b/>
      <sz val="16"/>
      <name val="TH SarabunPSK"/>
      <charset val="222"/>
    </font>
    <font>
      <b/>
      <sz val="18"/>
      <name val="AngsanaUPC"/>
      <charset val="222"/>
    </font>
    <font>
      <sz val="18"/>
      <name val="AngsanaUPC"/>
      <charset val="222"/>
    </font>
    <font>
      <sz val="16"/>
      <color rgb="FFFF0000"/>
      <name val="Angsana New"/>
      <charset val="134"/>
    </font>
    <font>
      <sz val="16"/>
      <color rgb="FF000000"/>
      <name val="TH SarabunPSK"/>
      <charset val="134"/>
    </font>
    <font>
      <b/>
      <sz val="16"/>
      <color indexed="8"/>
      <name val="TH SarabunPSK"/>
      <charset val="134"/>
    </font>
    <font>
      <b/>
      <sz val="17"/>
      <name val="TH SarabunPSK"/>
      <charset val="134"/>
    </font>
    <font>
      <b/>
      <sz val="16"/>
      <color theme="7" tint="0.799981688894314"/>
      <name val="TH SarabunPSK"/>
      <charset val="134"/>
    </font>
    <font>
      <b/>
      <sz val="26"/>
      <name val="TH SarabunPSK"/>
      <charset val="134"/>
    </font>
    <font>
      <sz val="22"/>
      <name val="TH SarabunPSK"/>
      <charset val="134"/>
    </font>
    <font>
      <b/>
      <sz val="36"/>
      <name val="TH SarabunPSK"/>
      <charset val="134"/>
    </font>
    <font>
      <b/>
      <sz val="28"/>
      <name val="TH SarabunPSK"/>
      <charset val="134"/>
    </font>
    <font>
      <sz val="26"/>
      <name val="TH SarabunPSK"/>
      <charset val="134"/>
    </font>
    <font>
      <sz val="28"/>
      <name val="TH SarabunPSK"/>
      <charset val="134"/>
    </font>
    <font>
      <sz val="30"/>
      <name val="TH SarabunPSK"/>
      <charset val="134"/>
    </font>
    <font>
      <sz val="24"/>
      <name val="TH SarabunPSK"/>
      <charset val="134"/>
    </font>
    <font>
      <sz val="16.5"/>
      <name val="TH SarabunPSK"/>
      <charset val="134"/>
    </font>
    <font>
      <b/>
      <sz val="34"/>
      <name val="TH SarabunPSK"/>
      <charset val="134"/>
    </font>
    <font>
      <b/>
      <sz val="27"/>
      <name val="TH SarabunPSK"/>
      <charset val="134"/>
    </font>
    <font>
      <b/>
      <u/>
      <sz val="26"/>
      <name val="TH SarabunPSK"/>
      <charset val="134"/>
    </font>
    <font>
      <b/>
      <sz val="26"/>
      <color rgb="FFFFFFFF"/>
      <name val="TH SarabunPSK"/>
      <charset val="134"/>
    </font>
    <font>
      <b/>
      <sz val="26"/>
      <color theme="0"/>
      <name val="TH SarabunPSK"/>
      <charset val="134"/>
    </font>
    <font>
      <b/>
      <sz val="48"/>
      <name val="TH SarabunPSK"/>
      <charset val="134"/>
    </font>
    <font>
      <b/>
      <sz val="40"/>
      <name val="TH SarabunPSK"/>
      <charset val="134"/>
    </font>
    <font>
      <b/>
      <sz val="46"/>
      <name val="TH SarabunPSK"/>
      <charset val="134"/>
    </font>
    <font>
      <b/>
      <sz val="30"/>
      <name val="TH SarabunPSK"/>
      <charset val="134"/>
    </font>
    <font>
      <u/>
      <sz val="11"/>
      <color rgb="FF0000FF"/>
      <name val="Tahoma"/>
      <charset val="0"/>
      <scheme val="minor"/>
    </font>
    <font>
      <sz val="11"/>
      <color theme="0"/>
      <name val="Tahoma"/>
      <charset val="222"/>
      <scheme val="minor"/>
    </font>
    <font>
      <sz val="11"/>
      <color theme="1"/>
      <name val="Tahoma"/>
      <charset val="222"/>
      <scheme val="minor"/>
    </font>
    <font>
      <sz val="11"/>
      <color rgb="FFFF0000"/>
      <name val="Tahoma"/>
      <charset val="222"/>
      <scheme val="minor"/>
    </font>
    <font>
      <sz val="11"/>
      <color theme="1"/>
      <name val="Tahoma"/>
      <charset val="134"/>
      <scheme val="minor"/>
    </font>
    <font>
      <sz val="11"/>
      <color rgb="FF9C0006"/>
      <name val="Tahoma"/>
      <charset val="222"/>
      <scheme val="minor"/>
    </font>
    <font>
      <u/>
      <sz val="11"/>
      <color rgb="FF800080"/>
      <name val="Tahoma"/>
      <charset val="0"/>
      <scheme val="minor"/>
    </font>
    <font>
      <b/>
      <sz val="11"/>
      <color theme="0"/>
      <name val="Tahoma"/>
      <charset val="222"/>
      <scheme val="minor"/>
    </font>
    <font>
      <sz val="18"/>
      <color theme="3"/>
      <name val="Tahoma"/>
      <charset val="222"/>
      <scheme val="major"/>
    </font>
    <font>
      <i/>
      <sz val="11"/>
      <color rgb="FF7F7F7F"/>
      <name val="Tahoma"/>
      <charset val="222"/>
      <scheme val="minor"/>
    </font>
    <font>
      <b/>
      <sz val="15"/>
      <color theme="3"/>
      <name val="Tahoma"/>
      <charset val="222"/>
      <scheme val="minor"/>
    </font>
    <font>
      <b/>
      <sz val="13"/>
      <color theme="3"/>
      <name val="Tahoma"/>
      <charset val="222"/>
      <scheme val="minor"/>
    </font>
    <font>
      <b/>
      <sz val="11"/>
      <color theme="3"/>
      <name val="Tahoma"/>
      <charset val="222"/>
      <scheme val="minor"/>
    </font>
    <font>
      <sz val="11"/>
      <color rgb="FF006100"/>
      <name val="Tahoma"/>
      <charset val="222"/>
      <scheme val="minor"/>
    </font>
    <font>
      <b/>
      <sz val="11"/>
      <color rgb="FFFA7D00"/>
      <name val="Tahoma"/>
      <charset val="222"/>
      <scheme val="minor"/>
    </font>
    <font>
      <sz val="11"/>
      <color rgb="FF3F3F76"/>
      <name val="Tahoma"/>
      <charset val="222"/>
      <scheme val="minor"/>
    </font>
    <font>
      <b/>
      <sz val="11"/>
      <color rgb="FF3F3F3F"/>
      <name val="Tahoma"/>
      <charset val="222"/>
      <scheme val="minor"/>
    </font>
    <font>
      <sz val="11"/>
      <color rgb="FF9C5700"/>
      <name val="Tahoma"/>
      <charset val="222"/>
      <scheme val="minor"/>
    </font>
    <font>
      <sz val="11"/>
      <color rgb="FFFA7D00"/>
      <name val="Tahoma"/>
      <charset val="222"/>
      <scheme val="minor"/>
    </font>
    <font>
      <b/>
      <sz val="11"/>
      <color theme="1"/>
      <name val="Tahoma"/>
      <charset val="222"/>
      <scheme val="minor"/>
    </font>
    <font>
      <b/>
      <sz val="18"/>
      <color theme="0"/>
      <name val="TH SarabunPSK"/>
      <charset val="134"/>
    </font>
    <font>
      <b/>
      <u/>
      <sz val="18"/>
      <name val="TH SarabunPSK"/>
      <charset val="134"/>
    </font>
    <font>
      <b/>
      <u/>
      <sz val="18"/>
      <color indexed="8"/>
      <name val="TH SarabunPSK"/>
      <charset val="134"/>
    </font>
    <font>
      <sz val="16"/>
      <color indexed="8"/>
      <name val="TH SarabunPSK"/>
      <charset val="134"/>
    </font>
    <font>
      <b/>
      <u val="singleAccounting"/>
      <sz val="18"/>
      <color theme="1"/>
      <name val="TH SarabunPSK"/>
      <charset val="134"/>
    </font>
    <font>
      <b/>
      <u/>
      <sz val="22"/>
      <color theme="1"/>
      <name val="TH SarabunPSK"/>
      <charset val="134"/>
    </font>
    <font>
      <u/>
      <sz val="18"/>
      <name val="TH SarabunPSK"/>
      <charset val="134"/>
    </font>
    <font>
      <b/>
      <u/>
      <sz val="16"/>
      <name val="TH SarabunPSK"/>
      <charset val="134"/>
    </font>
    <font>
      <b/>
      <sz val="9"/>
      <name val="Tahoma"/>
      <charset val="222"/>
    </font>
    <font>
      <sz val="9"/>
      <name val="Tahoma"/>
      <charset val="222"/>
    </font>
  </fonts>
  <fills count="51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85" fillId="24" borderId="0" applyNumberFormat="0" applyBorder="0" applyAlignment="0" applyProtection="0"/>
    <xf numFmtId="176" fontId="30" fillId="0" borderId="0" applyFont="0" applyFill="0" applyBorder="0" applyAlignment="0" applyProtection="0"/>
    <xf numFmtId="178" fontId="87" fillId="0" borderId="0" applyFont="0" applyFill="0" applyBorder="0" applyAlignment="0" applyProtection="0">
      <alignment vertical="center"/>
    </xf>
    <xf numFmtId="0" fontId="85" fillId="23" borderId="0" applyNumberFormat="0" applyBorder="0" applyAlignment="0" applyProtection="0"/>
    <xf numFmtId="0" fontId="89" fillId="0" borderId="0" applyNumberFormat="0" applyFill="0" applyBorder="0" applyAlignment="0" applyProtection="0">
      <alignment vertical="center"/>
    </xf>
    <xf numFmtId="0" fontId="85" fillId="31" borderId="0" applyNumberFormat="0" applyBorder="0" applyAlignment="0" applyProtection="0"/>
    <xf numFmtId="0" fontId="83" fillId="0" borderId="0" applyNumberFormat="0" applyFill="0" applyBorder="0" applyAlignment="0" applyProtection="0">
      <alignment vertical="center"/>
    </xf>
    <xf numFmtId="179" fontId="87" fillId="0" borderId="0" applyFont="0" applyFill="0" applyBorder="0" applyAlignment="0" applyProtection="0">
      <alignment vertical="center"/>
    </xf>
    <xf numFmtId="177" fontId="87" fillId="0" borderId="0" applyFont="0" applyFill="0" applyBorder="0" applyAlignment="0" applyProtection="0">
      <alignment vertical="center"/>
    </xf>
    <xf numFmtId="9" fontId="87" fillId="0" borderId="0" applyFont="0" applyFill="0" applyBorder="0" applyAlignment="0" applyProtection="0">
      <alignment vertical="center"/>
    </xf>
    <xf numFmtId="0" fontId="85" fillId="30" borderId="0" applyNumberFormat="0" applyBorder="0" applyAlignment="0" applyProtection="0"/>
    <xf numFmtId="0" fontId="87" fillId="33" borderId="41" applyNumberFormat="0" applyFont="0" applyAlignment="0" applyProtection="0">
      <alignment vertical="center"/>
    </xf>
    <xf numFmtId="0" fontId="86" fillId="0" borderId="0" applyNumberFormat="0" applyFill="0" applyBorder="0" applyAlignment="0" applyProtection="0"/>
    <xf numFmtId="0" fontId="85" fillId="37" borderId="0" applyNumberFormat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43" applyNumberFormat="0" applyFill="0" applyAlignment="0" applyProtection="0"/>
    <xf numFmtId="0" fontId="94" fillId="0" borderId="44" applyNumberFormat="0" applyFill="0" applyAlignment="0" applyProtection="0"/>
    <xf numFmtId="0" fontId="95" fillId="0" borderId="45" applyNumberFormat="0" applyFill="0" applyAlignment="0" applyProtection="0"/>
    <xf numFmtId="0" fontId="95" fillId="0" borderId="0" applyNumberFormat="0" applyFill="0" applyBorder="0" applyAlignment="0" applyProtection="0"/>
    <xf numFmtId="0" fontId="97" fillId="39" borderId="46" applyNumberFormat="0" applyAlignment="0" applyProtection="0"/>
    <xf numFmtId="0" fontId="98" fillId="41" borderId="46" applyNumberFormat="0" applyAlignment="0" applyProtection="0"/>
    <xf numFmtId="0" fontId="99" fillId="39" borderId="47" applyNumberFormat="0" applyAlignment="0" applyProtection="0"/>
    <xf numFmtId="0" fontId="90" fillId="32" borderId="42" applyNumberFormat="0" applyAlignment="0" applyProtection="0"/>
    <xf numFmtId="0" fontId="85" fillId="26" borderId="0" applyNumberFormat="0" applyBorder="0" applyAlignment="0" applyProtection="0"/>
    <xf numFmtId="0" fontId="101" fillId="0" borderId="48" applyNumberFormat="0" applyFill="0" applyAlignment="0" applyProtection="0"/>
    <xf numFmtId="0" fontId="102" fillId="0" borderId="49" applyNumberFormat="0" applyFill="0" applyAlignment="0" applyProtection="0"/>
    <xf numFmtId="0" fontId="96" fillId="38" borderId="0" applyNumberFormat="0" applyBorder="0" applyAlignment="0" applyProtection="0"/>
    <xf numFmtId="0" fontId="85" fillId="44" borderId="0" applyNumberFormat="0" applyBorder="0" applyAlignment="0" applyProtection="0"/>
    <xf numFmtId="0" fontId="88" fillId="25" borderId="0" applyNumberFormat="0" applyBorder="0" applyAlignment="0" applyProtection="0"/>
    <xf numFmtId="0" fontId="100" fillId="42" borderId="0" applyNumberFormat="0" applyBorder="0" applyAlignment="0" applyProtection="0"/>
    <xf numFmtId="0" fontId="84" fillId="40" borderId="0" applyNumberFormat="0" applyBorder="0" applyAlignment="0" applyProtection="0"/>
    <xf numFmtId="0" fontId="85" fillId="43" borderId="0" applyNumberFormat="0" applyBorder="0" applyAlignment="0" applyProtection="0"/>
    <xf numFmtId="0" fontId="85" fillId="47" borderId="0" applyNumberFormat="0" applyBorder="0" applyAlignment="0" applyProtection="0"/>
    <xf numFmtId="0" fontId="85" fillId="22" borderId="0" applyNumberFormat="0" applyBorder="0" applyAlignment="0" applyProtection="0"/>
    <xf numFmtId="0" fontId="84" fillId="21" borderId="0" applyNumberFormat="0" applyBorder="0" applyAlignment="0" applyProtection="0"/>
    <xf numFmtId="0" fontId="85" fillId="36" borderId="0" applyNumberFormat="0" applyBorder="0" applyAlignment="0" applyProtection="0"/>
    <xf numFmtId="0" fontId="85" fillId="35" borderId="0" applyNumberFormat="0" applyBorder="0" applyAlignment="0" applyProtection="0"/>
    <xf numFmtId="0" fontId="85" fillId="49" borderId="0" applyNumberFormat="0" applyBorder="0" applyAlignment="0" applyProtection="0"/>
    <xf numFmtId="0" fontId="84" fillId="20" borderId="0" applyNumberFormat="0" applyBorder="0" applyAlignment="0" applyProtection="0"/>
    <xf numFmtId="0" fontId="85" fillId="50" borderId="0" applyNumberFormat="0" applyBorder="0" applyAlignment="0" applyProtection="0"/>
    <xf numFmtId="0" fontId="85" fillId="48" borderId="0" applyNumberFormat="0" applyBorder="0" applyAlignment="0" applyProtection="0"/>
    <xf numFmtId="0" fontId="84" fillId="29" borderId="0" applyNumberFormat="0" applyBorder="0" applyAlignment="0" applyProtection="0"/>
    <xf numFmtId="0" fontId="85" fillId="28" borderId="0" applyNumberFormat="0" applyBorder="0" applyAlignment="0" applyProtection="0"/>
    <xf numFmtId="0" fontId="85" fillId="46" borderId="0" applyNumberFormat="0" applyBorder="0" applyAlignment="0" applyProtection="0"/>
    <xf numFmtId="0" fontId="85" fillId="3" borderId="41" applyNumberFormat="0" applyFont="0" applyAlignment="0" applyProtection="0"/>
    <xf numFmtId="0" fontId="84" fillId="27" borderId="0" applyNumberFormat="0" applyBorder="0" applyAlignment="0" applyProtection="0"/>
    <xf numFmtId="0" fontId="84" fillId="34" borderId="0" applyNumberFormat="0" applyBorder="0" applyAlignment="0" applyProtection="0"/>
    <xf numFmtId="0" fontId="85" fillId="45" borderId="0" applyNumberFormat="0" applyBorder="0" applyAlignment="0" applyProtection="0"/>
    <xf numFmtId="0" fontId="85" fillId="0" borderId="0"/>
    <xf numFmtId="0" fontId="85" fillId="0" borderId="0"/>
    <xf numFmtId="0" fontId="85" fillId="0" borderId="0"/>
  </cellStyleXfs>
  <cellXfs count="1231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 shrinkToFit="1"/>
    </xf>
    <xf numFmtId="49" fontId="4" fillId="0" borderId="0" xfId="0" applyNumberFormat="1" applyFont="1" applyFill="1" applyAlignment="1">
      <alignment horizontal="center" vertical="top" shrinkToFit="1"/>
    </xf>
    <xf numFmtId="0" fontId="4" fillId="0" borderId="0" xfId="0" applyFont="1" applyFill="1" applyAlignment="1">
      <alignment vertical="top" wrapText="1"/>
    </xf>
    <xf numFmtId="176" fontId="4" fillId="0" borderId="0" xfId="2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/>
    </xf>
    <xf numFmtId="176" fontId="1" fillId="0" borderId="1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shrinkToFit="1"/>
    </xf>
    <xf numFmtId="49" fontId="2" fillId="0" borderId="2" xfId="0" applyNumberFormat="1" applyFont="1" applyFill="1" applyBorder="1" applyAlignment="1">
      <alignment horizontal="center" vertical="top" shrinkToFi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shrinkToFit="1"/>
    </xf>
    <xf numFmtId="49" fontId="2" fillId="0" borderId="3" xfId="0" applyNumberFormat="1" applyFont="1" applyFill="1" applyBorder="1" applyAlignment="1">
      <alignment horizontal="center" vertical="top" shrinkToFit="1"/>
    </xf>
    <xf numFmtId="0" fontId="2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vertical="top"/>
    </xf>
    <xf numFmtId="0" fontId="5" fillId="0" borderId="4" xfId="0" applyFont="1" applyFill="1" applyBorder="1" applyAlignment="1">
      <alignment horizontal="center" vertical="top" shrinkToFit="1"/>
    </xf>
    <xf numFmtId="49" fontId="5" fillId="0" borderId="4" xfId="0" applyNumberFormat="1" applyFont="1" applyFill="1" applyBorder="1" applyAlignment="1">
      <alignment horizontal="center" vertical="top" shrinkToFit="1"/>
    </xf>
    <xf numFmtId="0" fontId="5" fillId="0" borderId="4" xfId="0" applyFont="1" applyFill="1" applyBorder="1" applyAlignment="1">
      <alignment vertical="top" shrinkToFit="1"/>
    </xf>
    <xf numFmtId="4" fontId="5" fillId="0" borderId="4" xfId="0" applyNumberFormat="1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vertical="top"/>
    </xf>
    <xf numFmtId="49" fontId="4" fillId="0" borderId="4" xfId="0" applyNumberFormat="1" applyFont="1" applyFill="1" applyBorder="1" applyAlignment="1">
      <alignment horizontal="center" vertical="top" shrinkToFit="1"/>
    </xf>
    <xf numFmtId="0" fontId="4" fillId="0" borderId="4" xfId="51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right" vertical="center"/>
    </xf>
    <xf numFmtId="176" fontId="3" fillId="0" borderId="4" xfId="2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top" shrinkToFit="1"/>
    </xf>
    <xf numFmtId="180" fontId="4" fillId="0" borderId="4" xfId="0" applyNumberFormat="1" applyFont="1" applyFill="1" applyBorder="1" applyAlignment="1">
      <alignment vertical="top"/>
    </xf>
    <xf numFmtId="4" fontId="4" fillId="0" borderId="4" xfId="0" applyNumberFormat="1" applyFont="1" applyFill="1" applyBorder="1" applyAlignment="1">
      <alignment vertical="top"/>
    </xf>
    <xf numFmtId="176" fontId="2" fillId="0" borderId="2" xfId="2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176" fontId="2" fillId="0" borderId="3" xfId="2" applyFont="1" applyFill="1" applyBorder="1" applyAlignment="1">
      <alignment horizontal="center" vertical="top"/>
    </xf>
    <xf numFmtId="176" fontId="4" fillId="0" borderId="4" xfId="2" applyFont="1" applyFill="1" applyBorder="1" applyAlignment="1">
      <alignment vertical="top"/>
    </xf>
    <xf numFmtId="176" fontId="2" fillId="0" borderId="4" xfId="2" applyFont="1" applyFill="1" applyBorder="1" applyAlignment="1">
      <alignment vertical="top"/>
    </xf>
    <xf numFmtId="0" fontId="6" fillId="0" borderId="4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/>
    </xf>
    <xf numFmtId="176" fontId="3" fillId="0" borderId="4" xfId="2" applyFont="1" applyFill="1" applyBorder="1" applyAlignment="1">
      <alignment vertical="center"/>
    </xf>
    <xf numFmtId="176" fontId="3" fillId="0" borderId="4" xfId="2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183" fontId="2" fillId="0" borderId="4" xfId="0" applyNumberFormat="1" applyFont="1" applyFill="1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5" fillId="0" borderId="0" xfId="0" applyFont="1" applyBorder="1"/>
    <xf numFmtId="0" fontId="5" fillId="0" borderId="0" xfId="0" applyFont="1"/>
    <xf numFmtId="0" fontId="9" fillId="0" borderId="0" xfId="0" applyFont="1" applyBorder="1" applyAlignment="1">
      <alignment horizontal="center"/>
    </xf>
    <xf numFmtId="176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 shrinkToFit="1"/>
    </xf>
    <xf numFmtId="49" fontId="6" fillId="0" borderId="11" xfId="0" applyNumberFormat="1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center"/>
    </xf>
    <xf numFmtId="49" fontId="7" fillId="2" borderId="13" xfId="0" applyNumberFormat="1" applyFont="1" applyFill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176" fontId="8" fillId="0" borderId="4" xfId="0" applyNumberFormat="1" applyFont="1" applyBorder="1"/>
    <xf numFmtId="176" fontId="8" fillId="0" borderId="15" xfId="0" applyNumberFormat="1" applyFont="1" applyBorder="1"/>
    <xf numFmtId="176" fontId="8" fillId="0" borderId="14" xfId="0" applyNumberFormat="1" applyFont="1" applyBorder="1"/>
    <xf numFmtId="0" fontId="7" fillId="0" borderId="4" xfId="0" applyFont="1" applyBorder="1" applyAlignment="1">
      <alignment horizontal="right"/>
    </xf>
    <xf numFmtId="176" fontId="7" fillId="0" borderId="4" xfId="0" applyNumberFormat="1" applyFont="1" applyBorder="1"/>
    <xf numFmtId="176" fontId="7" fillId="0" borderId="15" xfId="0" applyNumberFormat="1" applyFont="1" applyBorder="1"/>
    <xf numFmtId="176" fontId="7" fillId="0" borderId="14" xfId="0" applyNumberFormat="1" applyFont="1" applyBorder="1"/>
    <xf numFmtId="0" fontId="8" fillId="0" borderId="4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176" fontId="8" fillId="0" borderId="13" xfId="0" applyNumberFormat="1" applyFont="1" applyBorder="1"/>
    <xf numFmtId="0" fontId="7" fillId="3" borderId="12" xfId="0" applyFont="1" applyFill="1" applyBorder="1"/>
    <xf numFmtId="0" fontId="7" fillId="3" borderId="13" xfId="0" applyFont="1" applyFill="1" applyBorder="1"/>
    <xf numFmtId="4" fontId="8" fillId="0" borderId="4" xfId="0" applyNumberFormat="1" applyFont="1" applyBorder="1"/>
    <xf numFmtId="4" fontId="8" fillId="4" borderId="4" xfId="0" applyNumberFormat="1" applyFont="1" applyFill="1" applyBorder="1"/>
    <xf numFmtId="4" fontId="7" fillId="0" borderId="4" xfId="0" applyNumberFormat="1" applyFont="1" applyBorder="1"/>
    <xf numFmtId="4" fontId="7" fillId="4" borderId="4" xfId="0" applyNumberFormat="1" applyFont="1" applyFill="1" applyBorder="1"/>
    <xf numFmtId="0" fontId="7" fillId="5" borderId="4" xfId="0" applyFont="1" applyFill="1" applyBorder="1" applyAlignment="1">
      <alignment horizontal="left"/>
    </xf>
    <xf numFmtId="0" fontId="7" fillId="0" borderId="12" xfId="0" applyFont="1" applyBorder="1"/>
    <xf numFmtId="0" fontId="7" fillId="0" borderId="14" xfId="0" applyFont="1" applyBorder="1"/>
    <xf numFmtId="176" fontId="8" fillId="0" borderId="4" xfId="2" applyFont="1" applyBorder="1"/>
    <xf numFmtId="176" fontId="7" fillId="0" borderId="4" xfId="2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7" fillId="0" borderId="13" xfId="0" applyFont="1" applyBorder="1"/>
    <xf numFmtId="0" fontId="8" fillId="0" borderId="12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0" fontId="8" fillId="0" borderId="13" xfId="0" applyFont="1" applyBorder="1" applyAlignment="1">
      <alignment horizontal="left" vertical="top" wrapText="1"/>
    </xf>
    <xf numFmtId="182" fontId="8" fillId="0" borderId="13" xfId="0" applyNumberFormat="1" applyFont="1" applyBorder="1"/>
    <xf numFmtId="0" fontId="7" fillId="0" borderId="4" xfId="0" applyFont="1" applyBorder="1" applyAlignment="1">
      <alignment horizontal="right" vertical="center"/>
    </xf>
    <xf numFmtId="0" fontId="6" fillId="0" borderId="15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shrinkToFit="1"/>
    </xf>
    <xf numFmtId="49" fontId="7" fillId="2" borderId="13" xfId="0" applyNumberFormat="1" applyFont="1" applyFill="1" applyBorder="1" applyAlignment="1">
      <alignment horizontal="center"/>
    </xf>
    <xf numFmtId="49" fontId="7" fillId="2" borderId="14" xfId="0" applyNumberFormat="1" applyFont="1" applyFill="1" applyBorder="1"/>
    <xf numFmtId="0" fontId="7" fillId="3" borderId="14" xfId="0" applyFont="1" applyFill="1" applyBorder="1"/>
    <xf numFmtId="0" fontId="8" fillId="4" borderId="4" xfId="0" applyFont="1" applyFill="1" applyBorder="1"/>
    <xf numFmtId="0" fontId="8" fillId="4" borderId="15" xfId="0" applyFont="1" applyFill="1" applyBorder="1"/>
    <xf numFmtId="4" fontId="8" fillId="0" borderId="14" xfId="0" applyNumberFormat="1" applyFont="1" applyBorder="1"/>
    <xf numFmtId="4" fontId="7" fillId="4" borderId="15" xfId="0" applyNumberFormat="1" applyFont="1" applyFill="1" applyBorder="1"/>
    <xf numFmtId="4" fontId="7" fillId="0" borderId="14" xfId="0" applyNumberFormat="1" applyFont="1" applyBorder="1"/>
    <xf numFmtId="4" fontId="8" fillId="4" borderId="15" xfId="0" applyNumberFormat="1" applyFont="1" applyFill="1" applyBorder="1"/>
    <xf numFmtId="0" fontId="7" fillId="0" borderId="4" xfId="0" applyFont="1" applyBorder="1"/>
    <xf numFmtId="0" fontId="8" fillId="0" borderId="14" xfId="0" applyFont="1" applyBorder="1" applyAlignment="1">
      <alignment horizontal="left" vertical="top" wrapText="1"/>
    </xf>
    <xf numFmtId="176" fontId="8" fillId="0" borderId="12" xfId="2" applyFont="1" applyBorder="1" applyAlignment="1">
      <alignment horizontal="center" vertical="top"/>
    </xf>
    <xf numFmtId="176" fontId="8" fillId="0" borderId="14" xfId="2" applyFont="1" applyBorder="1" applyAlignment="1">
      <alignment horizontal="center" vertical="top"/>
    </xf>
    <xf numFmtId="0" fontId="7" fillId="0" borderId="4" xfId="0" applyFont="1" applyBorder="1" applyAlignment="1">
      <alignment vertical="top" wrapText="1" shrinkToFit="1"/>
    </xf>
    <xf numFmtId="176" fontId="7" fillId="0" borderId="12" xfId="2" applyFont="1" applyBorder="1"/>
    <xf numFmtId="176" fontId="7" fillId="0" borderId="14" xfId="2" applyFont="1" applyBorder="1"/>
    <xf numFmtId="176" fontId="8" fillId="0" borderId="4" xfId="2" applyFont="1" applyBorder="1" applyAlignment="1">
      <alignment horizontal="center"/>
    </xf>
    <xf numFmtId="0" fontId="8" fillId="0" borderId="4" xfId="0" applyFont="1" applyBorder="1"/>
    <xf numFmtId="176" fontId="7" fillId="0" borderId="4" xfId="2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0" fontId="12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176" fontId="16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vertical="center"/>
    </xf>
    <xf numFmtId="176" fontId="10" fillId="0" borderId="4" xfId="2" applyFont="1" applyFill="1" applyBorder="1" applyAlignment="1">
      <alignment vertical="center"/>
    </xf>
    <xf numFmtId="176" fontId="10" fillId="0" borderId="4" xfId="2" applyFont="1" applyFill="1" applyBorder="1" applyAlignment="1">
      <alignment vertical="center" shrinkToFit="1"/>
    </xf>
    <xf numFmtId="176" fontId="10" fillId="0" borderId="4" xfId="2" applyFont="1" applyFill="1" applyBorder="1" applyAlignment="1">
      <alignment horizontal="left" vertical="center"/>
    </xf>
    <xf numFmtId="0" fontId="17" fillId="0" borderId="4" xfId="0" applyFont="1" applyFill="1" applyBorder="1" applyAlignment="1">
      <alignment vertical="center"/>
    </xf>
    <xf numFmtId="176" fontId="1" fillId="0" borderId="4" xfId="2" applyFont="1" applyFill="1" applyBorder="1" applyAlignment="1">
      <alignment vertical="center"/>
    </xf>
    <xf numFmtId="0" fontId="10" fillId="0" borderId="4" xfId="0" applyFont="1" applyFill="1" applyBorder="1" applyAlignment="1">
      <alignment vertical="center" shrinkToFit="1"/>
    </xf>
    <xf numFmtId="0" fontId="18" fillId="0" borderId="4" xfId="0" applyFont="1" applyFill="1" applyBorder="1" applyAlignment="1">
      <alignment horizontal="center" vertical="center" shrinkToFit="1"/>
    </xf>
    <xf numFmtId="176" fontId="1" fillId="0" borderId="4" xfId="2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/>
    </xf>
    <xf numFmtId="176" fontId="4" fillId="0" borderId="4" xfId="2" applyFont="1" applyFill="1" applyBorder="1" applyAlignment="1">
      <alignment vertical="center"/>
    </xf>
    <xf numFmtId="176" fontId="4" fillId="0" borderId="4" xfId="2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/>
    </xf>
    <xf numFmtId="176" fontId="2" fillId="0" borderId="4" xfId="2" applyFont="1" applyFill="1" applyBorder="1" applyAlignment="1">
      <alignment vertical="center"/>
    </xf>
    <xf numFmtId="0" fontId="4" fillId="0" borderId="4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right" vertical="center" shrinkToFit="1"/>
    </xf>
    <xf numFmtId="176" fontId="2" fillId="0" borderId="4" xfId="2" applyFont="1" applyFill="1" applyBorder="1" applyAlignment="1">
      <alignment vertical="center" shrinkToFit="1"/>
    </xf>
    <xf numFmtId="0" fontId="1" fillId="0" borderId="4" xfId="0" applyFont="1" applyFill="1" applyBorder="1" applyAlignment="1">
      <alignment horizontal="left" vertical="center" shrinkToFit="1"/>
    </xf>
    <xf numFmtId="0" fontId="16" fillId="7" borderId="4" xfId="0" applyFont="1" applyFill="1" applyBorder="1" applyAlignment="1">
      <alignment horizontal="center" vertical="center" shrinkToFit="1"/>
    </xf>
    <xf numFmtId="0" fontId="19" fillId="6" borderId="4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left" vertical="center" shrinkToFit="1"/>
    </xf>
    <xf numFmtId="0" fontId="1" fillId="0" borderId="13" xfId="0" applyFont="1" applyFill="1" applyBorder="1" applyAlignment="1">
      <alignment horizontal="left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4" xfId="2" applyNumberFormat="1" applyFont="1" applyFill="1" applyBorder="1" applyAlignment="1">
      <alignment horizontal="center" vertical="center" shrinkToFit="1"/>
    </xf>
    <xf numFmtId="0" fontId="19" fillId="0" borderId="4" xfId="2" applyNumberFormat="1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vertical="center"/>
    </xf>
    <xf numFmtId="0" fontId="9" fillId="0" borderId="0" xfId="2" applyNumberFormat="1" applyFont="1" applyFill="1" applyBorder="1" applyAlignment="1">
      <alignment horizontal="left" vertical="center"/>
    </xf>
    <xf numFmtId="176" fontId="9" fillId="0" borderId="0" xfId="2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2" fillId="0" borderId="0" xfId="2" applyNumberFormat="1" applyFont="1" applyFill="1" applyBorder="1" applyAlignment="1">
      <alignment horizontal="left" vertical="center"/>
    </xf>
    <xf numFmtId="176" fontId="12" fillId="0" borderId="0" xfId="2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76" fontId="9" fillId="0" borderId="4" xfId="2" applyFont="1" applyFill="1" applyBorder="1" applyAlignment="1">
      <alignment horizontal="center" vertical="center"/>
    </xf>
    <xf numFmtId="0" fontId="7" fillId="0" borderId="16" xfId="2" applyNumberFormat="1" applyFont="1" applyFill="1" applyBorder="1" applyAlignment="1">
      <alignment horizontal="left" vertical="center"/>
    </xf>
    <xf numFmtId="0" fontId="7" fillId="0" borderId="17" xfId="2" applyNumberFormat="1" applyFont="1" applyFill="1" applyBorder="1" applyAlignment="1">
      <alignment horizontal="left" vertical="center"/>
    </xf>
    <xf numFmtId="0" fontId="7" fillId="0" borderId="6" xfId="2" applyNumberFormat="1" applyFont="1" applyFill="1" applyBorder="1" applyAlignment="1">
      <alignment horizontal="left" vertical="center"/>
    </xf>
    <xf numFmtId="9" fontId="7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right" vertical="center"/>
    </xf>
    <xf numFmtId="176" fontId="7" fillId="0" borderId="3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176" fontId="7" fillId="0" borderId="3" xfId="2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2" applyNumberFormat="1" applyFont="1" applyFill="1" applyBorder="1" applyAlignment="1">
      <alignment horizontal="left" vertical="center"/>
    </xf>
    <xf numFmtId="176" fontId="6" fillId="0" borderId="0" xfId="2" applyFont="1" applyFill="1" applyBorder="1" applyAlignment="1">
      <alignment horizontal="left" vertical="center"/>
    </xf>
    <xf numFmtId="176" fontId="6" fillId="0" borderId="0" xfId="2" applyFont="1" applyFill="1" applyBorder="1" applyAlignment="1">
      <alignment horizontal="center" vertical="center"/>
    </xf>
    <xf numFmtId="176" fontId="6" fillId="0" borderId="0" xfId="2" applyFont="1" applyFill="1" applyBorder="1" applyAlignment="1">
      <alignment horizontal="right" vertical="top"/>
    </xf>
    <xf numFmtId="176" fontId="22" fillId="0" borderId="0" xfId="2" applyFont="1" applyBorder="1" applyAlignment="1">
      <alignment horizontal="center"/>
    </xf>
    <xf numFmtId="176" fontId="22" fillId="0" borderId="0" xfId="2" applyFont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176" fontId="10" fillId="0" borderId="4" xfId="0" applyNumberFormat="1" applyFont="1" applyFill="1" applyBorder="1" applyAlignment="1">
      <alignment vertical="center"/>
    </xf>
    <xf numFmtId="176" fontId="16" fillId="0" borderId="4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8" fillId="0" borderId="4" xfId="0" applyNumberFormat="1" applyFont="1" applyFill="1" applyBorder="1" applyAlignment="1">
      <alignment vertical="center" shrinkToFit="1"/>
    </xf>
    <xf numFmtId="0" fontId="24" fillId="0" borderId="0" xfId="0" applyFont="1" applyFill="1" applyAlignment="1">
      <alignment vertical="center" shrinkToFit="1"/>
    </xf>
    <xf numFmtId="176" fontId="4" fillId="0" borderId="4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 shrinkToFit="1"/>
    </xf>
    <xf numFmtId="176" fontId="24" fillId="0" borderId="0" xfId="0" applyNumberFormat="1" applyFont="1" applyFill="1" applyAlignment="1">
      <alignment vertical="center" shrinkToFit="1"/>
    </xf>
    <xf numFmtId="0" fontId="1" fillId="6" borderId="4" xfId="0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Alignment="1">
      <alignment vertical="center" shrinkToFit="1"/>
    </xf>
    <xf numFmtId="4" fontId="11" fillId="0" borderId="0" xfId="0" applyNumberFormat="1" applyFont="1" applyFill="1" applyAlignment="1">
      <alignment vertical="center" shrinkToFit="1"/>
    </xf>
    <xf numFmtId="176" fontId="12" fillId="0" borderId="0" xfId="0" applyNumberFormat="1" applyFont="1" applyFill="1" applyAlignment="1">
      <alignment vertical="center" shrinkToFit="1"/>
    </xf>
    <xf numFmtId="4" fontId="12" fillId="0" borderId="0" xfId="0" applyNumberFormat="1" applyFont="1" applyFill="1" applyAlignment="1">
      <alignment vertical="center" shrinkToFit="1"/>
    </xf>
    <xf numFmtId="176" fontId="25" fillId="0" borderId="0" xfId="2" applyFont="1" applyBorder="1" applyAlignment="1">
      <alignment horizontal="center"/>
    </xf>
    <xf numFmtId="176" fontId="26" fillId="0" borderId="0" xfId="2" applyFont="1" applyAlignment="1">
      <alignment horizontal="center"/>
    </xf>
    <xf numFmtId="176" fontId="7" fillId="0" borderId="0" xfId="2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176" fontId="17" fillId="0" borderId="0" xfId="0" applyNumberFormat="1" applyFont="1" applyFill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176" fontId="4" fillId="0" borderId="4" xfId="0" applyNumberFormat="1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176" fontId="4" fillId="0" borderId="2" xfId="2" applyFont="1" applyFill="1" applyBorder="1" applyAlignment="1">
      <alignment horizontal="left" vertical="center" shrinkToFit="1"/>
    </xf>
    <xf numFmtId="176" fontId="2" fillId="0" borderId="2" xfId="2" applyFont="1" applyFill="1" applyBorder="1" applyAlignment="1">
      <alignment vertical="center"/>
    </xf>
    <xf numFmtId="0" fontId="1" fillId="0" borderId="4" xfId="0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>
      <alignment vertical="center"/>
    </xf>
    <xf numFmtId="0" fontId="12" fillId="0" borderId="4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16" fillId="0" borderId="0" xfId="2" applyFont="1" applyBorder="1" applyAlignment="1">
      <alignment horizontal="center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right" vertical="center" wrapText="1"/>
    </xf>
    <xf numFmtId="0" fontId="28" fillId="0" borderId="12" xfId="0" applyFont="1" applyFill="1" applyBorder="1" applyAlignment="1">
      <alignment horizontal="right" vertical="center"/>
    </xf>
    <xf numFmtId="0" fontId="28" fillId="0" borderId="13" xfId="0" applyFont="1" applyFill="1" applyBorder="1" applyAlignment="1">
      <alignment horizontal="right" vertical="center"/>
    </xf>
    <xf numFmtId="0" fontId="28" fillId="0" borderId="14" xfId="0" applyFont="1" applyFill="1" applyBorder="1" applyAlignment="1">
      <alignment horizontal="right" vertical="center"/>
    </xf>
    <xf numFmtId="176" fontId="28" fillId="0" borderId="4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176" fontId="28" fillId="0" borderId="4" xfId="0" applyNumberFormat="1" applyFont="1" applyFill="1" applyBorder="1" applyAlignment="1">
      <alignment vertical="center" shrinkToFi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3" xfId="2" applyFont="1" applyFill="1" applyBorder="1" applyAlignment="1">
      <alignment vertical="center" shrinkToFit="1"/>
    </xf>
    <xf numFmtId="176" fontId="2" fillId="0" borderId="3" xfId="0" applyNumberFormat="1" applyFont="1" applyFill="1" applyBorder="1" applyAlignment="1">
      <alignment vertical="center"/>
    </xf>
    <xf numFmtId="176" fontId="2" fillId="0" borderId="3" xfId="2" applyFont="1" applyFill="1" applyBorder="1" applyAlignment="1">
      <alignment vertical="center"/>
    </xf>
    <xf numFmtId="0" fontId="2" fillId="0" borderId="3" xfId="0" applyFont="1" applyFill="1" applyBorder="1" applyAlignment="1">
      <alignment vertical="center" shrinkToFit="1"/>
    </xf>
    <xf numFmtId="176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8" borderId="2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49" fontId="6" fillId="8" borderId="3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vertical="top" wrapText="1" shrinkToFit="1"/>
    </xf>
    <xf numFmtId="176" fontId="7" fillId="0" borderId="4" xfId="2" applyFont="1" applyBorder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0" fontId="1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shrinkToFit="1"/>
    </xf>
    <xf numFmtId="176" fontId="1" fillId="0" borderId="0" xfId="2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top"/>
    </xf>
    <xf numFmtId="0" fontId="4" fillId="0" borderId="4" xfId="0" applyFont="1" applyFill="1" applyBorder="1" applyAlignment="1">
      <alignment vertical="top" shrinkToFit="1"/>
    </xf>
    <xf numFmtId="0" fontId="29" fillId="0" borderId="4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4" fontId="2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 wrapText="1" shrinkToFit="1"/>
    </xf>
    <xf numFmtId="4" fontId="2" fillId="0" borderId="4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right" vertical="top"/>
    </xf>
    <xf numFmtId="0" fontId="2" fillId="0" borderId="13" xfId="0" applyFont="1" applyFill="1" applyBorder="1" applyAlignment="1">
      <alignment horizontal="right" vertical="top"/>
    </xf>
    <xf numFmtId="0" fontId="2" fillId="0" borderId="14" xfId="0" applyFont="1" applyFill="1" applyBorder="1" applyAlignment="1">
      <alignment horizontal="right" vertical="top"/>
    </xf>
    <xf numFmtId="4" fontId="2" fillId="0" borderId="4" xfId="0" applyNumberFormat="1" applyFont="1" applyFill="1" applyBorder="1" applyAlignment="1">
      <alignment vertical="top"/>
    </xf>
    <xf numFmtId="0" fontId="1" fillId="0" borderId="12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176" fontId="1" fillId="0" borderId="4" xfId="2" applyFont="1" applyFill="1" applyBorder="1" applyAlignment="1">
      <alignment horizontal="right" vertical="center"/>
    </xf>
    <xf numFmtId="184" fontId="10" fillId="0" borderId="0" xfId="0" applyNumberFormat="1" applyFont="1" applyFill="1"/>
    <xf numFmtId="176" fontId="2" fillId="0" borderId="2" xfId="2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76" fontId="2" fillId="0" borderId="3" xfId="2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76" fontId="4" fillId="0" borderId="14" xfId="2" applyFont="1" applyFill="1" applyBorder="1" applyAlignment="1">
      <alignment vertical="top"/>
    </xf>
    <xf numFmtId="176" fontId="2" fillId="0" borderId="14" xfId="2" applyFont="1" applyFill="1" applyBorder="1" applyAlignment="1">
      <alignment vertical="top"/>
    </xf>
    <xf numFmtId="176" fontId="2" fillId="0" borderId="4" xfId="2" applyFont="1" applyFill="1" applyBorder="1" applyAlignment="1">
      <alignment vertical="top" wrapText="1"/>
    </xf>
    <xf numFmtId="0" fontId="4" fillId="0" borderId="14" xfId="0" applyFont="1" applyFill="1" applyBorder="1"/>
    <xf numFmtId="0" fontId="4" fillId="0" borderId="4" xfId="0" applyFont="1" applyFill="1" applyBorder="1"/>
    <xf numFmtId="176" fontId="4" fillId="0" borderId="4" xfId="2" applyFont="1" applyFill="1" applyBorder="1" applyAlignment="1">
      <alignment horizontal="center" vertical="top"/>
    </xf>
    <xf numFmtId="176" fontId="7" fillId="0" borderId="4" xfId="2" applyFont="1" applyFill="1" applyBorder="1" applyAlignment="1">
      <alignment horizontal="left" vertical="top" wrapText="1"/>
    </xf>
    <xf numFmtId="176" fontId="7" fillId="0" borderId="4" xfId="2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right" vertical="center"/>
    </xf>
    <xf numFmtId="176" fontId="2" fillId="0" borderId="14" xfId="2" applyFont="1" applyFill="1" applyBorder="1" applyAlignment="1">
      <alignment horizontal="center" vertical="center"/>
    </xf>
    <xf numFmtId="176" fontId="2" fillId="0" borderId="4" xfId="2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176" fontId="1" fillId="0" borderId="4" xfId="2" applyFont="1" applyFill="1" applyBorder="1" applyAlignment="1">
      <alignment vertical="top" wrapText="1"/>
    </xf>
    <xf numFmtId="176" fontId="2" fillId="0" borderId="14" xfId="2" applyFont="1" applyFill="1" applyBorder="1" applyAlignment="1">
      <alignment vertical="center"/>
    </xf>
    <xf numFmtId="176" fontId="2" fillId="0" borderId="4" xfId="2" applyFont="1" applyFill="1" applyBorder="1" applyAlignment="1">
      <alignment vertical="center" wrapText="1"/>
    </xf>
    <xf numFmtId="176" fontId="1" fillId="0" borderId="14" xfId="2" applyFont="1" applyFill="1" applyBorder="1" applyAlignment="1">
      <alignment horizontal="right" vertical="center"/>
    </xf>
    <xf numFmtId="184" fontId="1" fillId="0" borderId="0" xfId="0" applyNumberFormat="1" applyFont="1" applyFill="1"/>
    <xf numFmtId="184" fontId="1" fillId="0" borderId="0" xfId="0" applyNumberFormat="1" applyFont="1" applyFill="1" applyAlignment="1">
      <alignment wrapText="1"/>
    </xf>
    <xf numFmtId="176" fontId="4" fillId="0" borderId="0" xfId="2" applyFont="1" applyFill="1"/>
    <xf numFmtId="0" fontId="30" fillId="0" borderId="0" xfId="0" applyFont="1"/>
    <xf numFmtId="0" fontId="31" fillId="0" borderId="0" xfId="0" applyFont="1" applyFill="1"/>
    <xf numFmtId="0" fontId="32" fillId="0" borderId="0" xfId="0" applyFont="1" applyFill="1"/>
    <xf numFmtId="0" fontId="33" fillId="0" borderId="0" xfId="0" applyFont="1" applyFill="1"/>
    <xf numFmtId="0" fontId="34" fillId="0" borderId="0" xfId="0" applyFont="1" applyFill="1" applyAlignment="1">
      <alignment horizontal="center"/>
    </xf>
    <xf numFmtId="0" fontId="34" fillId="0" borderId="0" xfId="0" applyFont="1" applyFill="1"/>
    <xf numFmtId="49" fontId="34" fillId="0" borderId="0" xfId="0" applyNumberFormat="1" applyFont="1" applyFill="1" applyAlignment="1">
      <alignment horizontal="center"/>
    </xf>
    <xf numFmtId="0" fontId="34" fillId="0" borderId="0" xfId="0" applyFont="1" applyFill="1" applyAlignment="1">
      <alignment shrinkToFit="1"/>
    </xf>
    <xf numFmtId="176" fontId="34" fillId="0" borderId="0" xfId="2" applyFont="1" applyFill="1"/>
    <xf numFmtId="0" fontId="33" fillId="0" borderId="0" xfId="0" applyFont="1" applyFill="1" applyAlignment="1">
      <alignment wrapText="1"/>
    </xf>
    <xf numFmtId="0" fontId="33" fillId="0" borderId="0" xfId="0" applyFont="1" applyFill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49" fontId="31" fillId="0" borderId="4" xfId="0" applyNumberFormat="1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 shrinkToFit="1"/>
    </xf>
    <xf numFmtId="0" fontId="31" fillId="0" borderId="3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top"/>
    </xf>
    <xf numFmtId="0" fontId="32" fillId="0" borderId="4" xfId="0" applyFont="1" applyFill="1" applyBorder="1" applyAlignment="1">
      <alignment vertical="top"/>
    </xf>
    <xf numFmtId="49" fontId="32" fillId="0" borderId="4" xfId="0" applyNumberFormat="1" applyFont="1" applyFill="1" applyBorder="1" applyAlignment="1">
      <alignment horizontal="center" vertical="top"/>
    </xf>
    <xf numFmtId="0" fontId="32" fillId="0" borderId="4" xfId="0" applyFont="1" applyFill="1" applyBorder="1" applyAlignment="1">
      <alignment vertical="top" shrinkToFit="1"/>
    </xf>
    <xf numFmtId="4" fontId="32" fillId="0" borderId="4" xfId="0" applyNumberFormat="1" applyFont="1" applyFill="1" applyBorder="1" applyAlignment="1">
      <alignment vertical="top"/>
    </xf>
    <xf numFmtId="0" fontId="32" fillId="0" borderId="4" xfId="0" applyFont="1" applyFill="1" applyBorder="1" applyAlignment="1">
      <alignment vertical="top" wrapText="1"/>
    </xf>
    <xf numFmtId="0" fontId="35" fillId="0" borderId="4" xfId="0" applyFont="1" applyFill="1" applyBorder="1" applyAlignment="1">
      <alignment vertical="top" shrinkToFit="1"/>
    </xf>
    <xf numFmtId="0" fontId="31" fillId="0" borderId="12" xfId="0" applyFont="1" applyFill="1" applyBorder="1" applyAlignment="1">
      <alignment horizontal="right" vertical="top"/>
    </xf>
    <xf numFmtId="0" fontId="31" fillId="0" borderId="13" xfId="0" applyFont="1" applyFill="1" applyBorder="1" applyAlignment="1">
      <alignment horizontal="right" vertical="top"/>
    </xf>
    <xf numFmtId="0" fontId="31" fillId="0" borderId="14" xfId="0" applyFont="1" applyFill="1" applyBorder="1" applyAlignment="1">
      <alignment horizontal="right" vertical="top"/>
    </xf>
    <xf numFmtId="4" fontId="31" fillId="0" borderId="4" xfId="0" applyNumberFormat="1" applyFont="1" applyFill="1" applyBorder="1" applyAlignment="1">
      <alignment vertical="top"/>
    </xf>
    <xf numFmtId="0" fontId="32" fillId="0" borderId="4" xfId="0" applyFont="1" applyFill="1" applyBorder="1" applyAlignment="1">
      <alignment vertical="top" wrapText="1" shrinkToFit="1"/>
    </xf>
    <xf numFmtId="0" fontId="33" fillId="0" borderId="12" xfId="0" applyFont="1" applyFill="1" applyBorder="1" applyAlignment="1">
      <alignment horizontal="right" vertical="top"/>
    </xf>
    <xf numFmtId="0" fontId="33" fillId="0" borderId="13" xfId="0" applyFont="1" applyFill="1" applyBorder="1" applyAlignment="1">
      <alignment horizontal="right" vertical="top"/>
    </xf>
    <xf numFmtId="0" fontId="33" fillId="0" borderId="14" xfId="0" applyFont="1" applyFill="1" applyBorder="1" applyAlignment="1">
      <alignment horizontal="right" vertical="top"/>
    </xf>
    <xf numFmtId="176" fontId="33" fillId="0" borderId="4" xfId="2" applyFont="1" applyFill="1" applyBorder="1" applyAlignment="1">
      <alignment vertical="top"/>
    </xf>
    <xf numFmtId="184" fontId="34" fillId="0" borderId="0" xfId="0" applyNumberFormat="1" applyFont="1" applyFill="1"/>
    <xf numFmtId="176" fontId="31" fillId="0" borderId="2" xfId="2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/>
    </xf>
    <xf numFmtId="176" fontId="31" fillId="0" borderId="3" xfId="2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/>
    </xf>
    <xf numFmtId="176" fontId="32" fillId="0" borderId="14" xfId="2" applyFont="1" applyFill="1" applyBorder="1" applyAlignment="1">
      <alignment vertical="top"/>
    </xf>
    <xf numFmtId="176" fontId="31" fillId="0" borderId="14" xfId="2" applyFont="1" applyFill="1" applyBorder="1" applyAlignment="1">
      <alignment vertical="top"/>
    </xf>
    <xf numFmtId="176" fontId="31" fillId="0" borderId="4" xfId="2" applyFont="1" applyFill="1" applyBorder="1" applyAlignment="1">
      <alignment vertical="top" wrapText="1"/>
    </xf>
    <xf numFmtId="0" fontId="32" fillId="0" borderId="14" xfId="0" applyFont="1" applyFill="1" applyBorder="1"/>
    <xf numFmtId="0" fontId="32" fillId="0" borderId="4" xfId="0" applyFont="1" applyFill="1" applyBorder="1"/>
    <xf numFmtId="176" fontId="32" fillId="9" borderId="14" xfId="2" applyFont="1" applyFill="1" applyBorder="1" applyAlignment="1">
      <alignment vertical="top"/>
    </xf>
    <xf numFmtId="176" fontId="36" fillId="0" borderId="4" xfId="2" applyFont="1" applyFill="1" applyBorder="1" applyAlignment="1">
      <alignment horizontal="left" vertical="top" wrapText="1"/>
    </xf>
    <xf numFmtId="176" fontId="36" fillId="0" borderId="4" xfId="2" applyFont="1" applyFill="1" applyBorder="1" applyAlignment="1">
      <alignment vertical="top" wrapText="1"/>
    </xf>
    <xf numFmtId="0" fontId="31" fillId="0" borderId="14" xfId="0" applyFont="1" applyFill="1" applyBorder="1"/>
    <xf numFmtId="0" fontId="31" fillId="0" borderId="4" xfId="0" applyFont="1" applyFill="1" applyBorder="1"/>
    <xf numFmtId="176" fontId="37" fillId="0" borderId="4" xfId="2" applyFont="1" applyFill="1" applyBorder="1" applyAlignment="1">
      <alignment vertical="top" wrapText="1"/>
    </xf>
    <xf numFmtId="176" fontId="31" fillId="0" borderId="4" xfId="2" applyFont="1" applyFill="1" applyBorder="1" applyAlignment="1">
      <alignment vertical="top"/>
    </xf>
    <xf numFmtId="176" fontId="33" fillId="9" borderId="4" xfId="2" applyFont="1" applyFill="1" applyBorder="1" applyAlignment="1">
      <alignment vertical="top"/>
    </xf>
    <xf numFmtId="176" fontId="33" fillId="0" borderId="14" xfId="2" applyFont="1" applyFill="1" applyBorder="1" applyAlignment="1">
      <alignment vertical="top"/>
    </xf>
    <xf numFmtId="176" fontId="33" fillId="0" borderId="4" xfId="2" applyFont="1" applyFill="1" applyBorder="1" applyAlignment="1">
      <alignment vertical="top" wrapText="1"/>
    </xf>
    <xf numFmtId="184" fontId="33" fillId="0" borderId="0" xfId="0" applyNumberFormat="1" applyFont="1" applyFill="1"/>
    <xf numFmtId="184" fontId="33" fillId="0" borderId="0" xfId="0" applyNumberFormat="1" applyFont="1" applyFill="1" applyAlignment="1">
      <alignment wrapText="1"/>
    </xf>
    <xf numFmtId="176" fontId="38" fillId="0" borderId="0" xfId="2" applyFont="1" applyBorder="1" applyAlignment="1">
      <alignment vertical="top"/>
    </xf>
    <xf numFmtId="176" fontId="33" fillId="0" borderId="0" xfId="2" applyFont="1" applyBorder="1" applyAlignment="1">
      <alignment horizontal="center" vertical="top"/>
    </xf>
    <xf numFmtId="176" fontId="39" fillId="0" borderId="0" xfId="2" applyFont="1" applyFill="1" applyBorder="1" applyAlignment="1">
      <alignment vertical="top"/>
    </xf>
    <xf numFmtId="176" fontId="34" fillId="0" borderId="0" xfId="2" applyFont="1" applyFill="1" applyBorder="1" applyAlignment="1">
      <alignment vertical="top"/>
    </xf>
    <xf numFmtId="176" fontId="33" fillId="0" borderId="0" xfId="2" applyFont="1" applyFill="1" applyBorder="1" applyAlignment="1">
      <alignment vertical="top"/>
    </xf>
    <xf numFmtId="0" fontId="33" fillId="0" borderId="0" xfId="0" applyFont="1" applyBorder="1" applyAlignment="1">
      <alignment vertical="top"/>
    </xf>
    <xf numFmtId="0" fontId="34" fillId="0" borderId="0" xfId="2" applyNumberFormat="1" applyFont="1" applyBorder="1" applyAlignment="1">
      <alignment vertical="top"/>
    </xf>
    <xf numFmtId="0" fontId="33" fillId="0" borderId="0" xfId="2" applyNumberFormat="1" applyFont="1" applyBorder="1" applyAlignment="1">
      <alignment vertical="top"/>
    </xf>
    <xf numFmtId="0" fontId="34" fillId="0" borderId="0" xfId="2" applyNumberFormat="1" applyFont="1" applyBorder="1" applyAlignment="1">
      <alignment horizontal="center" vertical="top"/>
    </xf>
    <xf numFmtId="176" fontId="34" fillId="0" borderId="0" xfId="2" applyFont="1" applyBorder="1" applyAlignment="1">
      <alignment horizontal="left" vertical="top" wrapText="1"/>
    </xf>
    <xf numFmtId="176" fontId="34" fillId="0" borderId="0" xfId="2" applyFont="1" applyBorder="1" applyAlignment="1">
      <alignment vertical="top"/>
    </xf>
    <xf numFmtId="176" fontId="33" fillId="0" borderId="0" xfId="2" applyFont="1" applyBorder="1" applyAlignment="1">
      <alignment vertical="top"/>
    </xf>
    <xf numFmtId="176" fontId="33" fillId="0" borderId="0" xfId="2" applyFont="1" applyBorder="1" applyAlignment="1">
      <alignment vertical="top" wrapText="1"/>
    </xf>
    <xf numFmtId="176" fontId="39" fillId="0" borderId="0" xfId="2" applyFont="1" applyBorder="1" applyAlignment="1">
      <alignment horizontal="center" vertical="top"/>
    </xf>
    <xf numFmtId="176" fontId="39" fillId="0" borderId="1" xfId="2" applyFont="1" applyBorder="1" applyAlignment="1">
      <alignment horizontal="center" vertical="top"/>
    </xf>
    <xf numFmtId="0" fontId="33" fillId="0" borderId="16" xfId="2" applyNumberFormat="1" applyFont="1" applyFill="1" applyBorder="1" applyAlignment="1">
      <alignment horizontal="center" vertical="top"/>
    </xf>
    <xf numFmtId="176" fontId="22" fillId="0" borderId="0" xfId="2" applyFont="1" applyFill="1" applyBorder="1" applyAlignment="1">
      <alignment horizontal="center" vertical="top"/>
    </xf>
    <xf numFmtId="176" fontId="33" fillId="0" borderId="4" xfId="2" applyFont="1" applyFill="1" applyBorder="1" applyAlignment="1">
      <alignment horizontal="center" vertical="center"/>
    </xf>
    <xf numFmtId="176" fontId="40" fillId="9" borderId="12" xfId="2" applyFont="1" applyFill="1" applyBorder="1" applyAlignment="1">
      <alignment horizontal="center" vertical="top"/>
    </xf>
    <xf numFmtId="176" fontId="40" fillId="9" borderId="13" xfId="2" applyFont="1" applyFill="1" applyBorder="1" applyAlignment="1">
      <alignment horizontal="center" vertical="top"/>
    </xf>
    <xf numFmtId="0" fontId="33" fillId="0" borderId="19" xfId="2" applyNumberFormat="1" applyFont="1" applyFill="1" applyBorder="1" applyAlignment="1">
      <alignment horizontal="center" vertical="top"/>
    </xf>
    <xf numFmtId="0" fontId="33" fillId="0" borderId="16" xfId="2" applyNumberFormat="1" applyFont="1" applyFill="1" applyBorder="1" applyAlignment="1">
      <alignment horizontal="center" vertical="top" wrapText="1"/>
    </xf>
    <xf numFmtId="176" fontId="33" fillId="0" borderId="6" xfId="2" applyFont="1" applyFill="1" applyBorder="1" applyAlignment="1">
      <alignment horizontal="center" vertical="center"/>
    </xf>
    <xf numFmtId="176" fontId="33" fillId="0" borderId="2" xfId="2" applyFont="1" applyFill="1" applyBorder="1" applyAlignment="1">
      <alignment horizontal="center" vertical="center"/>
    </xf>
    <xf numFmtId="0" fontId="33" fillId="0" borderId="7" xfId="2" applyNumberFormat="1" applyFont="1" applyFill="1" applyBorder="1" applyAlignment="1">
      <alignment horizontal="center" vertical="top"/>
    </xf>
    <xf numFmtId="0" fontId="33" fillId="0" borderId="19" xfId="2" applyNumberFormat="1" applyFont="1" applyFill="1" applyBorder="1" applyAlignment="1">
      <alignment horizontal="center" vertical="top" wrapText="1"/>
    </xf>
    <xf numFmtId="176" fontId="33" fillId="0" borderId="9" xfId="2" applyFont="1" applyFill="1" applyBorder="1" applyAlignment="1">
      <alignment horizontal="center" vertical="center" wrapText="1"/>
    </xf>
    <xf numFmtId="176" fontId="33" fillId="0" borderId="7" xfId="2" applyFont="1" applyFill="1" applyBorder="1" applyAlignment="1">
      <alignment horizontal="center" vertical="center" wrapText="1"/>
    </xf>
    <xf numFmtId="176" fontId="33" fillId="0" borderId="7" xfId="2" applyFont="1" applyFill="1" applyBorder="1" applyAlignment="1">
      <alignment horizontal="center" vertical="center"/>
    </xf>
    <xf numFmtId="0" fontId="33" fillId="0" borderId="3" xfId="2" applyNumberFormat="1" applyFont="1" applyFill="1" applyBorder="1" applyAlignment="1">
      <alignment horizontal="center" vertical="top"/>
    </xf>
    <xf numFmtId="0" fontId="33" fillId="0" borderId="18" xfId="2" applyNumberFormat="1" applyFont="1" applyFill="1" applyBorder="1" applyAlignment="1">
      <alignment horizontal="center" vertical="top" wrapText="1"/>
    </xf>
    <xf numFmtId="49" fontId="33" fillId="0" borderId="11" xfId="2" applyNumberFormat="1" applyFont="1" applyFill="1" applyBorder="1" applyAlignment="1">
      <alignment horizontal="center" vertical="center"/>
    </xf>
    <xf numFmtId="49" fontId="33" fillId="0" borderId="3" xfId="2" applyNumberFormat="1" applyFont="1" applyFill="1" applyBorder="1" applyAlignment="1">
      <alignment horizontal="center" vertical="center"/>
    </xf>
    <xf numFmtId="0" fontId="39" fillId="0" borderId="12" xfId="2" applyNumberFormat="1" applyFont="1" applyFill="1" applyBorder="1" applyAlignment="1">
      <alignment vertical="top"/>
    </xf>
    <xf numFmtId="0" fontId="39" fillId="0" borderId="13" xfId="2" applyNumberFormat="1" applyFont="1" applyFill="1" applyBorder="1" applyAlignment="1">
      <alignment vertical="top"/>
    </xf>
    <xf numFmtId="0" fontId="39" fillId="0" borderId="13" xfId="2" applyNumberFormat="1" applyFont="1" applyFill="1" applyBorder="1" applyAlignment="1">
      <alignment horizontal="center" vertical="top"/>
    </xf>
    <xf numFmtId="0" fontId="39" fillId="0" borderId="14" xfId="2" applyNumberFormat="1" applyFont="1" applyFill="1" applyBorder="1" applyAlignment="1">
      <alignment vertical="top"/>
    </xf>
    <xf numFmtId="176" fontId="39" fillId="0" borderId="4" xfId="2" applyFont="1" applyFill="1" applyBorder="1" applyAlignment="1">
      <alignment horizontal="center" vertical="top"/>
    </xf>
    <xf numFmtId="0" fontId="34" fillId="0" borderId="12" xfId="2" applyNumberFormat="1" applyFont="1" applyFill="1" applyBorder="1" applyAlignment="1">
      <alignment horizontal="center" vertical="top"/>
    </xf>
    <xf numFmtId="49" fontId="33" fillId="0" borderId="13" xfId="0" applyNumberFormat="1" applyFont="1" applyBorder="1" applyAlignment="1">
      <alignment horizontal="left" vertical="top"/>
    </xf>
    <xf numFmtId="49" fontId="33" fillId="0" borderId="14" xfId="0" applyNumberFormat="1" applyFont="1" applyFill="1" applyBorder="1" applyAlignment="1">
      <alignment horizontal="center" vertical="top"/>
    </xf>
    <xf numFmtId="2" fontId="33" fillId="0" borderId="4" xfId="0" applyNumberFormat="1" applyFont="1" applyBorder="1" applyAlignment="1">
      <alignment horizontal="left" vertical="top" wrapText="1"/>
    </xf>
    <xf numFmtId="176" fontId="34" fillId="0" borderId="4" xfId="2" applyFont="1" applyBorder="1" applyAlignment="1">
      <alignment horizontal="right" vertical="top" wrapText="1" shrinkToFit="1"/>
    </xf>
    <xf numFmtId="176" fontId="34" fillId="0" borderId="4" xfId="2" applyFont="1" applyBorder="1" applyAlignment="1">
      <alignment horizontal="left" vertical="top"/>
    </xf>
    <xf numFmtId="176" fontId="34" fillId="0" borderId="4" xfId="2" applyFont="1" applyFill="1" applyBorder="1" applyAlignment="1">
      <alignment horizontal="right" vertical="top"/>
    </xf>
    <xf numFmtId="176" fontId="34" fillId="0" borderId="4" xfId="2" applyFont="1" applyFill="1" applyBorder="1" applyAlignment="1">
      <alignment horizontal="center" vertical="top"/>
    </xf>
    <xf numFmtId="176" fontId="34" fillId="0" borderId="4" xfId="2" applyFont="1" applyFill="1" applyBorder="1" applyAlignment="1">
      <alignment vertical="top"/>
    </xf>
    <xf numFmtId="0" fontId="33" fillId="0" borderId="12" xfId="2" applyNumberFormat="1" applyFont="1" applyFill="1" applyBorder="1" applyAlignment="1">
      <alignment horizontal="center" vertical="top"/>
    </xf>
    <xf numFmtId="176" fontId="33" fillId="0" borderId="12" xfId="2" applyFont="1" applyFill="1" applyBorder="1" applyAlignment="1">
      <alignment horizontal="right" vertical="top"/>
    </xf>
    <xf numFmtId="176" fontId="33" fillId="0" borderId="13" xfId="2" applyFont="1" applyFill="1" applyBorder="1" applyAlignment="1">
      <alignment horizontal="right" vertical="top"/>
    </xf>
    <xf numFmtId="176" fontId="33" fillId="0" borderId="14" xfId="2" applyFont="1" applyFill="1" applyBorder="1" applyAlignment="1">
      <alignment horizontal="right" vertical="top"/>
    </xf>
    <xf numFmtId="185" fontId="33" fillId="0" borderId="4" xfId="2" applyNumberFormat="1" applyFont="1" applyFill="1" applyBorder="1" applyAlignment="1">
      <alignment vertical="top"/>
    </xf>
    <xf numFmtId="176" fontId="33" fillId="0" borderId="4" xfId="2" applyFont="1" applyFill="1" applyBorder="1" applyAlignment="1">
      <alignment horizontal="right" vertical="top"/>
    </xf>
    <xf numFmtId="176" fontId="40" fillId="0" borderId="12" xfId="2" applyFont="1" applyFill="1" applyBorder="1" applyAlignment="1">
      <alignment horizontal="right" vertical="top"/>
    </xf>
    <xf numFmtId="176" fontId="40" fillId="0" borderId="13" xfId="2" applyFont="1" applyFill="1" applyBorder="1" applyAlignment="1">
      <alignment horizontal="right" vertical="top"/>
    </xf>
    <xf numFmtId="176" fontId="33" fillId="0" borderId="12" xfId="2" applyFont="1" applyFill="1" applyBorder="1" applyAlignment="1">
      <alignment horizontal="center" vertical="top"/>
    </xf>
    <xf numFmtId="176" fontId="33" fillId="0" borderId="13" xfId="2" applyFont="1" applyFill="1" applyBorder="1" applyAlignment="1">
      <alignment horizontal="center" vertical="top"/>
    </xf>
    <xf numFmtId="0" fontId="39" fillId="0" borderId="0" xfId="2" applyNumberFormat="1" applyFont="1" applyBorder="1" applyAlignment="1">
      <alignment horizontal="left" vertical="top" shrinkToFit="1"/>
    </xf>
    <xf numFmtId="0" fontId="39" fillId="0" borderId="0" xfId="2" applyNumberFormat="1" applyFont="1" applyBorder="1" applyAlignment="1">
      <alignment horizontal="left" vertical="top" wrapText="1" shrinkToFit="1"/>
    </xf>
    <xf numFmtId="0" fontId="39" fillId="0" borderId="0" xfId="2" applyNumberFormat="1" applyFont="1" applyBorder="1" applyAlignment="1">
      <alignment horizontal="center" vertical="top" wrapText="1" shrinkToFit="1"/>
    </xf>
    <xf numFmtId="176" fontId="39" fillId="0" borderId="0" xfId="2" applyFont="1" applyBorder="1" applyAlignment="1">
      <alignment horizontal="left" vertical="top" wrapText="1" shrinkToFit="1"/>
    </xf>
    <xf numFmtId="0" fontId="41" fillId="0" borderId="0" xfId="2" applyNumberFormat="1" applyFont="1" applyBorder="1" applyAlignment="1">
      <alignment vertical="top"/>
    </xf>
    <xf numFmtId="0" fontId="39" fillId="0" borderId="0" xfId="2" applyNumberFormat="1" applyFont="1" applyBorder="1" applyAlignment="1">
      <alignment vertical="top"/>
    </xf>
    <xf numFmtId="0" fontId="41" fillId="0" borderId="0" xfId="2" applyNumberFormat="1" applyFont="1" applyBorder="1" applyAlignment="1">
      <alignment horizontal="center" vertical="top"/>
    </xf>
    <xf numFmtId="176" fontId="33" fillId="0" borderId="0" xfId="2" applyFont="1" applyBorder="1" applyAlignment="1">
      <alignment horizontal="left" vertical="top" wrapText="1" shrinkToFit="1"/>
    </xf>
    <xf numFmtId="176" fontId="40" fillId="9" borderId="14" xfId="2" applyFont="1" applyFill="1" applyBorder="1" applyAlignment="1">
      <alignment horizontal="center" vertical="top"/>
    </xf>
    <xf numFmtId="0" fontId="33" fillId="0" borderId="2" xfId="0" applyFont="1" applyFill="1" applyBorder="1" applyAlignment="1">
      <alignment horizontal="center" vertical="top"/>
    </xf>
    <xf numFmtId="0" fontId="33" fillId="10" borderId="7" xfId="0" applyFont="1" applyFill="1" applyBorder="1" applyAlignment="1">
      <alignment horizontal="center" vertical="top"/>
    </xf>
    <xf numFmtId="0" fontId="33" fillId="0" borderId="7" xfId="0" applyFont="1" applyFill="1" applyBorder="1" applyAlignment="1">
      <alignment horizontal="center" vertical="top"/>
    </xf>
    <xf numFmtId="0" fontId="33" fillId="0" borderId="7" xfId="0" applyFont="1" applyFill="1" applyBorder="1" applyAlignment="1">
      <alignment horizontal="center" vertical="center"/>
    </xf>
    <xf numFmtId="0" fontId="33" fillId="10" borderId="7" xfId="0" applyFont="1" applyFill="1" applyBorder="1" applyAlignment="1">
      <alignment horizontal="center" vertical="center"/>
    </xf>
    <xf numFmtId="176" fontId="33" fillId="0" borderId="3" xfId="2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top"/>
    </xf>
    <xf numFmtId="0" fontId="33" fillId="10" borderId="3" xfId="0" applyFont="1" applyFill="1" applyBorder="1" applyAlignment="1">
      <alignment horizontal="center" vertical="top"/>
    </xf>
    <xf numFmtId="0" fontId="33" fillId="0" borderId="3" xfId="0" applyFont="1" applyFill="1" applyBorder="1" applyAlignment="1">
      <alignment horizontal="center" vertical="top" shrinkToFit="1"/>
    </xf>
    <xf numFmtId="176" fontId="39" fillId="0" borderId="4" xfId="2" applyFont="1" applyBorder="1" applyAlignment="1">
      <alignment vertical="top"/>
    </xf>
    <xf numFmtId="176" fontId="39" fillId="10" borderId="4" xfId="2" applyFont="1" applyFill="1" applyBorder="1" applyAlignment="1">
      <alignment horizontal="center" vertical="top"/>
    </xf>
    <xf numFmtId="176" fontId="34" fillId="0" borderId="4" xfId="2" applyFont="1" applyBorder="1" applyAlignment="1">
      <alignment horizontal="center" vertical="top"/>
    </xf>
    <xf numFmtId="176" fontId="33" fillId="0" borderId="4" xfId="2" applyFont="1" applyBorder="1" applyAlignment="1">
      <alignment vertical="top"/>
    </xf>
    <xf numFmtId="176" fontId="33" fillId="10" borderId="4" xfId="2" applyFont="1" applyFill="1" applyBorder="1" applyAlignment="1">
      <alignment vertical="top"/>
    </xf>
    <xf numFmtId="176" fontId="33" fillId="0" borderId="4" xfId="2" applyFont="1" applyBorder="1" applyAlignment="1">
      <alignment vertical="top" wrapText="1"/>
    </xf>
    <xf numFmtId="185" fontId="34" fillId="0" borderId="4" xfId="2" applyNumberFormat="1" applyFont="1" applyFill="1" applyBorder="1" applyAlignment="1">
      <alignment vertical="top"/>
    </xf>
    <xf numFmtId="176" fontId="33" fillId="0" borderId="4" xfId="2" applyFont="1" applyFill="1" applyBorder="1" applyAlignment="1">
      <alignment vertical="center"/>
    </xf>
    <xf numFmtId="176" fontId="33" fillId="0" borderId="0" xfId="2" applyFont="1" applyFill="1" applyBorder="1" applyAlignment="1">
      <alignment vertical="center"/>
    </xf>
    <xf numFmtId="176" fontId="40" fillId="0" borderId="14" xfId="2" applyFont="1" applyFill="1" applyBorder="1" applyAlignment="1">
      <alignment horizontal="right" vertical="top"/>
    </xf>
    <xf numFmtId="176" fontId="33" fillId="0" borderId="12" xfId="2" applyFont="1" applyFill="1" applyBorder="1" applyAlignment="1">
      <alignment horizontal="left" vertical="top" wrapText="1"/>
    </xf>
    <xf numFmtId="176" fontId="33" fillId="0" borderId="14" xfId="2" applyFont="1" applyFill="1" applyBorder="1" applyAlignment="1">
      <alignment horizontal="left" vertical="top" wrapText="1"/>
    </xf>
    <xf numFmtId="176" fontId="33" fillId="0" borderId="14" xfId="2" applyFont="1" applyFill="1" applyBorder="1" applyAlignment="1">
      <alignment horizontal="center" vertical="top"/>
    </xf>
    <xf numFmtId="176" fontId="37" fillId="0" borderId="0" xfId="0" applyNumberFormat="1" applyFont="1" applyFill="1" applyBorder="1" applyAlignment="1">
      <alignment horizontal="left" vertical="top"/>
    </xf>
    <xf numFmtId="176" fontId="33" fillId="0" borderId="3" xfId="2" applyFont="1" applyFill="1" applyBorder="1" applyAlignment="1">
      <alignment vertical="top"/>
    </xf>
    <xf numFmtId="176" fontId="33" fillId="0" borderId="3" xfId="2" applyFont="1" applyFill="1" applyBorder="1" applyAlignment="1">
      <alignment vertical="center"/>
    </xf>
    <xf numFmtId="176" fontId="39" fillId="0" borderId="0" xfId="2" applyFont="1" applyBorder="1" applyAlignment="1">
      <alignment vertical="top"/>
    </xf>
    <xf numFmtId="176" fontId="33" fillId="0" borderId="4" xfId="2" applyFont="1" applyFill="1" applyBorder="1" applyAlignment="1">
      <alignment horizontal="center" vertical="center" wrapText="1"/>
    </xf>
    <xf numFmtId="176" fontId="39" fillId="0" borderId="4" xfId="2" applyFont="1" applyFill="1" applyBorder="1" applyAlignment="1">
      <alignment horizontal="center" vertical="top" wrapText="1"/>
    </xf>
    <xf numFmtId="186" fontId="33" fillId="0" borderId="4" xfId="2" applyNumberFormat="1" applyFont="1" applyFill="1" applyBorder="1" applyAlignment="1">
      <alignment vertical="top" wrapText="1"/>
    </xf>
    <xf numFmtId="176" fontId="33" fillId="0" borderId="0" xfId="2" applyFont="1" applyFill="1" applyBorder="1" applyAlignment="1">
      <alignment vertical="top" wrapText="1"/>
    </xf>
    <xf numFmtId="176" fontId="33" fillId="0" borderId="0" xfId="2" applyFont="1" applyBorder="1" applyAlignment="1">
      <alignment horizontal="center" vertical="center"/>
    </xf>
    <xf numFmtId="176" fontId="42" fillId="0" borderId="4" xfId="2" applyFont="1" applyFill="1" applyBorder="1" applyAlignment="1">
      <alignment vertical="top" wrapText="1"/>
    </xf>
    <xf numFmtId="176" fontId="43" fillId="0" borderId="4" xfId="2" applyFont="1" applyFill="1" applyBorder="1" applyAlignment="1">
      <alignment vertical="top" wrapText="1"/>
    </xf>
    <xf numFmtId="176" fontId="43" fillId="0" borderId="0" xfId="2" applyFont="1" applyFill="1" applyBorder="1" applyAlignment="1">
      <alignment vertical="top" wrapText="1"/>
    </xf>
    <xf numFmtId="0" fontId="39" fillId="0" borderId="0" xfId="2" applyNumberFormat="1" applyFont="1" applyBorder="1" applyAlignment="1">
      <alignment horizontal="left" vertical="top" wrapText="1"/>
    </xf>
    <xf numFmtId="176" fontId="39" fillId="0" borderId="0" xfId="2" applyFont="1" applyBorder="1" applyAlignment="1">
      <alignment vertical="top" wrapText="1"/>
    </xf>
    <xf numFmtId="176" fontId="44" fillId="0" borderId="0" xfId="2" applyFont="1"/>
    <xf numFmtId="0" fontId="44" fillId="0" borderId="0" xfId="0" applyFont="1"/>
    <xf numFmtId="176" fontId="44" fillId="0" borderId="0" xfId="2" applyNumberFormat="1" applyFont="1"/>
    <xf numFmtId="0" fontId="44" fillId="0" borderId="2" xfId="0" applyFont="1" applyBorder="1" applyAlignment="1">
      <alignment horizontal="center"/>
    </xf>
    <xf numFmtId="176" fontId="44" fillId="0" borderId="2" xfId="2" applyNumberFormat="1" applyFont="1" applyBorder="1" applyAlignment="1">
      <alignment horizontal="center"/>
    </xf>
    <xf numFmtId="0" fontId="44" fillId="0" borderId="7" xfId="0" applyFont="1" applyBorder="1"/>
    <xf numFmtId="176" fontId="44" fillId="0" borderId="7" xfId="2" applyNumberFormat="1" applyFont="1" applyBorder="1"/>
    <xf numFmtId="176" fontId="44" fillId="0" borderId="7" xfId="0" applyNumberFormat="1" applyFont="1" applyBorder="1"/>
    <xf numFmtId="176" fontId="44" fillId="0" borderId="20" xfId="2" applyNumberFormat="1" applyFont="1" applyBorder="1"/>
    <xf numFmtId="176" fontId="44" fillId="11" borderId="7" xfId="2" applyNumberFormat="1" applyFont="1" applyFill="1" applyBorder="1"/>
    <xf numFmtId="0" fontId="44" fillId="0" borderId="3" xfId="0" applyFont="1" applyBorder="1"/>
    <xf numFmtId="176" fontId="44" fillId="0" borderId="3" xfId="2" applyNumberFormat="1" applyFont="1" applyBorder="1"/>
    <xf numFmtId="176" fontId="44" fillId="11" borderId="4" xfId="2" applyNumberFormat="1" applyFont="1" applyFill="1" applyBorder="1"/>
    <xf numFmtId="176" fontId="44" fillId="12" borderId="4" xfId="2" applyFont="1" applyFill="1" applyBorder="1"/>
    <xf numFmtId="176" fontId="44" fillId="0" borderId="0" xfId="0" applyNumberFormat="1" applyFont="1"/>
    <xf numFmtId="176" fontId="44" fillId="0" borderId="4" xfId="2" applyNumberFormat="1" applyFont="1" applyBorder="1"/>
    <xf numFmtId="176" fontId="44" fillId="0" borderId="4" xfId="0" applyNumberFormat="1" applyFont="1" applyBorder="1"/>
    <xf numFmtId="0" fontId="45" fillId="0" borderId="0" xfId="0" applyFont="1" applyFill="1" applyAlignment="1">
      <alignment vertical="center"/>
    </xf>
    <xf numFmtId="0" fontId="18" fillId="0" borderId="0" xfId="0" applyFont="1" applyFill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16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76" fontId="4" fillId="0" borderId="0" xfId="2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 shrinkToFit="1"/>
    </xf>
    <xf numFmtId="176" fontId="49" fillId="10" borderId="12" xfId="2" applyFont="1" applyFill="1" applyBorder="1" applyAlignment="1">
      <alignment horizontal="center" vertical="center" shrinkToFit="1"/>
    </xf>
    <xf numFmtId="176" fontId="49" fillId="10" borderId="13" xfId="2" applyFont="1" applyFill="1" applyBorder="1" applyAlignment="1">
      <alignment horizontal="center" vertical="center" shrinkToFit="1"/>
    </xf>
    <xf numFmtId="176" fontId="49" fillId="10" borderId="14" xfId="2" applyFont="1" applyFill="1" applyBorder="1" applyAlignment="1">
      <alignment horizontal="center" vertical="center" shrinkToFit="1"/>
    </xf>
    <xf numFmtId="176" fontId="49" fillId="10" borderId="2" xfId="2" applyFont="1" applyFill="1" applyBorder="1" applyAlignment="1">
      <alignment horizontal="center" vertical="center" shrinkToFit="1"/>
    </xf>
    <xf numFmtId="176" fontId="49" fillId="10" borderId="16" xfId="2" applyFont="1" applyFill="1" applyBorder="1" applyAlignment="1">
      <alignment horizontal="center" vertical="center" shrinkToFit="1"/>
    </xf>
    <xf numFmtId="0" fontId="1" fillId="10" borderId="7" xfId="0" applyFont="1" applyFill="1" applyBorder="1" applyAlignment="1">
      <alignment horizontal="center" vertical="center" shrinkToFit="1"/>
    </xf>
    <xf numFmtId="176" fontId="49" fillId="10" borderId="7" xfId="2" applyFont="1" applyFill="1" applyBorder="1" applyAlignment="1">
      <alignment horizontal="center" vertical="center" shrinkToFit="1"/>
    </xf>
    <xf numFmtId="176" fontId="7" fillId="10" borderId="7" xfId="2" applyFont="1" applyFill="1" applyBorder="1" applyAlignment="1">
      <alignment horizontal="center" vertical="center" wrapText="1"/>
    </xf>
    <xf numFmtId="176" fontId="49" fillId="10" borderId="19" xfId="2" applyFont="1" applyFill="1" applyBorder="1" applyAlignment="1">
      <alignment horizontal="center" vertical="center" shrinkToFit="1"/>
    </xf>
    <xf numFmtId="0" fontId="1" fillId="10" borderId="3" xfId="0" applyFont="1" applyFill="1" applyBorder="1" applyAlignment="1">
      <alignment horizontal="center" vertical="center" shrinkToFit="1"/>
    </xf>
    <xf numFmtId="0" fontId="49" fillId="10" borderId="3" xfId="2" applyNumberFormat="1" applyFont="1" applyFill="1" applyBorder="1" applyAlignment="1">
      <alignment horizontal="center" vertical="center" shrinkToFit="1"/>
    </xf>
    <xf numFmtId="0" fontId="49" fillId="10" borderId="18" xfId="2" applyNumberFormat="1" applyFont="1" applyFill="1" applyBorder="1" applyAlignment="1">
      <alignment horizontal="center" vertical="center" shrinkToFit="1"/>
    </xf>
    <xf numFmtId="176" fontId="48" fillId="0" borderId="4" xfId="2" applyFont="1" applyFill="1" applyBorder="1" applyAlignment="1">
      <alignment vertical="center"/>
    </xf>
    <xf numFmtId="181" fontId="48" fillId="0" borderId="4" xfId="2" applyNumberFormat="1" applyFont="1" applyFill="1" applyBorder="1" applyAlignment="1">
      <alignment vertical="center"/>
    </xf>
    <xf numFmtId="176" fontId="17" fillId="0" borderId="4" xfId="0" applyNumberFormat="1" applyFont="1" applyFill="1" applyBorder="1" applyAlignment="1">
      <alignment vertical="center"/>
    </xf>
    <xf numFmtId="176" fontId="48" fillId="0" borderId="4" xfId="0" applyNumberFormat="1" applyFont="1" applyFill="1" applyBorder="1" applyAlignment="1">
      <alignment vertical="center"/>
    </xf>
    <xf numFmtId="176" fontId="48" fillId="0" borderId="12" xfId="0" applyNumberFormat="1" applyFont="1" applyFill="1" applyBorder="1" applyAlignment="1">
      <alignment horizontal="center" vertical="center"/>
    </xf>
    <xf numFmtId="176" fontId="48" fillId="0" borderId="4" xfId="2" applyFont="1" applyFill="1" applyBorder="1" applyAlignment="1">
      <alignment vertical="center" shrinkToFit="1"/>
    </xf>
    <xf numFmtId="176" fontId="17" fillId="0" borderId="4" xfId="2" applyFont="1" applyFill="1" applyBorder="1" applyAlignment="1">
      <alignment vertical="center" shrinkToFit="1"/>
    </xf>
    <xf numFmtId="176" fontId="17" fillId="0" borderId="4" xfId="2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shrinkToFit="1"/>
    </xf>
    <xf numFmtId="0" fontId="18" fillId="8" borderId="4" xfId="0" applyFont="1" applyFill="1" applyBorder="1" applyAlignment="1">
      <alignment horizontal="center" vertical="center" shrinkToFit="1"/>
    </xf>
    <xf numFmtId="176" fontId="18" fillId="8" borderId="4" xfId="2" applyFont="1" applyFill="1" applyBorder="1" applyAlignment="1">
      <alignment vertical="center" shrinkToFit="1"/>
    </xf>
    <xf numFmtId="0" fontId="17" fillId="0" borderId="4" xfId="0" applyFont="1" applyFill="1" applyBorder="1" applyAlignment="1">
      <alignment horizontal="left" vertical="center" shrinkToFit="1"/>
    </xf>
    <xf numFmtId="181" fontId="17" fillId="0" borderId="4" xfId="2" applyNumberFormat="1" applyFont="1" applyFill="1" applyBorder="1" applyAlignment="1">
      <alignment vertical="center" shrinkToFit="1"/>
    </xf>
    <xf numFmtId="176" fontId="17" fillId="0" borderId="12" xfId="0" applyNumberFormat="1" applyFont="1" applyFill="1" applyBorder="1" applyAlignment="1">
      <alignment horizontal="center" vertical="center"/>
    </xf>
    <xf numFmtId="0" fontId="20" fillId="13" borderId="4" xfId="0" applyFont="1" applyFill="1" applyBorder="1" applyAlignment="1">
      <alignment horizontal="center" vertical="center" shrinkToFit="1"/>
    </xf>
    <xf numFmtId="0" fontId="1" fillId="10" borderId="4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left" vertical="center" shrinkToFit="1"/>
    </xf>
    <xf numFmtId="176" fontId="16" fillId="0" borderId="12" xfId="2" applyFont="1" applyFill="1" applyBorder="1" applyAlignment="1">
      <alignment horizontal="center" vertical="center" shrinkToFit="1"/>
    </xf>
    <xf numFmtId="176" fontId="16" fillId="0" borderId="14" xfId="2" applyFont="1" applyFill="1" applyBorder="1" applyAlignment="1">
      <alignment horizontal="center" vertical="center" shrinkToFit="1"/>
    </xf>
    <xf numFmtId="176" fontId="16" fillId="0" borderId="4" xfId="2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76" fontId="16" fillId="0" borderId="0" xfId="2" applyFont="1" applyFill="1" applyBorder="1" applyAlignment="1">
      <alignment horizontal="center" vertical="center" shrinkToFit="1"/>
    </xf>
    <xf numFmtId="176" fontId="10" fillId="0" borderId="0" xfId="2" applyFont="1" applyFill="1" applyBorder="1" applyAlignment="1">
      <alignment vertical="center" shrinkToFit="1"/>
    </xf>
    <xf numFmtId="176" fontId="50" fillId="0" borderId="0" xfId="2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176" fontId="46" fillId="0" borderId="0" xfId="2" applyFont="1" applyFill="1" applyAlignment="1">
      <alignment vertical="center"/>
    </xf>
    <xf numFmtId="176" fontId="21" fillId="0" borderId="0" xfId="2" applyFont="1" applyFill="1" applyAlignment="1">
      <alignment vertical="center"/>
    </xf>
    <xf numFmtId="176" fontId="21" fillId="0" borderId="0" xfId="0" applyNumberFormat="1" applyFont="1" applyFill="1" applyAlignment="1">
      <alignment vertical="center"/>
    </xf>
    <xf numFmtId="176" fontId="50" fillId="0" borderId="0" xfId="2" applyFont="1" applyBorder="1" applyAlignment="1">
      <alignment horizontal="center"/>
    </xf>
    <xf numFmtId="0" fontId="17" fillId="0" borderId="0" xfId="0" applyFont="1" applyFill="1" applyBorder="1" applyAlignment="1">
      <alignment horizontal="right" vertical="center"/>
    </xf>
    <xf numFmtId="176" fontId="17" fillId="0" borderId="0" xfId="0" applyNumberFormat="1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vertical="center"/>
    </xf>
    <xf numFmtId="0" fontId="7" fillId="0" borderId="13" xfId="0" applyFont="1" applyBorder="1" applyAlignment="1">
      <alignment horizontal="left" vertical="center" wrapText="1"/>
    </xf>
    <xf numFmtId="176" fontId="1" fillId="0" borderId="13" xfId="2" applyFont="1" applyFill="1" applyBorder="1" applyAlignment="1">
      <alignment vertical="center"/>
    </xf>
    <xf numFmtId="176" fontId="1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176" fontId="10" fillId="0" borderId="4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vertical="center"/>
    </xf>
    <xf numFmtId="176" fontId="10" fillId="0" borderId="4" xfId="0" applyNumberFormat="1" applyFont="1" applyFill="1" applyBorder="1" applyAlignment="1">
      <alignment horizontal="center" vertical="top"/>
    </xf>
    <xf numFmtId="0" fontId="21" fillId="0" borderId="0" xfId="0" applyFont="1" applyFill="1" applyAlignment="1">
      <alignment horizontal="left" vertical="center" shrinkToFit="1"/>
    </xf>
    <xf numFmtId="0" fontId="16" fillId="0" borderId="0" xfId="0" applyFont="1" applyFill="1" applyAlignment="1">
      <alignment horizontal="left" vertical="center" shrinkToFit="1"/>
    </xf>
    <xf numFmtId="0" fontId="17" fillId="0" borderId="0" xfId="0" applyFont="1" applyFill="1" applyAlignment="1">
      <alignment horizontal="left" vertical="center" shrinkToFit="1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176" fontId="10" fillId="0" borderId="13" xfId="2" applyFont="1" applyFill="1" applyBorder="1" applyAlignment="1">
      <alignment vertical="center"/>
    </xf>
    <xf numFmtId="0" fontId="7" fillId="0" borderId="1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76" fontId="8" fillId="0" borderId="4" xfId="0" applyNumberFormat="1" applyFont="1" applyFill="1" applyBorder="1" applyAlignment="1">
      <alignment horizontal="center" vertical="center"/>
    </xf>
    <xf numFmtId="176" fontId="17" fillId="0" borderId="0" xfId="2" applyFont="1" applyFill="1" applyAlignment="1">
      <alignment vertical="center"/>
    </xf>
    <xf numFmtId="176" fontId="49" fillId="10" borderId="3" xfId="2" applyFont="1" applyFill="1" applyBorder="1" applyAlignment="1">
      <alignment horizontal="center" vertical="center" shrinkToFit="1"/>
    </xf>
    <xf numFmtId="176" fontId="19" fillId="0" borderId="4" xfId="2" applyFont="1" applyFill="1" applyBorder="1" applyAlignment="1">
      <alignment vertical="center"/>
    </xf>
    <xf numFmtId="184" fontId="4" fillId="0" borderId="0" xfId="0" applyNumberFormat="1" applyFont="1" applyFill="1" applyAlignment="1">
      <alignment vertical="center"/>
    </xf>
    <xf numFmtId="176" fontId="19" fillId="8" borderId="4" xfId="2" applyFont="1" applyFill="1" applyBorder="1" applyAlignment="1">
      <alignment vertical="center" shrinkToFit="1"/>
    </xf>
    <xf numFmtId="176" fontId="19" fillId="0" borderId="4" xfId="2" applyFont="1" applyFill="1" applyBorder="1" applyAlignment="1">
      <alignment vertical="center" shrinkToFit="1"/>
    </xf>
    <xf numFmtId="176" fontId="2" fillId="0" borderId="0" xfId="0" applyNumberFormat="1" applyFont="1" applyFill="1" applyAlignment="1">
      <alignment vertical="center" shrinkToFit="1"/>
    </xf>
    <xf numFmtId="184" fontId="10" fillId="0" borderId="0" xfId="0" applyNumberFormat="1" applyFont="1" applyFill="1" applyAlignment="1">
      <alignment vertical="center"/>
    </xf>
    <xf numFmtId="0" fontId="1" fillId="10" borderId="12" xfId="0" applyFont="1" applyFill="1" applyBorder="1" applyAlignment="1">
      <alignment horizontal="center" vertical="center" shrinkToFit="1"/>
    </xf>
    <xf numFmtId="0" fontId="1" fillId="10" borderId="14" xfId="0" applyFont="1" applyFill="1" applyBorder="1" applyAlignment="1">
      <alignment horizontal="center" vertical="center" shrinkToFit="1"/>
    </xf>
    <xf numFmtId="184" fontId="1" fillId="0" borderId="0" xfId="0" applyNumberFormat="1" applyFont="1" applyFill="1" applyAlignment="1">
      <alignment vertical="center"/>
    </xf>
    <xf numFmtId="176" fontId="11" fillId="0" borderId="4" xfId="2" applyFont="1" applyFill="1" applyBorder="1" applyAlignment="1">
      <alignment horizontal="right" vertical="center" shrinkToFit="1"/>
    </xf>
    <xf numFmtId="181" fontId="51" fillId="0" borderId="4" xfId="2" applyNumberFormat="1" applyFont="1" applyFill="1" applyBorder="1" applyAlignment="1">
      <alignment vertical="center" shrinkToFit="1"/>
    </xf>
    <xf numFmtId="176" fontId="11" fillId="0" borderId="0" xfId="2" applyFont="1" applyFill="1" applyBorder="1" applyAlignment="1">
      <alignment horizontal="right" vertical="center" shrinkToFit="1"/>
    </xf>
    <xf numFmtId="181" fontId="51" fillId="0" borderId="0" xfId="2" applyNumberFormat="1" applyFont="1" applyFill="1" applyBorder="1" applyAlignment="1">
      <alignment vertical="center" shrinkToFit="1"/>
    </xf>
    <xf numFmtId="184" fontId="10" fillId="0" borderId="0" xfId="0" applyNumberFormat="1" applyFont="1" applyFill="1" applyBorder="1" applyAlignment="1">
      <alignment vertical="center"/>
    </xf>
    <xf numFmtId="184" fontId="16" fillId="0" borderId="0" xfId="0" applyNumberFormat="1" applyFont="1" applyFill="1" applyAlignment="1">
      <alignment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176" fontId="16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left" vertical="center" wrapText="1"/>
    </xf>
    <xf numFmtId="176" fontId="16" fillId="0" borderId="4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19" xfId="0" applyFont="1" applyFill="1" applyBorder="1" applyAlignment="1">
      <alignment horizontal="center" vertical="center" shrinkToFit="1"/>
    </xf>
    <xf numFmtId="176" fontId="1" fillId="0" borderId="19" xfId="0" applyNumberFormat="1" applyFont="1" applyFill="1" applyBorder="1" applyAlignment="1">
      <alignment horizontal="center" vertical="center"/>
    </xf>
    <xf numFmtId="176" fontId="10" fillId="0" borderId="19" xfId="0" applyNumberFormat="1" applyFont="1" applyFill="1" applyBorder="1" applyAlignment="1">
      <alignment horizontal="center" vertical="center"/>
    </xf>
    <xf numFmtId="0" fontId="32" fillId="0" borderId="0" xfId="0" applyFont="1"/>
    <xf numFmtId="0" fontId="31" fillId="0" borderId="0" xfId="0" applyFont="1"/>
    <xf numFmtId="0" fontId="33" fillId="0" borderId="0" xfId="0" applyFont="1"/>
    <xf numFmtId="0" fontId="34" fillId="0" borderId="0" xfId="0" applyFont="1" applyAlignment="1">
      <alignment horizontal="center"/>
    </xf>
    <xf numFmtId="0" fontId="34" fillId="0" borderId="0" xfId="0" applyFont="1"/>
    <xf numFmtId="49" fontId="34" fillId="0" borderId="0" xfId="0" applyNumberFormat="1" applyFont="1" applyAlignment="1">
      <alignment horizontal="center"/>
    </xf>
    <xf numFmtId="0" fontId="34" fillId="0" borderId="0" xfId="0" applyFont="1" applyAlignment="1">
      <alignment wrapText="1" shrinkToFit="1"/>
    </xf>
    <xf numFmtId="0" fontId="33" fillId="0" borderId="0" xfId="0" applyFont="1" applyAlignment="1">
      <alignment horizontal="center"/>
    </xf>
    <xf numFmtId="0" fontId="33" fillId="0" borderId="1" xfId="0" applyFont="1" applyBorder="1" applyAlignment="1">
      <alignment horizontal="center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49" fontId="31" fillId="0" borderId="4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 shrinkToFit="1"/>
    </xf>
    <xf numFmtId="0" fontId="31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top"/>
    </xf>
    <xf numFmtId="0" fontId="32" fillId="0" borderId="4" xfId="0" applyFont="1" applyBorder="1" applyAlignment="1">
      <alignment vertical="top"/>
    </xf>
    <xf numFmtId="49" fontId="32" fillId="0" borderId="4" xfId="0" applyNumberFormat="1" applyFont="1" applyBorder="1" applyAlignment="1">
      <alignment horizontal="center" vertical="top"/>
    </xf>
    <xf numFmtId="0" fontId="35" fillId="0" borderId="4" xfId="0" applyFont="1" applyBorder="1" applyAlignment="1">
      <alignment vertical="top" wrapText="1" shrinkToFit="1"/>
    </xf>
    <xf numFmtId="4" fontId="32" fillId="0" borderId="4" xfId="0" applyNumberFormat="1" applyFont="1" applyBorder="1" applyAlignment="1">
      <alignment vertical="top"/>
    </xf>
    <xf numFmtId="0" fontId="32" fillId="0" borderId="4" xfId="0" applyFont="1" applyBorder="1" applyAlignment="1">
      <alignment vertical="top" wrapText="1" shrinkToFit="1"/>
    </xf>
    <xf numFmtId="0" fontId="31" fillId="0" borderId="12" xfId="0" applyFont="1" applyBorder="1" applyAlignment="1">
      <alignment horizontal="right" vertical="top"/>
    </xf>
    <xf numFmtId="0" fontId="31" fillId="0" borderId="13" xfId="0" applyFont="1" applyBorder="1" applyAlignment="1">
      <alignment horizontal="right" vertical="top"/>
    </xf>
    <xf numFmtId="0" fontId="31" fillId="0" borderId="14" xfId="0" applyFont="1" applyBorder="1" applyAlignment="1">
      <alignment horizontal="right" vertical="top"/>
    </xf>
    <xf numFmtId="4" fontId="31" fillId="0" borderId="4" xfId="0" applyNumberFormat="1" applyFont="1" applyBorder="1" applyAlignment="1">
      <alignment vertical="top"/>
    </xf>
    <xf numFmtId="0" fontId="33" fillId="0" borderId="12" xfId="0" applyFont="1" applyBorder="1" applyAlignment="1">
      <alignment horizontal="right" vertical="top"/>
    </xf>
    <xf numFmtId="0" fontId="33" fillId="0" borderId="13" xfId="0" applyFont="1" applyBorder="1" applyAlignment="1">
      <alignment horizontal="right" vertical="top"/>
    </xf>
    <xf numFmtId="0" fontId="33" fillId="0" borderId="14" xfId="0" applyFont="1" applyBorder="1" applyAlignment="1">
      <alignment horizontal="right" vertical="top"/>
    </xf>
    <xf numFmtId="184" fontId="34" fillId="0" borderId="0" xfId="0" applyNumberFormat="1" applyFont="1"/>
    <xf numFmtId="0" fontId="32" fillId="0" borderId="0" xfId="0" applyFont="1" applyAlignment="1">
      <alignment horizontal="center"/>
    </xf>
    <xf numFmtId="0" fontId="32" fillId="0" borderId="1" xfId="0" applyFont="1" applyBorder="1" applyAlignment="1">
      <alignment horizontal="center"/>
    </xf>
    <xf numFmtId="176" fontId="32" fillId="0" borderId="14" xfId="2" applyFont="1" applyBorder="1" applyAlignment="1">
      <alignment vertical="top"/>
    </xf>
    <xf numFmtId="4" fontId="32" fillId="0" borderId="14" xfId="0" applyNumberFormat="1" applyFont="1" applyBorder="1" applyAlignment="1">
      <alignment vertical="top"/>
    </xf>
    <xf numFmtId="176" fontId="31" fillId="0" borderId="14" xfId="2" applyFont="1" applyBorder="1" applyAlignment="1">
      <alignment vertical="top"/>
    </xf>
    <xf numFmtId="0" fontId="32" fillId="0" borderId="14" xfId="0" applyFont="1" applyBorder="1"/>
    <xf numFmtId="0" fontId="32" fillId="0" borderId="4" xfId="0" applyFont="1" applyBorder="1"/>
    <xf numFmtId="176" fontId="31" fillId="0" borderId="4" xfId="2" applyFont="1" applyBorder="1" applyAlignment="1">
      <alignment vertical="top"/>
    </xf>
    <xf numFmtId="0" fontId="31" fillId="0" borderId="14" xfId="0" applyFont="1" applyBorder="1"/>
    <xf numFmtId="0" fontId="31" fillId="0" borderId="4" xfId="0" applyFont="1" applyBorder="1"/>
    <xf numFmtId="184" fontId="33" fillId="0" borderId="0" xfId="0" applyNumberFormat="1" applyFont="1"/>
    <xf numFmtId="0" fontId="4" fillId="8" borderId="4" xfId="0" applyFont="1" applyFill="1" applyBorder="1" applyAlignment="1">
      <alignment vertical="top" shrinkToFit="1"/>
    </xf>
    <xf numFmtId="4" fontId="4" fillId="8" borderId="4" xfId="0" applyNumberFormat="1" applyFont="1" applyFill="1" applyBorder="1" applyAlignment="1">
      <alignment vertical="top"/>
    </xf>
    <xf numFmtId="0" fontId="4" fillId="8" borderId="4" xfId="0" applyFont="1" applyFill="1" applyBorder="1" applyAlignment="1">
      <alignment vertical="top" wrapText="1" shrinkToFit="1"/>
    </xf>
    <xf numFmtId="176" fontId="4" fillId="8" borderId="14" xfId="2" applyFont="1" applyFill="1" applyBorder="1" applyAlignment="1">
      <alignment vertical="top"/>
    </xf>
    <xf numFmtId="176" fontId="2" fillId="8" borderId="14" xfId="2" applyFont="1" applyFill="1" applyBorder="1" applyAlignment="1">
      <alignment vertical="top"/>
    </xf>
    <xf numFmtId="176" fontId="13" fillId="0" borderId="0" xfId="2" applyFont="1" applyAlignment="1">
      <alignment shrinkToFit="1"/>
    </xf>
    <xf numFmtId="187" fontId="13" fillId="0" borderId="0" xfId="2" applyNumberFormat="1" applyFont="1"/>
    <xf numFmtId="176" fontId="13" fillId="0" borderId="0" xfId="2" applyFont="1"/>
    <xf numFmtId="176" fontId="7" fillId="0" borderId="0" xfId="2" applyFont="1"/>
    <xf numFmtId="176" fontId="9" fillId="0" borderId="0" xfId="2" applyFont="1" applyFill="1" applyAlignment="1">
      <alignment horizontal="center"/>
    </xf>
    <xf numFmtId="176" fontId="9" fillId="0" borderId="0" xfId="2" applyFont="1" applyFill="1" applyBorder="1" applyAlignment="1">
      <alignment horizontal="center" vertical="center" shrinkToFit="1"/>
    </xf>
    <xf numFmtId="176" fontId="9" fillId="0" borderId="0" xfId="2" applyFont="1" applyFill="1" applyBorder="1" applyAlignment="1">
      <alignment horizontal="center" vertical="center"/>
    </xf>
    <xf numFmtId="176" fontId="9" fillId="0" borderId="1" xfId="2" applyFont="1" applyFill="1" applyBorder="1" applyAlignment="1">
      <alignment horizontal="center" vertical="center"/>
    </xf>
    <xf numFmtId="187" fontId="52" fillId="8" borderId="4" xfId="2" applyNumberFormat="1" applyFont="1" applyFill="1" applyBorder="1" applyAlignment="1">
      <alignment horizontal="center" vertical="center"/>
    </xf>
    <xf numFmtId="176" fontId="52" fillId="8" borderId="4" xfId="2" applyFont="1" applyFill="1" applyBorder="1" applyAlignment="1">
      <alignment horizontal="center" vertical="center"/>
    </xf>
    <xf numFmtId="176" fontId="52" fillId="8" borderId="2" xfId="2" applyFont="1" applyFill="1" applyBorder="1" applyAlignment="1">
      <alignment horizontal="center" vertical="center"/>
    </xf>
    <xf numFmtId="176" fontId="52" fillId="8" borderId="2" xfId="2" applyFont="1" applyFill="1" applyBorder="1" applyAlignment="1">
      <alignment horizontal="center" vertical="center" shrinkToFit="1"/>
    </xf>
    <xf numFmtId="176" fontId="52" fillId="8" borderId="3" xfId="2" applyFont="1" applyFill="1" applyBorder="1" applyAlignment="1">
      <alignment horizontal="center" vertical="center"/>
    </xf>
    <xf numFmtId="187" fontId="5" fillId="0" borderId="4" xfId="2" applyNumberFormat="1" applyFont="1" applyFill="1" applyBorder="1" applyAlignment="1">
      <alignment horizontal="center" vertical="center"/>
    </xf>
    <xf numFmtId="176" fontId="5" fillId="0" borderId="4" xfId="2" applyFont="1" applyFill="1" applyBorder="1" applyAlignment="1">
      <alignment vertical="center"/>
    </xf>
    <xf numFmtId="176" fontId="5" fillId="0" borderId="4" xfId="2" applyFont="1" applyFill="1" applyBorder="1" applyAlignment="1">
      <alignment vertical="center" shrinkToFit="1"/>
    </xf>
    <xf numFmtId="176" fontId="53" fillId="0" borderId="4" xfId="2" applyFont="1" applyBorder="1" applyAlignment="1">
      <alignment horizontal="center"/>
    </xf>
    <xf numFmtId="176" fontId="6" fillId="0" borderId="4" xfId="2" applyFont="1" applyFill="1" applyBorder="1" applyAlignment="1">
      <alignment vertical="center"/>
    </xf>
    <xf numFmtId="176" fontId="5" fillId="0" borderId="12" xfId="2" applyFont="1" applyFill="1" applyBorder="1" applyAlignment="1">
      <alignment vertical="center"/>
    </xf>
    <xf numFmtId="176" fontId="5" fillId="0" borderId="14" xfId="2" applyFont="1" applyFill="1" applyBorder="1" applyAlignment="1">
      <alignment vertical="center" shrinkToFit="1"/>
    </xf>
    <xf numFmtId="176" fontId="7" fillId="8" borderId="2" xfId="2" applyFont="1" applyFill="1" applyBorder="1" applyAlignment="1">
      <alignment horizontal="center" vertical="center" shrinkToFit="1"/>
    </xf>
    <xf numFmtId="176" fontId="7" fillId="8" borderId="3" xfId="2" applyFont="1" applyFill="1" applyBorder="1" applyAlignment="1">
      <alignment horizontal="center" vertical="center" shrinkToFit="1"/>
    </xf>
    <xf numFmtId="176" fontId="7" fillId="0" borderId="4" xfId="2" applyFont="1" applyFill="1" applyBorder="1" applyAlignment="1">
      <alignment horizontal="center" vertical="center" shrinkToFit="1"/>
    </xf>
    <xf numFmtId="176" fontId="13" fillId="0" borderId="0" xfId="2" applyFont="1" applyFill="1"/>
    <xf numFmtId="176" fontId="13" fillId="9" borderId="0" xfId="2" applyFont="1" applyFill="1"/>
    <xf numFmtId="187" fontId="5" fillId="0" borderId="2" xfId="2" applyNumberFormat="1" applyFont="1" applyFill="1" applyBorder="1" applyAlignment="1">
      <alignment horizontal="center" vertical="center"/>
    </xf>
    <xf numFmtId="176" fontId="5" fillId="0" borderId="16" xfId="2" applyFont="1" applyFill="1" applyBorder="1" applyAlignment="1">
      <alignment vertical="center"/>
    </xf>
    <xf numFmtId="176" fontId="5" fillId="0" borderId="6" xfId="2" applyFont="1" applyFill="1" applyBorder="1" applyAlignment="1">
      <alignment vertical="center" shrinkToFit="1"/>
    </xf>
    <xf numFmtId="176" fontId="5" fillId="0" borderId="2" xfId="2" applyFont="1" applyFill="1" applyBorder="1" applyAlignment="1">
      <alignment vertical="center"/>
    </xf>
    <xf numFmtId="176" fontId="6" fillId="0" borderId="2" xfId="2" applyFont="1" applyFill="1" applyBorder="1" applyAlignment="1">
      <alignment vertical="center"/>
    </xf>
    <xf numFmtId="176" fontId="7" fillId="8" borderId="21" xfId="2" applyFont="1" applyFill="1" applyBorder="1" applyAlignment="1">
      <alignment horizontal="center" vertical="center" shrinkToFit="1"/>
    </xf>
    <xf numFmtId="176" fontId="7" fillId="8" borderId="22" xfId="2" applyFont="1" applyFill="1" applyBorder="1" applyAlignment="1">
      <alignment horizontal="center" vertical="center" shrinkToFit="1"/>
    </xf>
    <xf numFmtId="176" fontId="7" fillId="8" borderId="23" xfId="2" applyFont="1" applyFill="1" applyBorder="1" applyAlignment="1">
      <alignment horizontal="center" vertical="center" shrinkToFit="1"/>
    </xf>
    <xf numFmtId="176" fontId="7" fillId="8" borderId="24" xfId="2" applyFont="1" applyFill="1" applyBorder="1" applyAlignment="1">
      <alignment vertical="center" shrinkToFit="1"/>
    </xf>
    <xf numFmtId="187" fontId="6" fillId="0" borderId="0" xfId="2" applyNumberFormat="1" applyFont="1" applyFill="1"/>
    <xf numFmtId="176" fontId="6" fillId="0" borderId="0" xfId="2" applyFont="1" applyFill="1"/>
    <xf numFmtId="176" fontId="6" fillId="0" borderId="0" xfId="2" applyFont="1" applyAlignment="1">
      <alignment horizontal="left" shrinkToFit="1"/>
    </xf>
    <xf numFmtId="176" fontId="7" fillId="0" borderId="2" xfId="2" applyFont="1" applyFill="1" applyBorder="1" applyAlignment="1">
      <alignment horizontal="center" vertical="center" shrinkToFit="1"/>
    </xf>
    <xf numFmtId="176" fontId="7" fillId="0" borderId="2" xfId="2" applyFont="1" applyBorder="1" applyAlignment="1">
      <alignment horizontal="center" vertical="center"/>
    </xf>
    <xf numFmtId="176" fontId="9" fillId="8" borderId="24" xfId="2" applyFont="1" applyFill="1" applyBorder="1" applyAlignment="1">
      <alignment horizontal="center" vertical="center" shrinkToFit="1"/>
    </xf>
    <xf numFmtId="176" fontId="9" fillId="8" borderId="24" xfId="2" applyFont="1" applyFill="1" applyBorder="1" applyAlignment="1">
      <alignment horizontal="center" vertical="center"/>
    </xf>
    <xf numFmtId="0" fontId="54" fillId="0" borderId="0" xfId="0" applyFont="1"/>
    <xf numFmtId="0" fontId="55" fillId="0" borderId="0" xfId="0" applyFont="1" applyAlignment="1">
      <alignment shrinkToFit="1"/>
    </xf>
    <xf numFmtId="0" fontId="30" fillId="0" borderId="0" xfId="0" applyFont="1" applyAlignment="1">
      <alignment shrinkToFit="1"/>
    </xf>
    <xf numFmtId="0" fontId="56" fillId="0" borderId="0" xfId="0" applyFont="1"/>
    <xf numFmtId="176" fontId="30" fillId="0" borderId="0" xfId="2" applyNumberFormat="1" applyFont="1"/>
    <xf numFmtId="0" fontId="55" fillId="0" borderId="0" xfId="0" applyFont="1"/>
    <xf numFmtId="176" fontId="55" fillId="0" borderId="0" xfId="2" applyFont="1"/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57" fillId="14" borderId="4" xfId="0" applyFont="1" applyFill="1" applyBorder="1" applyAlignment="1">
      <alignment horizontal="center" vertical="center"/>
    </xf>
    <xf numFmtId="0" fontId="57" fillId="14" borderId="12" xfId="0" applyFont="1" applyFill="1" applyBorder="1" applyAlignment="1">
      <alignment horizontal="center" vertical="center"/>
    </xf>
    <xf numFmtId="176" fontId="57" fillId="14" borderId="4" xfId="0" applyNumberFormat="1" applyFont="1" applyFill="1" applyBorder="1" applyAlignment="1">
      <alignment horizontal="center" vertical="center"/>
    </xf>
    <xf numFmtId="0" fontId="57" fillId="14" borderId="3" xfId="0" applyFont="1" applyFill="1" applyBorder="1" applyAlignment="1">
      <alignment horizontal="center" vertical="center"/>
    </xf>
    <xf numFmtId="176" fontId="57" fillId="14" borderId="3" xfId="2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3" fillId="0" borderId="4" xfId="0" applyFont="1" applyBorder="1" applyAlignment="1">
      <alignment horizontal="center"/>
    </xf>
    <xf numFmtId="176" fontId="5" fillId="0" borderId="4" xfId="0" applyNumberFormat="1" applyFont="1" applyFill="1" applyBorder="1" applyAlignment="1">
      <alignment vertical="center"/>
    </xf>
    <xf numFmtId="176" fontId="5" fillId="0" borderId="4" xfId="2" applyNumberFormat="1" applyFont="1" applyFill="1" applyBorder="1" applyAlignment="1">
      <alignment vertical="center"/>
    </xf>
    <xf numFmtId="176" fontId="57" fillId="14" borderId="2" xfId="2" applyFont="1" applyFill="1" applyBorder="1" applyAlignment="1">
      <alignment horizontal="center" vertical="center" shrinkToFit="1"/>
    </xf>
    <xf numFmtId="176" fontId="57" fillId="14" borderId="4" xfId="2" applyNumberFormat="1" applyFont="1" applyFill="1" applyBorder="1" applyAlignment="1">
      <alignment horizontal="center" vertical="center"/>
    </xf>
    <xf numFmtId="176" fontId="57" fillId="14" borderId="3" xfId="2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vertical="center"/>
    </xf>
    <xf numFmtId="176" fontId="6" fillId="0" borderId="4" xfId="2" applyFont="1" applyFill="1" applyBorder="1" applyAlignment="1">
      <alignment horizontal="center" vertical="center"/>
    </xf>
    <xf numFmtId="176" fontId="12" fillId="0" borderId="4" xfId="2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/>
    </xf>
    <xf numFmtId="0" fontId="7" fillId="15" borderId="25" xfId="0" applyFont="1" applyFill="1" applyBorder="1" applyAlignment="1">
      <alignment horizontal="right" vertical="center" shrinkToFit="1"/>
    </xf>
    <xf numFmtId="0" fontId="7" fillId="15" borderId="26" xfId="0" applyFont="1" applyFill="1" applyBorder="1" applyAlignment="1">
      <alignment horizontal="right" vertical="center" shrinkToFit="1"/>
    </xf>
    <xf numFmtId="0" fontId="7" fillId="15" borderId="27" xfId="0" applyFont="1" applyFill="1" applyBorder="1" applyAlignment="1">
      <alignment horizontal="right" vertical="center" shrinkToFit="1"/>
    </xf>
    <xf numFmtId="176" fontId="7" fillId="15" borderId="28" xfId="2" applyNumberFormat="1" applyFont="1" applyFill="1" applyBorder="1" applyAlignment="1">
      <alignment vertical="center" shrinkToFit="1"/>
    </xf>
    <xf numFmtId="0" fontId="58" fillId="15" borderId="28" xfId="0" applyFont="1" applyFill="1" applyBorder="1" applyAlignment="1">
      <alignment horizontal="center" vertical="center" shrinkToFit="1"/>
    </xf>
    <xf numFmtId="176" fontId="58" fillId="15" borderId="28" xfId="2" applyNumberFormat="1" applyFont="1" applyFill="1" applyBorder="1" applyAlignment="1">
      <alignment vertical="center" shrinkToFit="1"/>
    </xf>
    <xf numFmtId="176" fontId="58" fillId="15" borderId="29" xfId="2" applyNumberFormat="1" applyFont="1" applyFill="1" applyBorder="1" applyAlignment="1">
      <alignment vertical="center" shrinkToFit="1"/>
    </xf>
    <xf numFmtId="176" fontId="58" fillId="15" borderId="30" xfId="2" applyNumberFormat="1" applyFont="1" applyFill="1" applyBorder="1" applyAlignment="1">
      <alignment vertical="center" shrinkToFit="1"/>
    </xf>
    <xf numFmtId="0" fontId="56" fillId="0" borderId="0" xfId="0" applyFont="1" applyAlignment="1">
      <alignment shrinkToFit="1"/>
    </xf>
    <xf numFmtId="176" fontId="56" fillId="0" borderId="0" xfId="2" applyNumberFormat="1" applyFont="1"/>
    <xf numFmtId="176" fontId="56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shrinkToFit="1"/>
    </xf>
    <xf numFmtId="0" fontId="6" fillId="0" borderId="0" xfId="0" applyFont="1" applyAlignment="1">
      <alignment shrinkToFit="1"/>
    </xf>
    <xf numFmtId="176" fontId="6" fillId="0" borderId="0" xfId="2" applyNumberFormat="1" applyFont="1"/>
    <xf numFmtId="176" fontId="7" fillId="15" borderId="28" xfId="2" applyFont="1" applyFill="1" applyBorder="1" applyAlignment="1">
      <alignment horizontal="center" vertical="center" shrinkToFit="1"/>
    </xf>
    <xf numFmtId="176" fontId="59" fillId="15" borderId="30" xfId="2" applyNumberFormat="1" applyFont="1" applyFill="1" applyBorder="1" applyAlignment="1">
      <alignment vertical="center" shrinkToFit="1"/>
    </xf>
    <xf numFmtId="176" fontId="58" fillId="15" borderId="28" xfId="2" applyFont="1" applyFill="1" applyBorder="1" applyAlignment="1">
      <alignment horizontal="center" vertical="center" shrinkToFit="1"/>
    </xf>
    <xf numFmtId="0" fontId="60" fillId="0" borderId="0" xfId="0" applyFont="1"/>
    <xf numFmtId="176" fontId="56" fillId="0" borderId="0" xfId="2" applyFont="1"/>
    <xf numFmtId="176" fontId="6" fillId="0" borderId="0" xfId="0" applyNumberFormat="1" applyFont="1"/>
    <xf numFmtId="176" fontId="6" fillId="0" borderId="0" xfId="2" applyFont="1"/>
    <xf numFmtId="176" fontId="30" fillId="0" borderId="0" xfId="0" applyNumberFormat="1" applyFont="1"/>
    <xf numFmtId="176" fontId="55" fillId="0" borderId="0" xfId="0" applyNumberFormat="1" applyFont="1"/>
    <xf numFmtId="0" fontId="2" fillId="0" borderId="0" xfId="0" applyFont="1" applyFill="1" applyAlignment="1">
      <alignment horizontal="center" vertical="top"/>
    </xf>
    <xf numFmtId="4" fontId="5" fillId="8" borderId="4" xfId="0" applyNumberFormat="1" applyFont="1" applyFill="1" applyBorder="1" applyAlignment="1">
      <alignment vertical="top" wrapText="1"/>
    </xf>
    <xf numFmtId="4" fontId="5" fillId="8" borderId="4" xfId="0" applyNumberFormat="1" applyFont="1" applyFill="1" applyBorder="1" applyAlignment="1">
      <alignment vertical="top"/>
    </xf>
    <xf numFmtId="0" fontId="2" fillId="0" borderId="4" xfId="0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center" vertical="top" wrapText="1" shrinkToFit="1"/>
    </xf>
    <xf numFmtId="0" fontId="4" fillId="0" borderId="4" xfId="0" applyFont="1" applyFill="1" applyBorder="1" applyAlignment="1">
      <alignment horizontal="left" vertical="top" wrapText="1"/>
    </xf>
    <xf numFmtId="0" fontId="4" fillId="8" borderId="4" xfId="51" applyFont="1" applyFill="1" applyBorder="1" applyAlignment="1">
      <alignment vertical="top" wrapText="1"/>
    </xf>
    <xf numFmtId="0" fontId="5" fillId="8" borderId="4" xfId="0" applyFont="1" applyFill="1" applyBorder="1" applyAlignment="1">
      <alignment vertical="top" wrapText="1"/>
    </xf>
    <xf numFmtId="0" fontId="4" fillId="0" borderId="4" xfId="50" applyFont="1" applyFill="1" applyBorder="1" applyAlignment="1">
      <alignment vertical="top" wrapText="1"/>
    </xf>
    <xf numFmtId="2" fontId="5" fillId="8" borderId="4" xfId="0" applyNumberFormat="1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61" fillId="0" borderId="4" xfId="0" applyFont="1" applyFill="1" applyBorder="1" applyAlignment="1">
      <alignment vertical="top" wrapText="1"/>
    </xf>
    <xf numFmtId="0" fontId="4" fillId="0" borderId="4" xfId="5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right" vertical="top"/>
    </xf>
    <xf numFmtId="4" fontId="2" fillId="0" borderId="4" xfId="0" applyNumberFormat="1" applyFont="1" applyFill="1" applyBorder="1" applyAlignment="1">
      <alignment horizontal="right" vertical="top"/>
    </xf>
    <xf numFmtId="0" fontId="4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4" fontId="4" fillId="0" borderId="4" xfId="0" applyNumberFormat="1" applyFont="1" applyFill="1" applyBorder="1" applyAlignment="1">
      <alignment horizontal="right" vertical="top"/>
    </xf>
    <xf numFmtId="176" fontId="4" fillId="8" borderId="4" xfId="2" applyFont="1" applyFill="1" applyBorder="1" applyAlignment="1">
      <alignment vertical="top"/>
    </xf>
    <xf numFmtId="176" fontId="2" fillId="0" borderId="4" xfId="0" applyNumberFormat="1" applyFont="1" applyFill="1" applyBorder="1" applyAlignment="1">
      <alignment vertical="top"/>
    </xf>
    <xf numFmtId="176" fontId="2" fillId="0" borderId="4" xfId="2" applyFont="1" applyFill="1" applyBorder="1" applyAlignment="1">
      <alignment horizontal="right" vertical="top"/>
    </xf>
    <xf numFmtId="176" fontId="2" fillId="0" borderId="4" xfId="2" applyFont="1" applyFill="1" applyBorder="1" applyAlignment="1">
      <alignment horizontal="center" vertical="top" wrapText="1"/>
    </xf>
    <xf numFmtId="176" fontId="4" fillId="0" borderId="4" xfId="2" applyFont="1" applyFill="1" applyBorder="1" applyAlignment="1">
      <alignment horizontal="right" vertical="top"/>
    </xf>
    <xf numFmtId="176" fontId="2" fillId="0" borderId="4" xfId="2" applyFont="1" applyFill="1" applyBorder="1" applyAlignment="1">
      <alignment horizontal="left" vertical="top" wrapText="1" shrinkToFit="1"/>
    </xf>
    <xf numFmtId="176" fontId="2" fillId="0" borderId="14" xfId="2" applyFont="1" applyFill="1" applyBorder="1" applyAlignment="1">
      <alignment horizontal="left" vertical="top" wrapText="1" shrinkToFit="1"/>
    </xf>
    <xf numFmtId="176" fontId="2" fillId="0" borderId="4" xfId="2" applyFont="1" applyFill="1" applyBorder="1" applyAlignment="1">
      <alignment horizontal="right" vertic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center" shrinkToFit="1"/>
    </xf>
    <xf numFmtId="0" fontId="17" fillId="0" borderId="0" xfId="0" applyFont="1" applyBorder="1" applyAlignment="1">
      <alignment vertical="top"/>
    </xf>
    <xf numFmtId="176" fontId="5" fillId="0" borderId="0" xfId="2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 shrinkToFi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176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176" fontId="1" fillId="0" borderId="1" xfId="0" applyNumberFormat="1" applyFont="1" applyBorder="1" applyAlignment="1">
      <alignment horizontal="center" vertical="top"/>
    </xf>
    <xf numFmtId="0" fontId="2" fillId="16" borderId="4" xfId="0" applyFont="1" applyFill="1" applyBorder="1" applyAlignment="1">
      <alignment horizontal="center" vertical="top" shrinkToFit="1"/>
    </xf>
    <xf numFmtId="0" fontId="2" fillId="16" borderId="4" xfId="0" applyFont="1" applyFill="1" applyBorder="1" applyAlignment="1">
      <alignment horizontal="center" vertical="center" shrinkToFit="1"/>
    </xf>
    <xf numFmtId="0" fontId="2" fillId="16" borderId="4" xfId="0" applyFont="1" applyFill="1" applyBorder="1" applyAlignment="1">
      <alignment horizontal="center" vertical="center" wrapText="1"/>
    </xf>
    <xf numFmtId="176" fontId="62" fillId="16" borderId="12" xfId="2" applyFont="1" applyFill="1" applyBorder="1" applyAlignment="1">
      <alignment horizontal="center" vertical="center" shrinkToFit="1"/>
    </xf>
    <xf numFmtId="176" fontId="62" fillId="16" borderId="13" xfId="2" applyFont="1" applyFill="1" applyBorder="1" applyAlignment="1">
      <alignment horizontal="center" vertical="center" shrinkToFit="1"/>
    </xf>
    <xf numFmtId="176" fontId="62" fillId="16" borderId="14" xfId="2" applyFont="1" applyFill="1" applyBorder="1" applyAlignment="1">
      <alignment horizontal="center" vertical="center" shrinkToFit="1"/>
    </xf>
    <xf numFmtId="176" fontId="62" fillId="16" borderId="2" xfId="2" applyFont="1" applyFill="1" applyBorder="1" applyAlignment="1">
      <alignment horizontal="center" vertical="center" shrinkToFit="1"/>
    </xf>
    <xf numFmtId="176" fontId="62" fillId="16" borderId="7" xfId="2" applyFont="1" applyFill="1" applyBorder="1" applyAlignment="1">
      <alignment horizontal="center" vertical="center" shrinkToFit="1"/>
    </xf>
    <xf numFmtId="176" fontId="6" fillId="16" borderId="7" xfId="2" applyFont="1" applyFill="1" applyBorder="1" applyAlignment="1">
      <alignment horizontal="center" vertical="center" wrapText="1"/>
    </xf>
    <xf numFmtId="49" fontId="6" fillId="16" borderId="3" xfId="2" applyNumberFormat="1" applyFont="1" applyFill="1" applyBorder="1" applyAlignment="1">
      <alignment horizontal="center" vertical="center" shrinkToFit="1"/>
    </xf>
    <xf numFmtId="49" fontId="6" fillId="16" borderId="3" xfId="2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176" fontId="4" fillId="0" borderId="4" xfId="2" applyFont="1" applyBorder="1" applyAlignment="1">
      <alignment vertical="top"/>
    </xf>
    <xf numFmtId="0" fontId="1" fillId="0" borderId="4" xfId="0" applyFont="1" applyBorder="1" applyAlignment="1">
      <alignment horizontal="right" vertical="center" shrinkToFit="1"/>
    </xf>
    <xf numFmtId="176" fontId="1" fillId="0" borderId="4" xfId="2" applyFont="1" applyBorder="1" applyAlignment="1">
      <alignment horizontal="right" vertical="center" shrinkToFit="1"/>
    </xf>
    <xf numFmtId="0" fontId="9" fillId="0" borderId="17" xfId="2" applyNumberFormat="1" applyFont="1" applyBorder="1" applyAlignment="1">
      <alignment horizontal="left" vertical="top" shrinkToFit="1"/>
    </xf>
    <xf numFmtId="0" fontId="6" fillId="0" borderId="0" xfId="2" applyNumberFormat="1" applyFont="1" applyBorder="1" applyAlignment="1">
      <alignment horizontal="center" vertical="top" shrinkToFit="1"/>
    </xf>
    <xf numFmtId="0" fontId="6" fillId="0" borderId="0" xfId="2" applyNumberFormat="1" applyFont="1" applyBorder="1" applyAlignment="1">
      <alignment horizontal="left" vertical="top" shrinkToFit="1"/>
    </xf>
    <xf numFmtId="176" fontId="6" fillId="0" borderId="0" xfId="2" applyFont="1" applyBorder="1" applyAlignment="1">
      <alignment horizontal="left" vertical="top" wrapText="1" shrinkToFit="1"/>
    </xf>
    <xf numFmtId="176" fontId="6" fillId="0" borderId="0" xfId="2" applyFont="1" applyBorder="1" applyAlignment="1">
      <alignment horizontal="left" vertical="top" wrapText="1"/>
    </xf>
    <xf numFmtId="0" fontId="5" fillId="0" borderId="0" xfId="2" applyNumberFormat="1" applyFont="1" applyBorder="1" applyAlignment="1">
      <alignment horizontal="center" vertical="top"/>
    </xf>
    <xf numFmtId="0" fontId="6" fillId="0" borderId="0" xfId="2" applyNumberFormat="1" applyFont="1" applyBorder="1" applyAlignment="1">
      <alignment vertical="top" wrapText="1" shrinkToFit="1"/>
    </xf>
    <xf numFmtId="0" fontId="6" fillId="0" borderId="0" xfId="2" applyNumberFormat="1" applyFont="1" applyBorder="1" applyAlignment="1">
      <alignment vertical="top" wrapText="1"/>
    </xf>
    <xf numFmtId="176" fontId="6" fillId="0" borderId="0" xfId="2" applyFont="1" applyBorder="1" applyAlignment="1">
      <alignment vertical="top"/>
    </xf>
    <xf numFmtId="2" fontId="4" fillId="0" borderId="0" xfId="0" applyNumberFormat="1" applyFont="1" applyBorder="1" applyAlignment="1">
      <alignment vertical="top"/>
    </xf>
    <xf numFmtId="184" fontId="4" fillId="0" borderId="0" xfId="0" applyNumberFormat="1" applyFont="1" applyBorder="1" applyAlignment="1">
      <alignment vertical="top"/>
    </xf>
    <xf numFmtId="0" fontId="2" fillId="16" borderId="2" xfId="0" applyFont="1" applyFill="1" applyBorder="1" applyAlignment="1">
      <alignment horizontal="center" vertical="top" shrinkToFit="1"/>
    </xf>
    <xf numFmtId="0" fontId="2" fillId="16" borderId="7" xfId="0" applyFont="1" applyFill="1" applyBorder="1" applyAlignment="1">
      <alignment horizontal="center" vertical="top" shrinkToFit="1"/>
    </xf>
    <xf numFmtId="176" fontId="6" fillId="16" borderId="3" xfId="2" applyFont="1" applyFill="1" applyBorder="1" applyAlignment="1">
      <alignment horizontal="center" vertical="center"/>
    </xf>
    <xf numFmtId="176" fontId="6" fillId="16" borderId="3" xfId="2" applyFont="1" applyFill="1" applyBorder="1" applyAlignment="1">
      <alignment horizontal="center" vertical="center" shrinkToFit="1"/>
    </xf>
    <xf numFmtId="176" fontId="2" fillId="0" borderId="4" xfId="2" applyFont="1" applyBorder="1" applyAlignment="1">
      <alignment vertical="top"/>
    </xf>
    <xf numFmtId="176" fontId="4" fillId="0" borderId="0" xfId="0" applyNumberFormat="1" applyFont="1" applyBorder="1" applyAlignment="1">
      <alignment vertical="top"/>
    </xf>
    <xf numFmtId="176" fontId="1" fillId="0" borderId="4" xfId="2" applyFont="1" applyBorder="1" applyAlignment="1">
      <alignment vertical="center"/>
    </xf>
    <xf numFmtId="176" fontId="17" fillId="0" borderId="0" xfId="0" applyNumberFormat="1" applyFont="1" applyBorder="1" applyAlignment="1">
      <alignment vertical="top"/>
    </xf>
    <xf numFmtId="176" fontId="12" fillId="0" borderId="0" xfId="2" applyFont="1" applyBorder="1" applyAlignment="1">
      <alignment horizontal="left" vertical="top" wrapText="1" shrinkToFit="1"/>
    </xf>
    <xf numFmtId="0" fontId="12" fillId="0" borderId="0" xfId="0" applyFont="1" applyBorder="1" applyAlignment="1">
      <alignment vertical="top"/>
    </xf>
    <xf numFmtId="176" fontId="12" fillId="0" borderId="0" xfId="2" applyFont="1" applyBorder="1" applyAlignment="1">
      <alignment vertical="top"/>
    </xf>
    <xf numFmtId="176" fontId="12" fillId="0" borderId="0" xfId="0" applyNumberFormat="1" applyFont="1" applyBorder="1" applyAlignment="1">
      <alignment vertical="top"/>
    </xf>
    <xf numFmtId="176" fontId="2" fillId="0" borderId="0" xfId="0" applyNumberFormat="1" applyFont="1" applyBorder="1" applyAlignment="1">
      <alignment horizontal="right" vertical="center" shrinkToFit="1"/>
    </xf>
    <xf numFmtId="2" fontId="17" fillId="0" borderId="0" xfId="0" applyNumberFormat="1" applyFont="1" applyBorder="1" applyAlignment="1">
      <alignment vertical="top"/>
    </xf>
    <xf numFmtId="2" fontId="2" fillId="0" borderId="0" xfId="0" applyNumberFormat="1" applyFont="1" applyBorder="1" applyAlignment="1">
      <alignment vertical="top"/>
    </xf>
    <xf numFmtId="176" fontId="2" fillId="0" borderId="0" xfId="2" applyFont="1" applyBorder="1" applyAlignment="1">
      <alignment vertical="top"/>
    </xf>
    <xf numFmtId="176" fontId="2" fillId="0" borderId="0" xfId="0" applyNumberFormat="1" applyFont="1" applyBorder="1" applyAlignment="1">
      <alignment vertical="top"/>
    </xf>
    <xf numFmtId="176" fontId="5" fillId="0" borderId="0" xfId="2" applyFont="1" applyBorder="1" applyAlignment="1">
      <alignment horizontal="right" vertical="center"/>
    </xf>
    <xf numFmtId="176" fontId="5" fillId="0" borderId="0" xfId="2" applyFont="1" applyFill="1" applyBorder="1" applyAlignment="1">
      <alignment vertical="top"/>
    </xf>
    <xf numFmtId="176" fontId="6" fillId="0" borderId="0" xfId="2" applyFont="1" applyFill="1" applyBorder="1" applyAlignment="1">
      <alignment vertical="center"/>
    </xf>
    <xf numFmtId="176" fontId="6" fillId="0" borderId="0" xfId="2" applyFont="1" applyFill="1" applyBorder="1" applyAlignment="1">
      <alignment vertical="center" shrinkToFit="1"/>
    </xf>
    <xf numFmtId="176" fontId="63" fillId="0" borderId="0" xfId="2" applyFont="1" applyFill="1" applyBorder="1" applyAlignment="1">
      <alignment vertical="center" shrinkToFit="1"/>
    </xf>
    <xf numFmtId="176" fontId="6" fillId="0" borderId="0" xfId="2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0" fontId="5" fillId="0" borderId="0" xfId="2" applyNumberFormat="1" applyFont="1" applyBorder="1" applyAlignment="1">
      <alignment vertical="top"/>
    </xf>
    <xf numFmtId="0" fontId="6" fillId="0" borderId="0" xfId="2" applyNumberFormat="1" applyFont="1" applyBorder="1" applyAlignment="1">
      <alignment vertical="top"/>
    </xf>
    <xf numFmtId="0" fontId="5" fillId="0" borderId="0" xfId="2" applyNumberFormat="1" applyFont="1" applyBorder="1" applyAlignment="1">
      <alignment horizontal="right" vertical="top"/>
    </xf>
    <xf numFmtId="176" fontId="5" fillId="0" borderId="0" xfId="2" applyFont="1" applyBorder="1" applyAlignment="1">
      <alignment vertical="top" wrapText="1"/>
    </xf>
    <xf numFmtId="176" fontId="7" fillId="0" borderId="0" xfId="2" applyFont="1" applyBorder="1" applyAlignment="1">
      <alignment horizontal="center" vertical="center"/>
    </xf>
    <xf numFmtId="176" fontId="7" fillId="0" borderId="1" xfId="2" applyFont="1" applyBorder="1" applyAlignment="1">
      <alignment horizontal="center" vertical="center"/>
    </xf>
    <xf numFmtId="0" fontId="6" fillId="16" borderId="2" xfId="2" applyNumberFormat="1" applyFont="1" applyFill="1" applyBorder="1" applyAlignment="1">
      <alignment horizontal="center" vertical="center"/>
    </xf>
    <xf numFmtId="0" fontId="6" fillId="16" borderId="2" xfId="2" applyNumberFormat="1" applyFont="1" applyFill="1" applyBorder="1" applyAlignment="1">
      <alignment horizontal="center" vertical="center" wrapText="1"/>
    </xf>
    <xf numFmtId="176" fontId="6" fillId="16" borderId="16" xfId="2" applyFont="1" applyFill="1" applyBorder="1" applyAlignment="1">
      <alignment horizontal="center" vertical="center"/>
    </xf>
    <xf numFmtId="176" fontId="6" fillId="16" borderId="6" xfId="2" applyFont="1" applyFill="1" applyBorder="1" applyAlignment="1">
      <alignment horizontal="center" vertical="center"/>
    </xf>
    <xf numFmtId="176" fontId="6" fillId="16" borderId="12" xfId="2" applyFont="1" applyFill="1" applyBorder="1" applyAlignment="1">
      <alignment horizontal="center" vertical="center"/>
    </xf>
    <xf numFmtId="176" fontId="6" fillId="16" borderId="13" xfId="2" applyFont="1" applyFill="1" applyBorder="1" applyAlignment="1">
      <alignment horizontal="center" vertical="center"/>
    </xf>
    <xf numFmtId="176" fontId="6" fillId="16" borderId="14" xfId="2" applyFont="1" applyFill="1" applyBorder="1" applyAlignment="1">
      <alignment horizontal="center" vertical="center"/>
    </xf>
    <xf numFmtId="176" fontId="6" fillId="16" borderId="2" xfId="2" applyFont="1" applyFill="1" applyBorder="1" applyAlignment="1">
      <alignment horizontal="center" vertical="center"/>
    </xf>
    <xf numFmtId="0" fontId="6" fillId="16" borderId="7" xfId="2" applyNumberFormat="1" applyFont="1" applyFill="1" applyBorder="1" applyAlignment="1">
      <alignment horizontal="center" vertical="center"/>
    </xf>
    <xf numFmtId="0" fontId="6" fillId="16" borderId="7" xfId="2" applyNumberFormat="1" applyFont="1" applyFill="1" applyBorder="1" applyAlignment="1">
      <alignment horizontal="center" vertical="center" wrapText="1"/>
    </xf>
    <xf numFmtId="176" fontId="6" fillId="16" borderId="19" xfId="2" applyFont="1" applyFill="1" applyBorder="1" applyAlignment="1">
      <alignment horizontal="center" vertical="center"/>
    </xf>
    <xf numFmtId="176" fontId="6" fillId="16" borderId="9" xfId="2" applyFont="1" applyFill="1" applyBorder="1" applyAlignment="1">
      <alignment horizontal="center" vertical="center"/>
    </xf>
    <xf numFmtId="176" fontId="6" fillId="16" borderId="7" xfId="2" applyFont="1" applyFill="1" applyBorder="1" applyAlignment="1">
      <alignment horizontal="center" vertical="center"/>
    </xf>
    <xf numFmtId="0" fontId="6" fillId="16" borderId="3" xfId="2" applyNumberFormat="1" applyFont="1" applyFill="1" applyBorder="1" applyAlignment="1">
      <alignment horizontal="center" vertical="center"/>
    </xf>
    <xf numFmtId="0" fontId="6" fillId="16" borderId="3" xfId="2" applyNumberFormat="1" applyFont="1" applyFill="1" applyBorder="1" applyAlignment="1">
      <alignment horizontal="center" vertical="center" wrapText="1"/>
    </xf>
    <xf numFmtId="176" fontId="6" fillId="16" borderId="18" xfId="2" applyFont="1" applyFill="1" applyBorder="1" applyAlignment="1">
      <alignment horizontal="center" vertical="center"/>
    </xf>
    <xf numFmtId="176" fontId="6" fillId="16" borderId="11" xfId="2" applyFont="1" applyFill="1" applyBorder="1" applyAlignment="1">
      <alignment horizontal="center" vertical="center"/>
    </xf>
    <xf numFmtId="176" fontId="64" fillId="16" borderId="3" xfId="2" applyFont="1" applyFill="1" applyBorder="1" applyAlignment="1">
      <alignment horizontal="center" vertical="center"/>
    </xf>
    <xf numFmtId="0" fontId="5" fillId="0" borderId="4" xfId="2" applyNumberFormat="1" applyFont="1" applyBorder="1" applyAlignment="1">
      <alignment horizontal="right" vertical="top" wrapText="1"/>
    </xf>
    <xf numFmtId="0" fontId="6" fillId="0" borderId="4" xfId="2" applyNumberFormat="1" applyFont="1" applyFill="1" applyBorder="1" applyAlignment="1">
      <alignment horizontal="right" vertical="center" wrapText="1"/>
    </xf>
    <xf numFmtId="0" fontId="5" fillId="0" borderId="4" xfId="2" applyNumberFormat="1" applyFont="1" applyBorder="1" applyAlignment="1">
      <alignment horizontal="left" vertical="top" wrapText="1"/>
    </xf>
    <xf numFmtId="176" fontId="5" fillId="0" borderId="4" xfId="2" applyFont="1" applyFill="1" applyBorder="1" applyAlignment="1">
      <alignment horizontal="right" vertical="top" wrapText="1" shrinkToFit="1"/>
    </xf>
    <xf numFmtId="176" fontId="5" fillId="0" borderId="4" xfId="2" applyFont="1" applyFill="1" applyBorder="1" applyAlignment="1">
      <alignment horizontal="right" vertical="top"/>
    </xf>
    <xf numFmtId="176" fontId="5" fillId="0" borderId="4" xfId="2" applyFont="1" applyBorder="1" applyAlignment="1">
      <alignment horizontal="right" vertical="top"/>
    </xf>
    <xf numFmtId="0" fontId="6" fillId="0" borderId="4" xfId="2" applyNumberFormat="1" applyFont="1" applyBorder="1" applyAlignment="1">
      <alignment vertical="top" wrapText="1"/>
    </xf>
    <xf numFmtId="176" fontId="6" fillId="0" borderId="4" xfId="2" applyFont="1" applyFill="1" applyBorder="1" applyAlignment="1">
      <alignment vertical="top"/>
    </xf>
    <xf numFmtId="0" fontId="5" fillId="0" borderId="4" xfId="2" applyNumberFormat="1" applyFont="1" applyFill="1" applyBorder="1" applyAlignment="1">
      <alignment vertical="top" wrapText="1"/>
    </xf>
    <xf numFmtId="182" fontId="5" fillId="0" borderId="12" xfId="2" applyNumberFormat="1" applyFont="1" applyFill="1" applyBorder="1" applyAlignment="1">
      <alignment horizontal="right" vertical="top" wrapText="1"/>
    </xf>
    <xf numFmtId="0" fontId="5" fillId="0" borderId="14" xfId="0" applyFont="1" applyBorder="1" applyAlignment="1">
      <alignment vertical="top" wrapText="1"/>
    </xf>
    <xf numFmtId="176" fontId="5" fillId="0" borderId="4" xfId="2" applyFont="1" applyFill="1" applyBorder="1" applyAlignment="1">
      <alignment vertical="top"/>
    </xf>
    <xf numFmtId="2" fontId="5" fillId="0" borderId="12" xfId="2" applyNumberFormat="1" applyFont="1" applyFill="1" applyBorder="1" applyAlignment="1">
      <alignment horizontal="right" vertical="top" wrapText="1"/>
    </xf>
    <xf numFmtId="0" fontId="4" fillId="0" borderId="14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 shrinkToFit="1"/>
    </xf>
    <xf numFmtId="0" fontId="4" fillId="0" borderId="14" xfId="50" applyFont="1" applyBorder="1" applyAlignment="1">
      <alignment vertical="top" wrapText="1"/>
    </xf>
    <xf numFmtId="176" fontId="4" fillId="0" borderId="4" xfId="2" applyFont="1" applyFill="1" applyBorder="1" applyAlignment="1">
      <alignment horizontal="left" vertical="top"/>
    </xf>
    <xf numFmtId="0" fontId="6" fillId="0" borderId="4" xfId="2" applyNumberFormat="1" applyFont="1" applyFill="1" applyBorder="1" applyAlignment="1">
      <alignment vertical="center" wrapText="1"/>
    </xf>
    <xf numFmtId="176" fontId="6" fillId="0" borderId="4" xfId="2" applyNumberFormat="1" applyFont="1" applyFill="1" applyBorder="1" applyAlignment="1">
      <alignment vertical="center" wrapText="1"/>
    </xf>
    <xf numFmtId="49" fontId="5" fillId="0" borderId="12" xfId="0" applyNumberFormat="1" applyFont="1" applyFill="1" applyBorder="1" applyAlignment="1">
      <alignment horizontal="right" vertical="top" wrapText="1"/>
    </xf>
    <xf numFmtId="176" fontId="5" fillId="17" borderId="4" xfId="2" applyFont="1" applyFill="1" applyBorder="1" applyAlignment="1">
      <alignment horizontal="right" vertical="top"/>
    </xf>
    <xf numFmtId="176" fontId="6" fillId="0" borderId="4" xfId="2" applyFont="1" applyFill="1" applyBorder="1" applyAlignment="1">
      <alignment horizontal="right" vertical="center" shrinkToFit="1"/>
    </xf>
    <xf numFmtId="176" fontId="63" fillId="0" borderId="4" xfId="2" applyFont="1" applyFill="1" applyBorder="1" applyAlignment="1">
      <alignment horizontal="right" vertical="center" shrinkToFit="1"/>
    </xf>
    <xf numFmtId="176" fontId="6" fillId="0" borderId="12" xfId="2" applyFont="1" applyFill="1" applyBorder="1" applyAlignment="1">
      <alignment horizontal="right" vertical="top"/>
    </xf>
    <xf numFmtId="176" fontId="6" fillId="0" borderId="13" xfId="2" applyFont="1" applyFill="1" applyBorder="1" applyAlignment="1">
      <alignment horizontal="right" vertical="top"/>
    </xf>
    <xf numFmtId="176" fontId="6" fillId="0" borderId="14" xfId="2" applyFont="1" applyFill="1" applyBorder="1" applyAlignment="1">
      <alignment horizontal="right" vertical="top"/>
    </xf>
    <xf numFmtId="176" fontId="6" fillId="0" borderId="4" xfId="2" applyFont="1" applyFill="1" applyBorder="1" applyAlignment="1">
      <alignment horizontal="right" vertical="top"/>
    </xf>
    <xf numFmtId="0" fontId="6" fillId="16" borderId="2" xfId="0" applyFont="1" applyFill="1" applyBorder="1" applyAlignment="1">
      <alignment horizontal="center" vertical="center"/>
    </xf>
    <xf numFmtId="0" fontId="6" fillId="16" borderId="2" xfId="0" applyFont="1" applyFill="1" applyBorder="1" applyAlignment="1">
      <alignment horizontal="center" vertical="top"/>
    </xf>
    <xf numFmtId="0" fontId="6" fillId="16" borderId="2" xfId="0" applyFont="1" applyFill="1" applyBorder="1" applyAlignment="1">
      <alignment vertical="top"/>
    </xf>
    <xf numFmtId="176" fontId="6" fillId="16" borderId="2" xfId="2" applyFont="1" applyFill="1" applyBorder="1" applyAlignment="1">
      <alignment horizontal="center" vertical="top" wrapText="1"/>
    </xf>
    <xf numFmtId="0" fontId="6" fillId="16" borderId="7" xfId="0" applyFont="1" applyFill="1" applyBorder="1" applyAlignment="1">
      <alignment horizontal="center" vertical="center"/>
    </xf>
    <xf numFmtId="0" fontId="6" fillId="16" borderId="7" xfId="0" applyFont="1" applyFill="1" applyBorder="1" applyAlignment="1">
      <alignment horizontal="center" vertical="top"/>
    </xf>
    <xf numFmtId="0" fontId="6" fillId="16" borderId="7" xfId="0" applyFont="1" applyFill="1" applyBorder="1" applyAlignment="1">
      <alignment vertical="top"/>
    </xf>
    <xf numFmtId="176" fontId="6" fillId="16" borderId="7" xfId="2" applyFont="1" applyFill="1" applyBorder="1" applyAlignment="1">
      <alignment horizontal="center" vertical="top" wrapText="1"/>
    </xf>
    <xf numFmtId="0" fontId="6" fillId="16" borderId="3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center" vertical="top"/>
    </xf>
    <xf numFmtId="0" fontId="6" fillId="16" borderId="3" xfId="0" applyFont="1" applyFill="1" applyBorder="1" applyAlignment="1">
      <alignment vertical="top"/>
    </xf>
    <xf numFmtId="176" fontId="6" fillId="16" borderId="3" xfId="2" applyFont="1" applyFill="1" applyBorder="1" applyAlignment="1">
      <alignment horizontal="center" vertical="top" wrapText="1"/>
    </xf>
    <xf numFmtId="176" fontId="6" fillId="0" borderId="4" xfId="2" applyFont="1" applyBorder="1" applyAlignment="1">
      <alignment horizontal="right" vertical="top"/>
    </xf>
    <xf numFmtId="176" fontId="6" fillId="0" borderId="4" xfId="2" applyFont="1" applyBorder="1" applyAlignment="1">
      <alignment horizontal="right" vertical="center"/>
    </xf>
    <xf numFmtId="176" fontId="5" fillId="0" borderId="4" xfId="2" applyFont="1" applyBorder="1" applyAlignment="1">
      <alignment horizontal="right" vertical="center" wrapText="1"/>
    </xf>
    <xf numFmtId="176" fontId="6" fillId="0" borderId="4" xfId="2" applyFont="1" applyBorder="1" applyAlignment="1">
      <alignment vertical="top"/>
    </xf>
    <xf numFmtId="176" fontId="6" fillId="0" borderId="4" xfId="2" applyFont="1" applyBorder="1" applyAlignment="1">
      <alignment vertical="top" wrapText="1"/>
    </xf>
    <xf numFmtId="176" fontId="5" fillId="0" borderId="4" xfId="2" applyFont="1" applyBorder="1" applyAlignment="1">
      <alignment vertical="top"/>
    </xf>
    <xf numFmtId="176" fontId="12" fillId="0" borderId="4" xfId="2" applyFont="1" applyFill="1" applyBorder="1" applyAlignment="1">
      <alignment vertical="top" wrapText="1"/>
    </xf>
    <xf numFmtId="176" fontId="6" fillId="0" borderId="4" xfId="2" applyFont="1" applyFill="1" applyBorder="1" applyAlignment="1">
      <alignment vertical="top" wrapText="1"/>
    </xf>
    <xf numFmtId="176" fontId="6" fillId="0" borderId="4" xfId="2" applyFont="1" applyBorder="1" applyAlignment="1">
      <alignment vertical="center"/>
    </xf>
    <xf numFmtId="176" fontId="6" fillId="0" borderId="4" xfId="2" applyFont="1" applyFill="1" applyBorder="1" applyAlignment="1">
      <alignment vertical="center" wrapText="1"/>
    </xf>
    <xf numFmtId="176" fontId="6" fillId="0" borderId="4" xfId="2" applyFont="1" applyFill="1" applyBorder="1" applyAlignment="1">
      <alignment vertical="top" wrapText="1" shrinkToFit="1"/>
    </xf>
    <xf numFmtId="176" fontId="5" fillId="0" borderId="4" xfId="2" applyFont="1" applyFill="1" applyBorder="1" applyAlignment="1">
      <alignment vertical="top" wrapText="1"/>
    </xf>
    <xf numFmtId="186" fontId="5" fillId="0" borderId="4" xfId="2" applyNumberFormat="1" applyFont="1" applyFill="1" applyBorder="1" applyAlignment="1">
      <alignment vertical="top" wrapText="1"/>
    </xf>
    <xf numFmtId="176" fontId="6" fillId="0" borderId="4" xfId="2" applyFont="1" applyFill="1" applyBorder="1" applyAlignment="1">
      <alignment vertical="center" shrinkToFit="1"/>
    </xf>
    <xf numFmtId="176" fontId="63" fillId="0" borderId="4" xfId="2" applyFont="1" applyFill="1" applyBorder="1" applyAlignment="1">
      <alignment vertical="center" shrinkToFit="1"/>
    </xf>
    <xf numFmtId="176" fontId="6" fillId="0" borderId="0" xfId="2" applyFont="1" applyFill="1" applyBorder="1" applyAlignment="1">
      <alignment vertical="top" wrapText="1"/>
    </xf>
    <xf numFmtId="185" fontId="6" fillId="0" borderId="4" xfId="2" applyNumberFormat="1" applyFont="1" applyFill="1" applyBorder="1" applyAlignment="1">
      <alignment vertical="top"/>
    </xf>
    <xf numFmtId="0" fontId="7" fillId="0" borderId="0" xfId="2" applyNumberFormat="1" applyFont="1" applyBorder="1" applyAlignment="1">
      <alignment vertical="top" shrinkToFit="1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49" fontId="6" fillId="0" borderId="35" xfId="0" applyNumberFormat="1" applyFont="1" applyFill="1" applyBorder="1" applyAlignment="1">
      <alignment horizontal="center" vertical="center" shrinkToFit="1"/>
    </xf>
    <xf numFmtId="49" fontId="6" fillId="0" borderId="36" xfId="0" applyNumberFormat="1" applyFont="1" applyFill="1" applyBorder="1" applyAlignment="1">
      <alignment horizontal="center" vertical="center" shrinkToFit="1"/>
    </xf>
    <xf numFmtId="49" fontId="7" fillId="2" borderId="37" xfId="0" applyNumberFormat="1" applyFont="1" applyFill="1" applyBorder="1"/>
    <xf numFmtId="49" fontId="7" fillId="2" borderId="38" xfId="0" applyNumberFormat="1" applyFont="1" applyFill="1" applyBorder="1"/>
    <xf numFmtId="176" fontId="8" fillId="0" borderId="39" xfId="0" applyNumberFormat="1" applyFont="1" applyBorder="1"/>
    <xf numFmtId="176" fontId="8" fillId="0" borderId="40" xfId="0" applyNumberFormat="1" applyFont="1" applyBorder="1"/>
    <xf numFmtId="176" fontId="7" fillId="0" borderId="4" xfId="0" applyNumberFormat="1" applyFont="1" applyBorder="1" applyAlignment="1">
      <alignment shrinkToFit="1"/>
    </xf>
    <xf numFmtId="176" fontId="9" fillId="0" borderId="39" xfId="0" applyNumberFormat="1" applyFont="1" applyBorder="1" applyAlignment="1">
      <alignment shrinkToFit="1"/>
    </xf>
    <xf numFmtId="176" fontId="7" fillId="0" borderId="40" xfId="0" applyNumberFormat="1" applyFont="1" applyBorder="1" applyAlignment="1">
      <alignment shrinkToFit="1"/>
    </xf>
    <xf numFmtId="176" fontId="7" fillId="0" borderId="39" xfId="0" applyNumberFormat="1" applyFont="1" applyBorder="1" applyAlignment="1">
      <alignment shrinkToFit="1"/>
    </xf>
    <xf numFmtId="0" fontId="7" fillId="8" borderId="12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/>
    </xf>
    <xf numFmtId="0" fontId="9" fillId="3" borderId="39" xfId="0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76" fontId="7" fillId="0" borderId="39" xfId="0" applyNumberFormat="1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176" fontId="7" fillId="3" borderId="39" xfId="0" applyNumberFormat="1" applyFont="1" applyFill="1" applyBorder="1" applyAlignment="1">
      <alignment horizontal="center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1" xfId="0" applyNumberFormat="1" applyFont="1" applyFill="1" applyBorder="1" applyAlignment="1">
      <alignment horizontal="center" vertical="center"/>
    </xf>
    <xf numFmtId="176" fontId="65" fillId="3" borderId="32" xfId="0" applyNumberFormat="1" applyFont="1" applyFill="1" applyBorder="1" applyAlignment="1">
      <alignment horizontal="center" vertical="center"/>
    </xf>
    <xf numFmtId="176" fontId="65" fillId="3" borderId="31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35" xfId="0" applyNumberFormat="1" applyFont="1" applyFill="1" applyBorder="1" applyAlignment="1">
      <alignment horizontal="center" vertical="center"/>
    </xf>
    <xf numFmtId="176" fontId="65" fillId="3" borderId="36" xfId="0" applyNumberFormat="1" applyFont="1" applyFill="1" applyBorder="1" applyAlignment="1">
      <alignment horizontal="center" vertical="center"/>
    </xf>
    <xf numFmtId="176" fontId="65" fillId="3" borderId="35" xfId="0" applyNumberFormat="1" applyFont="1" applyFill="1" applyBorder="1" applyAlignment="1">
      <alignment horizontal="center" vertical="center"/>
    </xf>
    <xf numFmtId="176" fontId="8" fillId="0" borderId="2" xfId="2" applyFont="1" applyBorder="1" applyAlignment="1">
      <alignment horizontal="center" vertical="center"/>
    </xf>
    <xf numFmtId="176" fontId="8" fillId="0" borderId="16" xfId="2" applyFont="1" applyBorder="1" applyAlignment="1">
      <alignment horizontal="center" vertical="center"/>
    </xf>
    <xf numFmtId="176" fontId="8" fillId="0" borderId="2" xfId="2" applyFont="1" applyFill="1" applyBorder="1" applyAlignment="1">
      <alignment horizontal="center" vertical="center"/>
    </xf>
    <xf numFmtId="176" fontId="8" fillId="0" borderId="31" xfId="2" applyFont="1" applyFill="1" applyBorder="1" applyAlignment="1">
      <alignment horizontal="center" vertical="center"/>
    </xf>
    <xf numFmtId="176" fontId="65" fillId="3" borderId="32" xfId="2" applyFont="1" applyFill="1" applyBorder="1" applyAlignment="1">
      <alignment horizontal="center" vertical="center"/>
    </xf>
    <xf numFmtId="176" fontId="65" fillId="3" borderId="31" xfId="2" applyFont="1" applyFill="1" applyBorder="1" applyAlignment="1">
      <alignment horizontal="center" vertical="center"/>
    </xf>
    <xf numFmtId="176" fontId="8" fillId="0" borderId="3" xfId="2" applyFont="1" applyBorder="1" applyAlignment="1">
      <alignment horizontal="center" vertical="center"/>
    </xf>
    <xf numFmtId="176" fontId="8" fillId="0" borderId="18" xfId="2" applyFont="1" applyBorder="1" applyAlignment="1">
      <alignment horizontal="center" vertical="center"/>
    </xf>
    <xf numFmtId="176" fontId="8" fillId="0" borderId="3" xfId="2" applyFont="1" applyFill="1" applyBorder="1" applyAlignment="1">
      <alignment horizontal="center" vertical="center"/>
    </xf>
    <xf numFmtId="176" fontId="8" fillId="0" borderId="35" xfId="2" applyFont="1" applyFill="1" applyBorder="1" applyAlignment="1">
      <alignment horizontal="center" vertical="center"/>
    </xf>
    <xf numFmtId="176" fontId="65" fillId="3" borderId="36" xfId="2" applyFont="1" applyFill="1" applyBorder="1" applyAlignment="1">
      <alignment horizontal="center" vertical="center"/>
    </xf>
    <xf numFmtId="176" fontId="65" fillId="3" borderId="35" xfId="2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176" fontId="7" fillId="0" borderId="14" xfId="0" applyNumberFormat="1" applyFont="1" applyBorder="1" applyAlignment="1">
      <alignment shrinkToFit="1"/>
    </xf>
    <xf numFmtId="176" fontId="9" fillId="0" borderId="4" xfId="0" applyNumberFormat="1" applyFont="1" applyBorder="1"/>
    <xf numFmtId="0" fontId="7" fillId="8" borderId="14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176" fontId="6" fillId="0" borderId="13" xfId="0" applyNumberFormat="1" applyFont="1" applyBorder="1" applyAlignment="1">
      <alignment horizontal="center" shrinkToFit="1"/>
    </xf>
    <xf numFmtId="176" fontId="6" fillId="0" borderId="14" xfId="0" applyNumberFormat="1" applyFont="1" applyBorder="1" applyAlignment="1">
      <alignment horizontal="center" shrinkToFit="1"/>
    </xf>
    <xf numFmtId="0" fontId="7" fillId="0" borderId="14" xfId="0" applyFont="1" applyBorder="1" applyAlignment="1">
      <alignment horizontal="center"/>
    </xf>
    <xf numFmtId="176" fontId="7" fillId="0" borderId="4" xfId="0" applyNumberFormat="1" applyFont="1" applyBorder="1" applyAlignment="1">
      <alignment horizontal="center"/>
    </xf>
    <xf numFmtId="176" fontId="8" fillId="0" borderId="6" xfId="0" applyNumberFormat="1" applyFont="1" applyBorder="1" applyAlignment="1">
      <alignment horizontal="center" vertical="center"/>
    </xf>
    <xf numFmtId="176" fontId="7" fillId="18" borderId="2" xfId="0" applyNumberFormat="1" applyFont="1" applyFill="1" applyBorder="1" applyAlignment="1">
      <alignment horizontal="right"/>
    </xf>
    <xf numFmtId="176" fontId="8" fillId="0" borderId="11" xfId="0" applyNumberFormat="1" applyFont="1" applyBorder="1" applyAlignment="1">
      <alignment horizontal="center" vertical="center"/>
    </xf>
    <xf numFmtId="181" fontId="20" fillId="18" borderId="3" xfId="0" applyNumberFormat="1" applyFont="1" applyFill="1" applyBorder="1" applyAlignment="1">
      <alignment horizontal="right"/>
    </xf>
    <xf numFmtId="181" fontId="20" fillId="18" borderId="3" xfId="0" applyNumberFormat="1" applyFont="1" applyFill="1" applyBorder="1"/>
    <xf numFmtId="176" fontId="8" fillId="0" borderId="6" xfId="2" applyFont="1" applyBorder="1" applyAlignment="1">
      <alignment horizontal="center" vertical="center"/>
    </xf>
    <xf numFmtId="181" fontId="7" fillId="18" borderId="2" xfId="0" applyNumberFormat="1" applyFont="1" applyFill="1" applyBorder="1" applyAlignment="1">
      <alignment horizontal="right"/>
    </xf>
    <xf numFmtId="176" fontId="8" fillId="0" borderId="11" xfId="2" applyFont="1" applyBorder="1" applyAlignment="1">
      <alignment horizontal="center" vertical="center"/>
    </xf>
    <xf numFmtId="176" fontId="8" fillId="0" borderId="14" xfId="2" applyFont="1" applyBorder="1"/>
    <xf numFmtId="0" fontId="14" fillId="0" borderId="4" xfId="0" applyFont="1" applyBorder="1" applyAlignment="1">
      <alignment vertical="top" wrapText="1" shrinkToFit="1"/>
    </xf>
    <xf numFmtId="176" fontId="7" fillId="0" borderId="0" xfId="2" applyFont="1" applyFill="1" applyBorder="1" applyAlignment="1">
      <alignment vertical="center" shrinkToFit="1"/>
    </xf>
    <xf numFmtId="176" fontId="9" fillId="0" borderId="0" xfId="2" applyFont="1" applyBorder="1" applyAlignment="1">
      <alignment horizontal="center" vertical="center"/>
    </xf>
    <xf numFmtId="176" fontId="9" fillId="0" borderId="1" xfId="2" applyFont="1" applyBorder="1" applyAlignment="1">
      <alignment horizontal="center" vertical="center"/>
    </xf>
    <xf numFmtId="1" fontId="5" fillId="0" borderId="12" xfId="2" applyNumberFormat="1" applyFont="1" applyFill="1" applyBorder="1" applyAlignment="1">
      <alignment horizontal="right" vertical="top" wrapText="1"/>
    </xf>
    <xf numFmtId="176" fontId="7" fillId="0" borderId="4" xfId="2" applyFont="1" applyFill="1" applyBorder="1" applyAlignment="1">
      <alignment horizontal="right" vertical="center" shrinkToFit="1"/>
    </xf>
    <xf numFmtId="176" fontId="6" fillId="16" borderId="2" xfId="2" applyFont="1" applyFill="1" applyBorder="1" applyAlignment="1">
      <alignment horizontal="center" vertical="center" wrapText="1"/>
    </xf>
    <xf numFmtId="176" fontId="6" fillId="16" borderId="7" xfId="2" applyFont="1" applyFill="1" applyBorder="1" applyAlignment="1">
      <alignment horizontal="center" vertical="center" shrinkToFit="1"/>
    </xf>
    <xf numFmtId="176" fontId="6" fillId="16" borderId="3" xfId="2" applyFont="1" applyFill="1" applyBorder="1" applyAlignment="1">
      <alignment horizontal="center" vertical="center" wrapText="1"/>
    </xf>
    <xf numFmtId="176" fontId="7" fillId="0" borderId="4" xfId="2" applyFont="1" applyFill="1" applyBorder="1" applyAlignment="1">
      <alignment vertical="center" shrinkToFit="1"/>
    </xf>
    <xf numFmtId="176" fontId="7" fillId="0" borderId="4" xfId="2" applyFont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center" vertical="top"/>
    </xf>
    <xf numFmtId="0" fontId="2" fillId="16" borderId="2" xfId="0" applyFont="1" applyFill="1" applyBorder="1" applyAlignment="1">
      <alignment horizontal="center" vertical="center"/>
    </xf>
    <xf numFmtId="49" fontId="2" fillId="16" borderId="2" xfId="0" applyNumberFormat="1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/>
    </xf>
    <xf numFmtId="49" fontId="2" fillId="16" borderId="3" xfId="0" applyNumberFormat="1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0" fontId="5" fillId="0" borderId="4" xfId="0" applyFont="1" applyFill="1" applyBorder="1" applyAlignment="1">
      <alignment vertical="top"/>
    </xf>
    <xf numFmtId="4" fontId="6" fillId="0" borderId="4" xfId="0" applyNumberFormat="1" applyFont="1" applyFill="1" applyBorder="1" applyAlignment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vertical="center"/>
    </xf>
    <xf numFmtId="176" fontId="2" fillId="16" borderId="2" xfId="2" applyFont="1" applyFill="1" applyBorder="1" applyAlignment="1">
      <alignment horizontal="center" vertical="center"/>
    </xf>
    <xf numFmtId="0" fontId="2" fillId="16" borderId="4" xfId="0" applyFont="1" applyFill="1" applyBorder="1" applyAlignment="1">
      <alignment horizontal="center" vertical="center"/>
    </xf>
    <xf numFmtId="176" fontId="2" fillId="16" borderId="3" xfId="2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top" wrapText="1" shrinkToFit="1"/>
    </xf>
    <xf numFmtId="0" fontId="6" fillId="0" borderId="4" xfId="0" applyFont="1" applyFill="1" applyBorder="1" applyAlignment="1">
      <alignment horizontal="right" vertical="center"/>
    </xf>
    <xf numFmtId="176" fontId="1" fillId="0" borderId="4" xfId="2" applyFont="1" applyFill="1" applyBorder="1" applyAlignment="1">
      <alignment horizontal="center" vertical="center" wrapText="1"/>
    </xf>
    <xf numFmtId="0" fontId="9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horizontal="center"/>
    </xf>
    <xf numFmtId="176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35" xfId="0" applyNumberFormat="1" applyFont="1" applyFill="1" applyBorder="1" applyAlignment="1">
      <alignment horizontal="center" vertical="center" shrinkToFit="1"/>
    </xf>
    <xf numFmtId="49" fontId="7" fillId="0" borderId="36" xfId="0" applyNumberFormat="1" applyFont="1" applyFill="1" applyBorder="1" applyAlignment="1">
      <alignment horizontal="center" vertical="center" shrinkToFit="1"/>
    </xf>
    <xf numFmtId="0" fontId="9" fillId="19" borderId="12" xfId="0" applyFont="1" applyFill="1" applyBorder="1"/>
    <xf numFmtId="0" fontId="9" fillId="19" borderId="13" xfId="0" applyFont="1" applyFill="1" applyBorder="1"/>
    <xf numFmtId="0" fontId="9" fillId="19" borderId="37" xfId="0" applyFont="1" applyFill="1" applyBorder="1"/>
    <xf numFmtId="0" fontId="9" fillId="19" borderId="38" xfId="0" applyFont="1" applyFill="1" applyBorder="1"/>
    <xf numFmtId="0" fontId="8" fillId="0" borderId="13" xfId="0" applyFont="1" applyBorder="1" applyAlignment="1">
      <alignment horizontal="left"/>
    </xf>
    <xf numFmtId="0" fontId="21" fillId="0" borderId="4" xfId="0" applyFont="1" applyBorder="1" applyAlignment="1">
      <alignment horizontal="right" vertical="center"/>
    </xf>
    <xf numFmtId="4" fontId="21" fillId="0" borderId="4" xfId="0" applyNumberFormat="1" applyFont="1" applyBorder="1" applyAlignment="1">
      <alignment vertical="center"/>
    </xf>
    <xf numFmtId="4" fontId="21" fillId="4" borderId="4" xfId="0" applyNumberFormat="1" applyFont="1" applyFill="1" applyBorder="1" applyAlignment="1">
      <alignment vertical="center"/>
    </xf>
    <xf numFmtId="176" fontId="21" fillId="0" borderId="39" xfId="0" applyNumberFormat="1" applyFont="1" applyBorder="1" applyAlignment="1">
      <alignment vertical="center"/>
    </xf>
    <xf numFmtId="176" fontId="21" fillId="0" borderId="40" xfId="0" applyNumberFormat="1" applyFont="1" applyBorder="1" applyAlignment="1">
      <alignment vertical="center"/>
    </xf>
    <xf numFmtId="0" fontId="9" fillId="16" borderId="12" xfId="0" applyFont="1" applyFill="1" applyBorder="1" applyAlignment="1">
      <alignment horizontal="left"/>
    </xf>
    <xf numFmtId="0" fontId="9" fillId="16" borderId="13" xfId="0" applyFont="1" applyFill="1" applyBorder="1" applyAlignment="1">
      <alignment horizontal="left"/>
    </xf>
    <xf numFmtId="0" fontId="9" fillId="16" borderId="13" xfId="0" applyFont="1" applyFill="1" applyBorder="1" applyAlignment="1">
      <alignment horizontal="center"/>
    </xf>
    <xf numFmtId="49" fontId="9" fillId="16" borderId="13" xfId="0" applyNumberFormat="1" applyFont="1" applyFill="1" applyBorder="1"/>
    <xf numFmtId="49" fontId="9" fillId="16" borderId="37" xfId="0" applyNumberFormat="1" applyFont="1" applyFill="1" applyBorder="1"/>
    <xf numFmtId="49" fontId="9" fillId="16" borderId="38" xfId="0" applyNumberFormat="1" applyFont="1" applyFill="1" applyBorder="1"/>
    <xf numFmtId="0" fontId="9" fillId="0" borderId="12" xfId="0" applyFont="1" applyBorder="1"/>
    <xf numFmtId="0" fontId="9" fillId="0" borderId="13" xfId="0" applyFont="1" applyBorder="1" applyAlignment="1">
      <alignment horizontal="left"/>
    </xf>
    <xf numFmtId="0" fontId="9" fillId="0" borderId="14" xfId="0" applyFont="1" applyBorder="1"/>
    <xf numFmtId="176" fontId="9" fillId="0" borderId="39" xfId="0" applyNumberFormat="1" applyFont="1" applyBorder="1"/>
    <xf numFmtId="176" fontId="9" fillId="0" borderId="40" xfId="0" applyNumberFormat="1" applyFont="1" applyBorder="1"/>
    <xf numFmtId="0" fontId="8" fillId="0" borderId="13" xfId="0" applyFont="1" applyBorder="1" applyAlignment="1">
      <alignment horizontal="right" vertical="top"/>
    </xf>
    <xf numFmtId="0" fontId="8" fillId="0" borderId="14" xfId="0" applyFont="1" applyBorder="1" applyAlignment="1">
      <alignment vertical="top" wrapText="1"/>
    </xf>
    <xf numFmtId="176" fontId="8" fillId="0" borderId="4" xfId="0" applyNumberFormat="1" applyFont="1" applyBorder="1" applyAlignment="1">
      <alignment vertical="top"/>
    </xf>
    <xf numFmtId="176" fontId="8" fillId="0" borderId="14" xfId="0" applyNumberFormat="1" applyFont="1" applyBorder="1" applyAlignment="1">
      <alignment vertical="top"/>
    </xf>
    <xf numFmtId="176" fontId="8" fillId="0" borderId="39" xfId="0" applyNumberFormat="1" applyFont="1" applyBorder="1" applyAlignment="1">
      <alignment vertical="top"/>
    </xf>
    <xf numFmtId="176" fontId="8" fillId="0" borderId="40" xfId="0" applyNumberFormat="1" applyFont="1" applyBorder="1" applyAlignment="1">
      <alignment vertical="top"/>
    </xf>
    <xf numFmtId="176" fontId="9" fillId="0" borderId="14" xfId="0" applyNumberFormat="1" applyFont="1" applyBorder="1"/>
    <xf numFmtId="176" fontId="21" fillId="0" borderId="4" xfId="0" applyNumberFormat="1" applyFont="1" applyBorder="1" applyAlignment="1">
      <alignment vertical="center"/>
    </xf>
    <xf numFmtId="176" fontId="21" fillId="0" borderId="14" xfId="0" applyNumberFormat="1" applyFont="1" applyBorder="1" applyAlignment="1">
      <alignment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176" fontId="7" fillId="0" borderId="12" xfId="0" applyNumberFormat="1" applyFont="1" applyFill="1" applyBorder="1" applyAlignment="1">
      <alignment horizontal="center"/>
    </xf>
    <xf numFmtId="176" fontId="66" fillId="0" borderId="2" xfId="2" applyFont="1" applyBorder="1" applyAlignment="1">
      <alignment horizontal="center" vertical="center"/>
    </xf>
    <xf numFmtId="176" fontId="66" fillId="0" borderId="16" xfId="2" applyFont="1" applyBorder="1" applyAlignment="1">
      <alignment horizontal="center" vertical="center"/>
    </xf>
    <xf numFmtId="176" fontId="66" fillId="0" borderId="2" xfId="2" applyFont="1" applyFill="1" applyBorder="1" applyAlignment="1">
      <alignment horizontal="center" vertical="center"/>
    </xf>
    <xf numFmtId="176" fontId="66" fillId="0" borderId="16" xfId="2" applyFont="1" applyFill="1" applyBorder="1" applyAlignment="1">
      <alignment horizontal="center" vertical="center"/>
    </xf>
    <xf numFmtId="176" fontId="67" fillId="3" borderId="32" xfId="2" applyFont="1" applyFill="1" applyBorder="1" applyAlignment="1">
      <alignment horizontal="center" vertical="center"/>
    </xf>
    <xf numFmtId="176" fontId="67" fillId="3" borderId="31" xfId="2" applyFont="1" applyFill="1" applyBorder="1" applyAlignment="1">
      <alignment horizontal="center" vertical="center"/>
    </xf>
    <xf numFmtId="176" fontId="66" fillId="0" borderId="3" xfId="2" applyFont="1" applyBorder="1" applyAlignment="1">
      <alignment horizontal="center" vertical="center"/>
    </xf>
    <xf numFmtId="176" fontId="66" fillId="0" borderId="18" xfId="2" applyFont="1" applyBorder="1" applyAlignment="1">
      <alignment horizontal="center" vertical="center"/>
    </xf>
    <xf numFmtId="176" fontId="66" fillId="0" borderId="3" xfId="2" applyFont="1" applyFill="1" applyBorder="1" applyAlignment="1">
      <alignment horizontal="center" vertical="center"/>
    </xf>
    <xf numFmtId="176" fontId="66" fillId="0" borderId="18" xfId="2" applyFont="1" applyFill="1" applyBorder="1" applyAlignment="1">
      <alignment horizontal="center" vertical="center"/>
    </xf>
    <xf numFmtId="176" fontId="67" fillId="3" borderId="36" xfId="2" applyFont="1" applyFill="1" applyBorder="1" applyAlignment="1">
      <alignment horizontal="center" vertical="center"/>
    </xf>
    <xf numFmtId="176" fontId="67" fillId="3" borderId="35" xfId="2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shrinkToFit="1"/>
    </xf>
    <xf numFmtId="49" fontId="7" fillId="0" borderId="11" xfId="0" applyNumberFormat="1" applyFont="1" applyFill="1" applyBorder="1" applyAlignment="1">
      <alignment horizontal="center" vertical="center" shrinkToFit="1"/>
    </xf>
    <xf numFmtId="0" fontId="9" fillId="19" borderId="14" xfId="0" applyFont="1" applyFill="1" applyBorder="1"/>
    <xf numFmtId="0" fontId="8" fillId="4" borderId="39" xfId="0" applyFont="1" applyFill="1" applyBorder="1"/>
    <xf numFmtId="4" fontId="21" fillId="4" borderId="39" xfId="0" applyNumberFormat="1" applyFont="1" applyFill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9" fontId="9" fillId="16" borderId="13" xfId="0" applyNumberFormat="1" applyFont="1" applyFill="1" applyBorder="1" applyAlignment="1">
      <alignment horizontal="center"/>
    </xf>
    <xf numFmtId="49" fontId="9" fillId="16" borderId="14" xfId="0" applyNumberFormat="1" applyFont="1" applyFill="1" applyBorder="1"/>
    <xf numFmtId="0" fontId="21" fillId="3" borderId="14" xfId="0" applyFont="1" applyFill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shrinkToFit="1"/>
    </xf>
    <xf numFmtId="176" fontId="9" fillId="0" borderId="14" xfId="0" applyNumberFormat="1" applyFont="1" applyBorder="1" applyAlignment="1">
      <alignment horizontal="center" shrinkToFit="1"/>
    </xf>
    <xf numFmtId="176" fontId="66" fillId="0" borderId="6" xfId="2" applyFont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right"/>
    </xf>
    <xf numFmtId="176" fontId="66" fillId="0" borderId="11" xfId="2" applyFont="1" applyBorder="1" applyAlignment="1">
      <alignment horizontal="center" vertical="center"/>
    </xf>
    <xf numFmtId="181" fontId="68" fillId="0" borderId="3" xfId="0" applyNumberFormat="1" applyFont="1" applyFill="1" applyBorder="1"/>
    <xf numFmtId="176" fontId="9" fillId="0" borderId="0" xfId="2" applyFont="1" applyFill="1" applyBorder="1" applyAlignment="1">
      <alignment vertical="center" shrinkToFit="1"/>
    </xf>
    <xf numFmtId="176" fontId="65" fillId="0" borderId="0" xfId="2" applyFont="1" applyFill="1" applyBorder="1" applyAlignment="1">
      <alignment horizontal="center" vertical="center" shrinkToFit="1"/>
    </xf>
    <xf numFmtId="176" fontId="21" fillId="0" borderId="0" xfId="2" applyFont="1" applyFill="1" applyBorder="1" applyAlignment="1">
      <alignment vertical="center" shrinkToFit="1"/>
    </xf>
    <xf numFmtId="176" fontId="66" fillId="0" borderId="0" xfId="2" applyFont="1" applyFill="1" applyBorder="1" applyAlignment="1">
      <alignment vertical="center" shrinkToFit="1"/>
    </xf>
    <xf numFmtId="176" fontId="69" fillId="0" borderId="0" xfId="2" applyFont="1" applyFill="1" applyBorder="1" applyAlignment="1">
      <alignment vertical="center" shrinkToFit="1"/>
    </xf>
    <xf numFmtId="176" fontId="65" fillId="0" borderId="0" xfId="2" applyFont="1" applyFill="1" applyBorder="1" applyAlignment="1">
      <alignment vertical="center" shrinkToFit="1"/>
    </xf>
    <xf numFmtId="176" fontId="68" fillId="0" borderId="0" xfId="2" applyFont="1" applyFill="1" applyBorder="1" applyAlignment="1">
      <alignment vertical="center" shrinkToFit="1"/>
    </xf>
    <xf numFmtId="176" fontId="70" fillId="0" borderId="0" xfId="2" applyFont="1" applyFill="1" applyBorder="1" applyAlignment="1">
      <alignment vertical="center" shrinkToFit="1"/>
    </xf>
    <xf numFmtId="176" fontId="71" fillId="0" borderId="0" xfId="2" applyFont="1" applyFill="1" applyBorder="1" applyAlignment="1">
      <alignment vertical="center" shrinkToFit="1"/>
    </xf>
    <xf numFmtId="176" fontId="72" fillId="0" borderId="0" xfId="2" applyFont="1" applyFill="1" applyBorder="1" applyAlignment="1">
      <alignment vertical="center" shrinkToFit="1"/>
    </xf>
    <xf numFmtId="0" fontId="65" fillId="0" borderId="0" xfId="2" applyNumberFormat="1" applyFont="1" applyFill="1" applyBorder="1" applyAlignment="1">
      <alignment horizontal="center" vertical="center" shrinkToFit="1"/>
    </xf>
    <xf numFmtId="0" fontId="69" fillId="0" borderId="0" xfId="2" applyNumberFormat="1" applyFont="1" applyFill="1" applyBorder="1" applyAlignment="1">
      <alignment vertical="center"/>
    </xf>
    <xf numFmtId="176" fontId="5" fillId="0" borderId="0" xfId="2" applyFont="1" applyFill="1" applyAlignment="1">
      <alignment vertical="center" shrinkToFit="1"/>
    </xf>
    <xf numFmtId="176" fontId="73" fillId="0" borderId="0" xfId="2" applyFont="1" applyFill="1" applyAlignment="1">
      <alignment vertical="center" shrinkToFit="1"/>
    </xf>
    <xf numFmtId="176" fontId="69" fillId="0" borderId="0" xfId="2" applyFont="1" applyFill="1" applyAlignment="1">
      <alignment vertical="center" shrinkToFit="1"/>
    </xf>
    <xf numFmtId="176" fontId="5" fillId="0" borderId="0" xfId="2" applyFont="1" applyFill="1" applyBorder="1" applyAlignment="1">
      <alignment vertical="center" shrinkToFit="1"/>
    </xf>
    <xf numFmtId="176" fontId="74" fillId="0" borderId="0" xfId="2" applyFont="1" applyFill="1" applyAlignment="1">
      <alignment horizontal="center" vertical="center" shrinkToFit="1"/>
    </xf>
    <xf numFmtId="176" fontId="74" fillId="0" borderId="0" xfId="2" applyFont="1" applyFill="1" applyBorder="1" applyAlignment="1">
      <alignment horizontal="center" vertical="center" shrinkToFit="1"/>
    </xf>
    <xf numFmtId="176" fontId="67" fillId="0" borderId="0" xfId="2" applyFont="1" applyFill="1" applyBorder="1" applyAlignment="1">
      <alignment horizontal="center" vertical="center" shrinkToFit="1"/>
    </xf>
    <xf numFmtId="0" fontId="65" fillId="6" borderId="2" xfId="2" applyNumberFormat="1" applyFont="1" applyFill="1" applyBorder="1" applyAlignment="1">
      <alignment vertical="center" shrinkToFit="1"/>
    </xf>
    <xf numFmtId="176" fontId="65" fillId="6" borderId="16" xfId="2" applyFont="1" applyFill="1" applyBorder="1" applyAlignment="1">
      <alignment vertical="center" shrinkToFit="1"/>
    </xf>
    <xf numFmtId="176" fontId="65" fillId="6" borderId="6" xfId="2" applyFont="1" applyFill="1" applyBorder="1" applyAlignment="1">
      <alignment vertical="center" shrinkToFit="1"/>
    </xf>
    <xf numFmtId="176" fontId="65" fillId="6" borderId="4" xfId="2" applyFont="1" applyFill="1" applyBorder="1" applyAlignment="1">
      <alignment horizontal="center" vertical="center" shrinkToFit="1"/>
    </xf>
    <xf numFmtId="0" fontId="65" fillId="6" borderId="7" xfId="2" applyNumberFormat="1" applyFont="1" applyFill="1" applyBorder="1" applyAlignment="1">
      <alignment vertical="center" shrinkToFit="1"/>
    </xf>
    <xf numFmtId="176" fontId="65" fillId="6" borderId="19" xfId="2" applyFont="1" applyFill="1" applyBorder="1" applyAlignment="1">
      <alignment vertical="center" shrinkToFit="1"/>
    </xf>
    <xf numFmtId="176" fontId="65" fillId="6" borderId="9" xfId="2" applyFont="1" applyFill="1" applyBorder="1" applyAlignment="1">
      <alignment vertical="center" shrinkToFit="1"/>
    </xf>
    <xf numFmtId="176" fontId="65" fillId="6" borderId="2" xfId="2" applyFont="1" applyFill="1" applyBorder="1" applyAlignment="1">
      <alignment horizontal="center" vertical="center" shrinkToFit="1"/>
    </xf>
    <xf numFmtId="0" fontId="65" fillId="6" borderId="3" xfId="2" applyNumberFormat="1" applyFont="1" applyFill="1" applyBorder="1" applyAlignment="1">
      <alignment vertical="center" shrinkToFit="1"/>
    </xf>
    <xf numFmtId="176" fontId="65" fillId="6" borderId="18" xfId="2" applyFont="1" applyFill="1" applyBorder="1" applyAlignment="1">
      <alignment vertical="center" shrinkToFit="1"/>
    </xf>
    <xf numFmtId="176" fontId="65" fillId="6" borderId="11" xfId="2" applyFont="1" applyFill="1" applyBorder="1" applyAlignment="1">
      <alignment vertical="center" shrinkToFit="1"/>
    </xf>
    <xf numFmtId="176" fontId="65" fillId="6" borderId="3" xfId="2" applyFont="1" applyFill="1" applyBorder="1" applyAlignment="1">
      <alignment horizontal="center" vertical="center" shrinkToFit="1"/>
    </xf>
    <xf numFmtId="176" fontId="65" fillId="0" borderId="16" xfId="2" applyFont="1" applyFill="1" applyBorder="1" applyAlignment="1">
      <alignment horizontal="left" vertical="center" shrinkToFit="1"/>
    </xf>
    <xf numFmtId="176" fontId="65" fillId="0" borderId="6" xfId="2" applyFont="1" applyFill="1" applyBorder="1" applyAlignment="1">
      <alignment horizontal="left" vertical="center" shrinkToFit="1"/>
    </xf>
    <xf numFmtId="176" fontId="21" fillId="0" borderId="4" xfId="2" applyFont="1" applyFill="1" applyBorder="1" applyAlignment="1">
      <alignment vertical="center" shrinkToFit="1"/>
    </xf>
    <xf numFmtId="176" fontId="75" fillId="0" borderId="4" xfId="2" applyFont="1" applyFill="1" applyBorder="1" applyAlignment="1">
      <alignment vertical="center" shrinkToFit="1"/>
    </xf>
    <xf numFmtId="176" fontId="65" fillId="0" borderId="19" xfId="2" applyFont="1" applyFill="1" applyBorder="1" applyAlignment="1">
      <alignment horizontal="left" vertical="center" shrinkToFit="1"/>
    </xf>
    <xf numFmtId="176" fontId="65" fillId="0" borderId="9" xfId="2" applyFont="1" applyFill="1" applyBorder="1" applyAlignment="1">
      <alignment horizontal="left" vertical="center" shrinkToFit="1"/>
    </xf>
    <xf numFmtId="0" fontId="67" fillId="0" borderId="7" xfId="2" applyNumberFormat="1" applyFont="1" applyFill="1" applyBorder="1" applyAlignment="1">
      <alignment horizontal="center" vertical="top" shrinkToFit="1"/>
    </xf>
    <xf numFmtId="0" fontId="65" fillId="0" borderId="7" xfId="2" applyNumberFormat="1" applyFont="1" applyFill="1" applyBorder="1" applyAlignment="1">
      <alignment horizontal="left" vertical="center"/>
    </xf>
    <xf numFmtId="49" fontId="65" fillId="0" borderId="7" xfId="0" applyNumberFormat="1" applyFont="1" applyFill="1" applyBorder="1"/>
    <xf numFmtId="0" fontId="67" fillId="0" borderId="3" xfId="2" applyNumberFormat="1" applyFont="1" applyFill="1" applyBorder="1" applyAlignment="1">
      <alignment horizontal="center" vertical="top" shrinkToFit="1"/>
    </xf>
    <xf numFmtId="49" fontId="65" fillId="0" borderId="3" xfId="0" applyNumberFormat="1" applyFont="1" applyFill="1" applyBorder="1"/>
    <xf numFmtId="176" fontId="65" fillId="0" borderId="7" xfId="2" applyFont="1" applyFill="1" applyBorder="1" applyAlignment="1">
      <alignment horizontal="left" vertical="center" shrinkToFit="1"/>
    </xf>
    <xf numFmtId="176" fontId="76" fillId="0" borderId="7" xfId="2" applyFont="1" applyFill="1" applyBorder="1" applyAlignment="1">
      <alignment horizontal="left" vertical="center" shrinkToFit="1"/>
    </xf>
    <xf numFmtId="0" fontId="65" fillId="0" borderId="7" xfId="2" applyNumberFormat="1" applyFont="1" applyFill="1" applyBorder="1" applyAlignment="1">
      <alignment vertical="center"/>
    </xf>
    <xf numFmtId="49" fontId="65" fillId="0" borderId="7" xfId="0" applyNumberFormat="1" applyFont="1" applyFill="1" applyBorder="1" applyAlignment="1">
      <alignment vertical="center"/>
    </xf>
    <xf numFmtId="49" fontId="65" fillId="0" borderId="3" xfId="0" applyNumberFormat="1" applyFont="1" applyFill="1" applyBorder="1" applyAlignment="1">
      <alignment vertical="center"/>
    </xf>
    <xf numFmtId="188" fontId="77" fillId="0" borderId="7" xfId="2" applyNumberFormat="1" applyFont="1" applyFill="1" applyBorder="1" applyAlignment="1">
      <alignment vertical="center" shrinkToFit="1"/>
    </xf>
    <xf numFmtId="176" fontId="77" fillId="0" borderId="7" xfId="2" applyFont="1" applyFill="1" applyBorder="1" applyAlignment="1">
      <alignment vertical="center"/>
    </xf>
    <xf numFmtId="176" fontId="77" fillId="0" borderId="3" xfId="2" applyNumberFormat="1" applyFont="1" applyFill="1" applyBorder="1" applyAlignment="1">
      <alignment vertical="center"/>
    </xf>
    <xf numFmtId="176" fontId="65" fillId="0" borderId="2" xfId="2" applyFont="1" applyFill="1" applyBorder="1" applyAlignment="1">
      <alignment horizontal="left" vertical="center" shrinkToFit="1"/>
    </xf>
    <xf numFmtId="0" fontId="65" fillId="0" borderId="7" xfId="2" applyNumberFormat="1" applyFont="1" applyFill="1" applyBorder="1" applyAlignment="1">
      <alignment horizontal="left" vertical="center" shrinkToFit="1"/>
    </xf>
    <xf numFmtId="0" fontId="65" fillId="0" borderId="7" xfId="2" applyNumberFormat="1" applyFont="1" applyFill="1" applyBorder="1" applyAlignment="1">
      <alignment vertical="center" shrinkToFit="1"/>
    </xf>
    <xf numFmtId="188" fontId="65" fillId="0" borderId="7" xfId="2" applyNumberFormat="1" applyFont="1" applyFill="1" applyBorder="1" applyAlignment="1">
      <alignment vertical="center" shrinkToFit="1"/>
    </xf>
    <xf numFmtId="0" fontId="76" fillId="0" borderId="3" xfId="2" applyNumberFormat="1" applyFont="1" applyFill="1" applyBorder="1" applyAlignment="1">
      <alignment vertical="center" shrinkToFit="1"/>
    </xf>
    <xf numFmtId="0" fontId="67" fillId="0" borderId="7" xfId="2" applyNumberFormat="1" applyFont="1" applyFill="1" applyBorder="1" applyAlignment="1">
      <alignment horizontal="center" vertical="top"/>
    </xf>
    <xf numFmtId="0" fontId="65" fillId="0" borderId="7" xfId="0" applyNumberFormat="1" applyFont="1" applyFill="1" applyBorder="1" applyAlignment="1">
      <alignment horizontal="left" vertical="center"/>
    </xf>
    <xf numFmtId="0" fontId="67" fillId="0" borderId="3" xfId="2" applyNumberFormat="1" applyFont="1" applyFill="1" applyBorder="1" applyAlignment="1">
      <alignment horizontal="center" vertical="top"/>
    </xf>
    <xf numFmtId="0" fontId="65" fillId="0" borderId="3" xfId="2" applyNumberFormat="1" applyFont="1" applyFill="1" applyBorder="1" applyAlignment="1">
      <alignment vertical="center"/>
    </xf>
    <xf numFmtId="0" fontId="65" fillId="0" borderId="3" xfId="2" applyNumberFormat="1" applyFont="1" applyFill="1" applyBorder="1" applyAlignment="1">
      <alignment vertical="center" shrinkToFit="1"/>
    </xf>
    <xf numFmtId="176" fontId="78" fillId="0" borderId="7" xfId="2" applyNumberFormat="1" applyFont="1" applyFill="1" applyBorder="1" applyAlignment="1">
      <alignment vertical="center" shrinkToFit="1"/>
    </xf>
    <xf numFmtId="176" fontId="78" fillId="0" borderId="7" xfId="2" applyNumberFormat="1" applyFont="1" applyFill="1" applyBorder="1" applyAlignment="1">
      <alignment vertical="center"/>
    </xf>
    <xf numFmtId="0" fontId="76" fillId="0" borderId="7" xfId="2" applyNumberFormat="1" applyFont="1" applyFill="1" applyBorder="1" applyAlignment="1">
      <alignment vertical="center" shrinkToFit="1"/>
    </xf>
    <xf numFmtId="0" fontId="67" fillId="0" borderId="2" xfId="2" applyNumberFormat="1" applyFont="1" applyFill="1" applyBorder="1" applyAlignment="1">
      <alignment horizontal="center" vertical="center" shrinkToFit="1"/>
    </xf>
    <xf numFmtId="0" fontId="65" fillId="0" borderId="2" xfId="2" applyNumberFormat="1" applyFont="1" applyFill="1" applyBorder="1" applyAlignment="1">
      <alignment horizontal="center" vertical="center"/>
    </xf>
    <xf numFmtId="0" fontId="67" fillId="0" borderId="7" xfId="2" applyNumberFormat="1" applyFont="1" applyFill="1" applyBorder="1" applyAlignment="1">
      <alignment horizontal="center" vertical="center" shrinkToFit="1"/>
    </xf>
    <xf numFmtId="0" fontId="79" fillId="0" borderId="7" xfId="2" applyNumberFormat="1" applyFont="1" applyFill="1" applyBorder="1" applyAlignment="1">
      <alignment horizontal="center" vertical="center"/>
    </xf>
    <xf numFmtId="0" fontId="65" fillId="0" borderId="7" xfId="2" applyNumberFormat="1" applyFont="1" applyFill="1" applyBorder="1" applyAlignment="1">
      <alignment horizontal="center" vertical="center"/>
    </xf>
    <xf numFmtId="0" fontId="68" fillId="0" borderId="7" xfId="2" applyNumberFormat="1" applyFont="1" applyFill="1" applyBorder="1" applyAlignment="1">
      <alignment horizontal="center" vertical="center"/>
    </xf>
    <xf numFmtId="0" fontId="67" fillId="0" borderId="3" xfId="2" applyNumberFormat="1" applyFont="1" applyFill="1" applyBorder="1" applyAlignment="1">
      <alignment horizontal="center" vertical="center" shrinkToFit="1"/>
    </xf>
    <xf numFmtId="0" fontId="65" fillId="0" borderId="3" xfId="2" applyNumberFormat="1" applyFont="1" applyFill="1" applyBorder="1" applyAlignment="1">
      <alignment horizontal="center" vertical="center"/>
    </xf>
    <xf numFmtId="0" fontId="65" fillId="8" borderId="7" xfId="2" applyNumberFormat="1" applyFont="1" applyFill="1" applyBorder="1" applyAlignment="1">
      <alignment horizontal="center" vertical="center" shrinkToFit="1"/>
    </xf>
    <xf numFmtId="0" fontId="65" fillId="8" borderId="7" xfId="2" applyNumberFormat="1" applyFont="1" applyFill="1" applyBorder="1" applyAlignment="1">
      <alignment horizontal="center" vertical="center"/>
    </xf>
    <xf numFmtId="176" fontId="21" fillId="8" borderId="4" xfId="2" applyFont="1" applyFill="1" applyBorder="1" applyAlignment="1">
      <alignment vertical="center" shrinkToFit="1"/>
    </xf>
    <xf numFmtId="176" fontId="75" fillId="8" borderId="4" xfId="2" applyFont="1" applyFill="1" applyBorder="1" applyAlignment="1">
      <alignment vertical="center" shrinkToFit="1"/>
    </xf>
    <xf numFmtId="0" fontId="67" fillId="8" borderId="7" xfId="2" applyNumberFormat="1" applyFont="1" applyFill="1" applyBorder="1" applyAlignment="1">
      <alignment horizontal="center" vertical="center" shrinkToFit="1"/>
    </xf>
    <xf numFmtId="0" fontId="80" fillId="8" borderId="7" xfId="2" applyNumberFormat="1" applyFont="1" applyFill="1" applyBorder="1" applyAlignment="1">
      <alignment horizontal="center" vertical="center"/>
    </xf>
    <xf numFmtId="176" fontId="65" fillId="8" borderId="7" xfId="2" applyFont="1" applyFill="1" applyBorder="1" applyAlignment="1">
      <alignment vertical="center" shrinkToFit="1"/>
    </xf>
    <xf numFmtId="0" fontId="65" fillId="8" borderId="3" xfId="2" applyNumberFormat="1" applyFont="1" applyFill="1" applyBorder="1" applyAlignment="1">
      <alignment horizontal="center" vertical="center" shrinkToFit="1"/>
    </xf>
    <xf numFmtId="0" fontId="65" fillId="8" borderId="3" xfId="2" applyNumberFormat="1" applyFont="1" applyFill="1" applyBorder="1" applyAlignment="1">
      <alignment horizontal="center" vertical="center"/>
    </xf>
    <xf numFmtId="0" fontId="81" fillId="0" borderId="2" xfId="2" applyNumberFormat="1" applyFont="1" applyFill="1" applyBorder="1" applyAlignment="1">
      <alignment horizontal="center" vertical="center"/>
    </xf>
    <xf numFmtId="0" fontId="81" fillId="0" borderId="7" xfId="2" applyNumberFormat="1" applyFont="1" applyFill="1" applyBorder="1" applyAlignment="1">
      <alignment horizontal="center" vertical="center"/>
    </xf>
    <xf numFmtId="0" fontId="81" fillId="0" borderId="3" xfId="2" applyNumberFormat="1" applyFont="1" applyFill="1" applyBorder="1" applyAlignment="1">
      <alignment horizontal="center" vertical="center"/>
    </xf>
    <xf numFmtId="176" fontId="66" fillId="0" borderId="4" xfId="2" applyFont="1" applyFill="1" applyBorder="1" applyAlignment="1">
      <alignment vertical="center" shrinkToFit="1"/>
    </xf>
    <xf numFmtId="0" fontId="76" fillId="0" borderId="0" xfId="2" applyNumberFormat="1" applyFont="1" applyFill="1" applyBorder="1" applyAlignment="1">
      <alignment vertical="center"/>
    </xf>
    <xf numFmtId="176" fontId="68" fillId="0" borderId="0" xfId="2" applyFont="1" applyFill="1" applyAlignment="1">
      <alignment vertical="center" shrinkToFit="1"/>
    </xf>
    <xf numFmtId="0" fontId="65" fillId="0" borderId="0" xfId="2" applyNumberFormat="1" applyFont="1" applyFill="1" applyBorder="1" applyAlignment="1">
      <alignment horizontal="right" vertical="center"/>
    </xf>
    <xf numFmtId="176" fontId="68" fillId="0" borderId="0" xfId="2" applyFont="1" applyFill="1" applyAlignment="1">
      <alignment horizontal="center" vertical="center" shrinkToFit="1"/>
    </xf>
    <xf numFmtId="0" fontId="65" fillId="0" borderId="0" xfId="2" applyNumberFormat="1" applyFont="1" applyFill="1" applyBorder="1" applyAlignment="1">
      <alignment vertical="center"/>
    </xf>
    <xf numFmtId="176" fontId="70" fillId="0" borderId="0" xfId="2" applyFont="1" applyFill="1" applyAlignment="1">
      <alignment vertical="center" shrinkToFit="1"/>
    </xf>
    <xf numFmtId="176" fontId="82" fillId="0" borderId="0" xfId="2" applyFont="1" applyFill="1" applyAlignment="1">
      <alignment horizontal="left" vertical="center" shrinkToFit="1"/>
    </xf>
    <xf numFmtId="176" fontId="72" fillId="0" borderId="0" xfId="2" applyFont="1" applyFill="1" applyAlignment="1">
      <alignment vertical="center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หมายเหตุ 2" xfId="46"/>
    <cellStyle name="ส่วนที่ถูกเน้น5" xfId="47" builtinId="45"/>
    <cellStyle name="ส่วนที่ถูกเน้น6" xfId="48" builtinId="49"/>
    <cellStyle name="40% - ส่วนที่ถูกเน้น6" xfId="49" builtinId="51"/>
    <cellStyle name="ปกติ 2" xfId="50"/>
    <cellStyle name="Normal 2" xfId="51"/>
    <cellStyle name="ปกติ 3" xfId="52"/>
  </cellStyles>
  <tableStyles count="0" defaultTableStyle="TableStyleMedium9" defaultPivotStyle="PivotStyleLight16"/>
  <colors>
    <mruColors>
      <color rgb="00FFFFCC"/>
      <color rgb="00FFFFFF"/>
      <color rgb="00FF7C80"/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5"/>
  <sheetViews>
    <sheetView zoomScale="50" zoomScaleNormal="50" zoomScaleSheetLayoutView="50" topLeftCell="A4" workbookViewId="0">
      <pane xSplit="8745" ySplit="1695" topLeftCell="J97" activePane="bottomRight"/>
      <selection/>
      <selection pane="topRight"/>
      <selection pane="bottomLeft"/>
      <selection pane="bottomRight" activeCell="K83" sqref="K83"/>
    </sheetView>
  </sheetViews>
  <sheetFormatPr defaultColWidth="9.14285714285714" defaultRowHeight="33.75"/>
  <cols>
    <col min="1" max="1" width="6.71428571428571" style="1149" customWidth="1"/>
    <col min="2" max="2" width="47.1428571428571" style="1150" customWidth="1"/>
    <col min="3" max="3" width="39.8571428571429" style="1151" customWidth="1"/>
    <col min="4" max="6" width="25.7142857142857" style="1152" customWidth="1"/>
    <col min="7" max="7" width="26.8571428571429" style="1152" customWidth="1"/>
    <col min="8" max="8" width="26.7142857142857" style="1153" customWidth="1"/>
    <col min="9" max="11" width="25.7142857142857" style="1153" customWidth="1"/>
    <col min="12" max="12" width="27.5714285714286" style="1153" customWidth="1"/>
    <col min="13" max="13" width="26.4285714285714" style="1153" customWidth="1"/>
    <col min="14" max="14" width="18.2857142857143" style="1153" customWidth="1"/>
    <col min="15" max="15" width="28.8571428571429" style="1153" customWidth="1"/>
    <col min="16" max="16" width="35.7142857142857" style="1154" customWidth="1"/>
    <col min="17" max="17" width="51" style="1154" hidden="1" customWidth="1"/>
    <col min="18" max="18" width="37.4285714285714" style="1154" hidden="1" customWidth="1"/>
    <col min="19" max="19" width="9.14285714285714" style="1154"/>
    <col min="20" max="20" width="30.2857142857143" style="1154" hidden="1" customWidth="1"/>
    <col min="21" max="21" width="17" style="1154" hidden="1" customWidth="1"/>
    <col min="22" max="37" width="9.14285714285714" style="1154"/>
    <col min="38" max="38" width="9.14285714285714" style="1154" customWidth="1"/>
    <col min="39" max="16384" width="9.14285714285714" style="1154"/>
  </cols>
  <sheetData>
    <row r="1" s="1139" customFormat="1" ht="51.75" customHeight="1" spans="1:16">
      <c r="A1" s="1155" t="s">
        <v>0</v>
      </c>
      <c r="B1" s="1155"/>
      <c r="C1" s="1155"/>
      <c r="D1" s="1155"/>
      <c r="E1" s="1155"/>
      <c r="F1" s="1155"/>
      <c r="G1" s="1155"/>
      <c r="H1" s="1155"/>
      <c r="I1" s="1155"/>
      <c r="J1" s="1155"/>
      <c r="K1" s="1155"/>
      <c r="L1" s="1155"/>
      <c r="M1" s="1155"/>
      <c r="N1" s="1155"/>
      <c r="O1" s="1155"/>
      <c r="P1" s="1155"/>
    </row>
    <row r="2" s="1139" customFormat="1" ht="51.75" customHeight="1" spans="1:16">
      <c r="A2" s="1156" t="s">
        <v>1</v>
      </c>
      <c r="B2" s="1156"/>
      <c r="C2" s="1156"/>
      <c r="D2" s="1156"/>
      <c r="E2" s="1156"/>
      <c r="F2" s="1156"/>
      <c r="G2" s="1156"/>
      <c r="H2" s="1156"/>
      <c r="I2" s="1156"/>
      <c r="J2" s="1156"/>
      <c r="K2" s="1156"/>
      <c r="L2" s="1156"/>
      <c r="M2" s="1156"/>
      <c r="N2" s="1156"/>
      <c r="O2" s="1156"/>
      <c r="P2" s="1156"/>
    </row>
    <row r="3" s="1139" customFormat="1" ht="51.75" customHeight="1" spans="1:16">
      <c r="A3" s="1157" t="s">
        <v>2</v>
      </c>
      <c r="B3" s="1157"/>
      <c r="C3" s="1157"/>
      <c r="D3" s="1157"/>
      <c r="E3" s="1157"/>
      <c r="F3" s="1157"/>
      <c r="G3" s="1157"/>
      <c r="H3" s="1157"/>
      <c r="I3" s="1157"/>
      <c r="J3" s="1157"/>
      <c r="K3" s="1157"/>
      <c r="L3" s="1157"/>
      <c r="M3" s="1157"/>
      <c r="N3" s="1157"/>
      <c r="O3" s="1157"/>
      <c r="P3" s="1157"/>
    </row>
    <row r="4" s="1140" customFormat="1" ht="48.75" customHeight="1" spans="1:16">
      <c r="A4" s="1158"/>
      <c r="B4" s="1159" t="s">
        <v>3</v>
      </c>
      <c r="C4" s="1160"/>
      <c r="D4" s="1161" t="s">
        <v>4</v>
      </c>
      <c r="E4" s="1161"/>
      <c r="F4" s="1161"/>
      <c r="G4" s="1161"/>
      <c r="H4" s="1161" t="s">
        <v>5</v>
      </c>
      <c r="I4" s="1161"/>
      <c r="J4" s="1161"/>
      <c r="K4" s="1161" t="s">
        <v>6</v>
      </c>
      <c r="L4" s="1161"/>
      <c r="M4" s="1161"/>
      <c r="N4" s="1161" t="s">
        <v>7</v>
      </c>
      <c r="O4" s="1161" t="s">
        <v>8</v>
      </c>
      <c r="P4" s="1161" t="s">
        <v>9</v>
      </c>
    </row>
    <row r="5" s="1140" customFormat="1" ht="48.75" customHeight="1" spans="1:16">
      <c r="A5" s="1162"/>
      <c r="B5" s="1163"/>
      <c r="C5" s="1164"/>
      <c r="D5" s="1165" t="s">
        <v>10</v>
      </c>
      <c r="E5" s="1165" t="s">
        <v>11</v>
      </c>
      <c r="F5" s="1165" t="s">
        <v>12</v>
      </c>
      <c r="G5" s="1165" t="s">
        <v>13</v>
      </c>
      <c r="H5" s="1165" t="s">
        <v>12</v>
      </c>
      <c r="I5" s="1165" t="s">
        <v>14</v>
      </c>
      <c r="J5" s="1165" t="s">
        <v>13</v>
      </c>
      <c r="K5" s="1165" t="s">
        <v>15</v>
      </c>
      <c r="L5" s="1165" t="s">
        <v>16</v>
      </c>
      <c r="M5" s="1161" t="s">
        <v>13</v>
      </c>
      <c r="N5" s="1161"/>
      <c r="O5" s="1161"/>
      <c r="P5" s="1161"/>
    </row>
    <row r="6" s="1140" customFormat="1" ht="48.75" customHeight="1" spans="1:16">
      <c r="A6" s="1166"/>
      <c r="B6" s="1167"/>
      <c r="C6" s="1168"/>
      <c r="D6" s="1169"/>
      <c r="E6" s="1169"/>
      <c r="F6" s="1169" t="s">
        <v>17</v>
      </c>
      <c r="G6" s="1169"/>
      <c r="H6" s="1169" t="s">
        <v>18</v>
      </c>
      <c r="I6" s="1169"/>
      <c r="J6" s="1169"/>
      <c r="K6" s="1169"/>
      <c r="L6" s="1169"/>
      <c r="M6" s="1161"/>
      <c r="N6" s="1161"/>
      <c r="O6" s="1161"/>
      <c r="P6" s="1161"/>
    </row>
    <row r="7" s="1141" customFormat="1" ht="52.5" customHeight="1" spans="1:16">
      <c r="A7" s="1170" t="s">
        <v>19</v>
      </c>
      <c r="B7" s="1171"/>
      <c r="C7" s="1172" t="s">
        <v>20</v>
      </c>
      <c r="D7" s="1173">
        <v>0</v>
      </c>
      <c r="E7" s="1173">
        <v>0</v>
      </c>
      <c r="F7" s="1173">
        <v>0</v>
      </c>
      <c r="G7" s="1173">
        <f>SUM(D7:F7)</f>
        <v>0</v>
      </c>
      <c r="H7" s="1173">
        <v>0</v>
      </c>
      <c r="I7" s="1173">
        <v>0</v>
      </c>
      <c r="J7" s="1173">
        <f>SUM(H7:I7)</f>
        <v>0</v>
      </c>
      <c r="K7" s="1173">
        <v>0</v>
      </c>
      <c r="L7" s="1173">
        <v>0</v>
      </c>
      <c r="M7" s="1173">
        <f>SUM(K7:L7)</f>
        <v>0</v>
      </c>
      <c r="N7" s="1173">
        <v>0</v>
      </c>
      <c r="O7" s="1173">
        <f>621500+361400</f>
        <v>982900</v>
      </c>
      <c r="P7" s="1173">
        <f>+G7+J7+M7+N7+O7</f>
        <v>982900</v>
      </c>
    </row>
    <row r="8" s="1142" customFormat="1" ht="52.5" customHeight="1" spans="1:16">
      <c r="A8" s="1174" t="s">
        <v>21</v>
      </c>
      <c r="B8" s="1175"/>
      <c r="C8" s="1172" t="s">
        <v>22</v>
      </c>
      <c r="D8" s="1173">
        <v>0</v>
      </c>
      <c r="E8" s="1173">
        <v>0</v>
      </c>
      <c r="F8" s="1173">
        <v>0</v>
      </c>
      <c r="G8" s="1173">
        <f>SUM(D8:F8)</f>
        <v>0</v>
      </c>
      <c r="H8" s="1173">
        <v>0</v>
      </c>
      <c r="I8" s="1173">
        <v>0</v>
      </c>
      <c r="J8" s="1173">
        <f>SUM(H8:I8)</f>
        <v>0</v>
      </c>
      <c r="K8" s="1173">
        <v>0</v>
      </c>
      <c r="L8" s="1173">
        <v>0</v>
      </c>
      <c r="M8" s="1173">
        <f>SUM(K8:L8)</f>
        <v>0</v>
      </c>
      <c r="N8" s="1173">
        <v>0</v>
      </c>
      <c r="O8" s="1173">
        <f>466100+271000</f>
        <v>737100</v>
      </c>
      <c r="P8" s="1173">
        <f>+G8+J8+M8+N8+O8</f>
        <v>737100</v>
      </c>
    </row>
    <row r="9" s="1142" customFormat="1" ht="52.5" customHeight="1" spans="1:16">
      <c r="A9" s="1176">
        <v>1</v>
      </c>
      <c r="B9" s="1177" t="s">
        <v>23</v>
      </c>
      <c r="C9" s="1172" t="s">
        <v>24</v>
      </c>
      <c r="D9" s="1173">
        <v>0</v>
      </c>
      <c r="E9" s="1173">
        <v>0</v>
      </c>
      <c r="F9" s="1173">
        <v>0</v>
      </c>
      <c r="G9" s="1173">
        <f>SUM(D9:F9)</f>
        <v>0</v>
      </c>
      <c r="H9" s="1173">
        <v>0</v>
      </c>
      <c r="I9" s="1173">
        <v>0</v>
      </c>
      <c r="J9" s="1173">
        <f>SUM(H9:I9)</f>
        <v>0</v>
      </c>
      <c r="K9" s="1173">
        <v>0</v>
      </c>
      <c r="L9" s="1173">
        <v>0</v>
      </c>
      <c r="M9" s="1173">
        <f>SUM(K9:L9)</f>
        <v>0</v>
      </c>
      <c r="N9" s="1173">
        <v>0</v>
      </c>
      <c r="O9" s="1173">
        <v>0</v>
      </c>
      <c r="P9" s="1173">
        <f>+G9+J9+M9+N9+O9</f>
        <v>0</v>
      </c>
    </row>
    <row r="10" s="1142" customFormat="1" ht="52.5" customHeight="1" spans="1:16">
      <c r="A10" s="1176"/>
      <c r="B10" s="1177" t="s">
        <v>25</v>
      </c>
      <c r="C10" s="1172" t="s">
        <v>26</v>
      </c>
      <c r="D10" s="1173">
        <v>0</v>
      </c>
      <c r="E10" s="1173">
        <v>0</v>
      </c>
      <c r="F10" s="1173">
        <v>0</v>
      </c>
      <c r="G10" s="1173">
        <f>SUM(D10:F10)</f>
        <v>0</v>
      </c>
      <c r="H10" s="1173">
        <v>0</v>
      </c>
      <c r="I10" s="1173">
        <v>0</v>
      </c>
      <c r="J10" s="1173">
        <f>SUM(H10:I10)</f>
        <v>0</v>
      </c>
      <c r="K10" s="1173">
        <v>0</v>
      </c>
      <c r="L10" s="1173">
        <v>0</v>
      </c>
      <c r="M10" s="1173">
        <f>SUM(K10:L10)</f>
        <v>0</v>
      </c>
      <c r="N10" s="1173">
        <v>0</v>
      </c>
      <c r="O10" s="1173">
        <v>1700</v>
      </c>
      <c r="P10" s="1173">
        <f>+G10+J10+M10+N10+O10</f>
        <v>1700</v>
      </c>
    </row>
    <row r="11" s="1142" customFormat="1" ht="52.5" customHeight="1" spans="1:16">
      <c r="A11" s="1176"/>
      <c r="B11" s="1178" t="s">
        <v>27</v>
      </c>
      <c r="C11" s="1172" t="s">
        <v>28</v>
      </c>
      <c r="D11" s="1173">
        <f>+D8-D10</f>
        <v>0</v>
      </c>
      <c r="E11" s="1173">
        <f>+E8-E10</f>
        <v>0</v>
      </c>
      <c r="F11" s="1173">
        <f>+F8-F10</f>
        <v>0</v>
      </c>
      <c r="G11" s="1173">
        <f>G8-G10</f>
        <v>0</v>
      </c>
      <c r="H11" s="1173">
        <f>+H8-H10</f>
        <v>0</v>
      </c>
      <c r="I11" s="1173">
        <f>+I8-I10</f>
        <v>0</v>
      </c>
      <c r="J11" s="1173">
        <f t="shared" ref="J11:P11" si="0">J8-J10</f>
        <v>0</v>
      </c>
      <c r="K11" s="1173">
        <f>+K8-K10</f>
        <v>0</v>
      </c>
      <c r="L11" s="1173">
        <f>+L8-L10</f>
        <v>0</v>
      </c>
      <c r="M11" s="1173">
        <f t="shared" si="0"/>
        <v>0</v>
      </c>
      <c r="N11" s="1173">
        <f>+N8-N10</f>
        <v>0</v>
      </c>
      <c r="O11" s="1173">
        <f>+O8-O10</f>
        <v>735400</v>
      </c>
      <c r="P11" s="1173">
        <f t="shared" si="0"/>
        <v>735400</v>
      </c>
    </row>
    <row r="12" s="1142" customFormat="1" ht="52.5" customHeight="1" spans="1:16">
      <c r="A12" s="1176"/>
      <c r="B12" s="1178" t="s">
        <v>29</v>
      </c>
      <c r="C12" s="1172" t="s">
        <v>30</v>
      </c>
      <c r="D12" s="1173">
        <f>+D8-D9-D10</f>
        <v>0</v>
      </c>
      <c r="E12" s="1173">
        <f>+E8-E9-E10</f>
        <v>0</v>
      </c>
      <c r="F12" s="1173">
        <f>+F8-F9-F10</f>
        <v>0</v>
      </c>
      <c r="G12" s="1173">
        <f>G8-G9-G10</f>
        <v>0</v>
      </c>
      <c r="H12" s="1173">
        <f>+H8-H9-H10</f>
        <v>0</v>
      </c>
      <c r="I12" s="1173">
        <f>+I8-I9-I10</f>
        <v>0</v>
      </c>
      <c r="J12" s="1173">
        <f>J8-J9-J10</f>
        <v>0</v>
      </c>
      <c r="K12" s="1173">
        <f>+K8-K9-K10</f>
        <v>0</v>
      </c>
      <c r="L12" s="1173">
        <f>+L8-L9-L10</f>
        <v>0</v>
      </c>
      <c r="M12" s="1173">
        <f>M8-M9-M10</f>
        <v>0</v>
      </c>
      <c r="N12" s="1173">
        <f>+N8-N9-N10</f>
        <v>0</v>
      </c>
      <c r="O12" s="1173">
        <f>+O8-O9-O10</f>
        <v>735400</v>
      </c>
      <c r="P12" s="1173">
        <f>P8-P9-P10</f>
        <v>735400</v>
      </c>
    </row>
    <row r="13" s="1142" customFormat="1" ht="52.5" customHeight="1" spans="1:16">
      <c r="A13" s="1176"/>
      <c r="B13" s="1178" t="s">
        <v>31</v>
      </c>
      <c r="C13" s="1172" t="s">
        <v>32</v>
      </c>
      <c r="D13" s="1173" t="e">
        <f>+D10*100/D7</f>
        <v>#DIV/0!</v>
      </c>
      <c r="E13" s="1173" t="e">
        <f t="shared" ref="E13:P13" si="1">+E10*100/E7</f>
        <v>#DIV/0!</v>
      </c>
      <c r="F13" s="1173" t="e">
        <f t="shared" si="1"/>
        <v>#DIV/0!</v>
      </c>
      <c r="G13" s="1173" t="e">
        <f t="shared" si="1"/>
        <v>#DIV/0!</v>
      </c>
      <c r="H13" s="1173" t="e">
        <f t="shared" si="1"/>
        <v>#DIV/0!</v>
      </c>
      <c r="I13" s="1173" t="e">
        <f t="shared" si="1"/>
        <v>#DIV/0!</v>
      </c>
      <c r="J13" s="1173" t="e">
        <f t="shared" si="1"/>
        <v>#DIV/0!</v>
      </c>
      <c r="K13" s="1173" t="e">
        <f t="shared" si="1"/>
        <v>#DIV/0!</v>
      </c>
      <c r="L13" s="1173" t="e">
        <f t="shared" si="1"/>
        <v>#DIV/0!</v>
      </c>
      <c r="M13" s="1173" t="e">
        <f t="shared" si="1"/>
        <v>#DIV/0!</v>
      </c>
      <c r="N13" s="1173" t="e">
        <f t="shared" si="1"/>
        <v>#DIV/0!</v>
      </c>
      <c r="O13" s="1173">
        <f t="shared" si="1"/>
        <v>0.172957574524367</v>
      </c>
      <c r="P13" s="1173">
        <f t="shared" si="1"/>
        <v>0.172957574524367</v>
      </c>
    </row>
    <row r="14" s="1142" customFormat="1" ht="52.5" customHeight="1" spans="1:16">
      <c r="A14" s="1179"/>
      <c r="B14" s="1180"/>
      <c r="C14" s="1172" t="s">
        <v>33</v>
      </c>
      <c r="D14" s="1173" t="e">
        <f>+D10*100/D8</f>
        <v>#DIV/0!</v>
      </c>
      <c r="E14" s="1173" t="e">
        <f t="shared" ref="E14:P14" si="2">+E10*100/E8</f>
        <v>#DIV/0!</v>
      </c>
      <c r="F14" s="1173" t="e">
        <f t="shared" si="2"/>
        <v>#DIV/0!</v>
      </c>
      <c r="G14" s="1173" t="e">
        <f t="shared" si="2"/>
        <v>#DIV/0!</v>
      </c>
      <c r="H14" s="1173" t="e">
        <f t="shared" si="2"/>
        <v>#DIV/0!</v>
      </c>
      <c r="I14" s="1173" t="e">
        <f t="shared" si="2"/>
        <v>#DIV/0!</v>
      </c>
      <c r="J14" s="1173" t="e">
        <f t="shared" si="2"/>
        <v>#DIV/0!</v>
      </c>
      <c r="K14" s="1173" t="e">
        <f t="shared" si="2"/>
        <v>#DIV/0!</v>
      </c>
      <c r="L14" s="1173" t="e">
        <f t="shared" si="2"/>
        <v>#DIV/0!</v>
      </c>
      <c r="M14" s="1173" t="e">
        <f t="shared" si="2"/>
        <v>#DIV/0!</v>
      </c>
      <c r="N14" s="1173" t="e">
        <f t="shared" si="2"/>
        <v>#DIV/0!</v>
      </c>
      <c r="O14" s="1173">
        <f t="shared" si="2"/>
        <v>0.230633563966897</v>
      </c>
      <c r="P14" s="1173">
        <f t="shared" si="2"/>
        <v>0.230633563966897</v>
      </c>
    </row>
    <row r="15" s="1142" customFormat="1" ht="52.5" customHeight="1" spans="1:16">
      <c r="A15" s="1181" t="s">
        <v>34</v>
      </c>
      <c r="B15" s="1182"/>
      <c r="C15" s="1172" t="s">
        <v>20</v>
      </c>
      <c r="D15" s="1173">
        <v>0</v>
      </c>
      <c r="E15" s="1173">
        <v>0</v>
      </c>
      <c r="F15" s="1173">
        <v>0</v>
      </c>
      <c r="G15" s="1173">
        <f>SUM(D15:F15)</f>
        <v>0</v>
      </c>
      <c r="H15" s="1173">
        <v>0</v>
      </c>
      <c r="I15" s="1173">
        <v>0</v>
      </c>
      <c r="J15" s="1173">
        <f>SUM(H15:I15)</f>
        <v>0</v>
      </c>
      <c r="K15" s="1173">
        <v>0</v>
      </c>
      <c r="L15" s="1173">
        <v>0</v>
      </c>
      <c r="M15" s="1173">
        <f>SUM(K15:L15)</f>
        <v>0</v>
      </c>
      <c r="N15" s="1173">
        <v>0</v>
      </c>
      <c r="O15" s="1173">
        <f>5938000+10041500</f>
        <v>15979500</v>
      </c>
      <c r="P15" s="1173">
        <f>+G15+J15+M15+N15+O15</f>
        <v>15979500</v>
      </c>
    </row>
    <row r="16" s="1142" customFormat="1" ht="52.5" customHeight="1" spans="1:17">
      <c r="A16" s="1181" t="s">
        <v>35</v>
      </c>
      <c r="B16" s="1181"/>
      <c r="C16" s="1172" t="s">
        <v>22</v>
      </c>
      <c r="D16" s="1173">
        <v>0</v>
      </c>
      <c r="E16" s="1173">
        <v>0</v>
      </c>
      <c r="F16" s="1173">
        <v>0</v>
      </c>
      <c r="G16" s="1173">
        <f>SUM(D16:F16)</f>
        <v>0</v>
      </c>
      <c r="H16" s="1173">
        <v>0</v>
      </c>
      <c r="I16" s="1173">
        <v>0</v>
      </c>
      <c r="J16" s="1173">
        <f>SUM(H16:I16)</f>
        <v>0</v>
      </c>
      <c r="K16" s="1173">
        <v>0</v>
      </c>
      <c r="L16" s="1173">
        <v>0</v>
      </c>
      <c r="M16" s="1173">
        <f>SUM(K16:L16)</f>
        <v>0</v>
      </c>
      <c r="N16" s="1173">
        <v>0</v>
      </c>
      <c r="O16" s="1173">
        <f>4453500+1250000+1898600+1882500+2500000</f>
        <v>11984600</v>
      </c>
      <c r="P16" s="1173">
        <f>+G16+J16+M16+N16+O16</f>
        <v>11984600</v>
      </c>
      <c r="Q16" s="1142">
        <f>+P15-P16</f>
        <v>3994900</v>
      </c>
    </row>
    <row r="17" s="1142" customFormat="1" ht="52.5" customHeight="1" spans="1:16">
      <c r="A17" s="1176">
        <v>2</v>
      </c>
      <c r="B17" s="1177" t="s">
        <v>36</v>
      </c>
      <c r="C17" s="1172" t="s">
        <v>24</v>
      </c>
      <c r="D17" s="1173">
        <v>0</v>
      </c>
      <c r="E17" s="1173">
        <v>0</v>
      </c>
      <c r="F17" s="1173">
        <v>0</v>
      </c>
      <c r="G17" s="1173">
        <f>SUM(D17:F17)</f>
        <v>0</v>
      </c>
      <c r="H17" s="1173">
        <v>0</v>
      </c>
      <c r="I17" s="1173">
        <v>0</v>
      </c>
      <c r="J17" s="1173">
        <f>SUM(H17:I17)</f>
        <v>0</v>
      </c>
      <c r="K17" s="1173">
        <v>0</v>
      </c>
      <c r="L17" s="1173">
        <v>0</v>
      </c>
      <c r="M17" s="1173">
        <f>SUM(K17:L17)</f>
        <v>0</v>
      </c>
      <c r="N17" s="1173">
        <v>0</v>
      </c>
      <c r="O17" s="1173">
        <f>14697.4+40410</f>
        <v>55107.4</v>
      </c>
      <c r="P17" s="1173">
        <f>+G17+J17+M17+N17+O17</f>
        <v>55107.4</v>
      </c>
    </row>
    <row r="18" s="1142" customFormat="1" ht="52.5" customHeight="1" spans="1:16">
      <c r="A18" s="1176"/>
      <c r="B18" s="1183" t="s">
        <v>37</v>
      </c>
      <c r="C18" s="1172" t="s">
        <v>26</v>
      </c>
      <c r="D18" s="1173">
        <v>0</v>
      </c>
      <c r="E18" s="1173">
        <v>0</v>
      </c>
      <c r="F18" s="1173">
        <v>0</v>
      </c>
      <c r="G18" s="1173">
        <f>SUM(D18:F18)</f>
        <v>0</v>
      </c>
      <c r="H18" s="1173">
        <v>0</v>
      </c>
      <c r="I18" s="1173">
        <v>0</v>
      </c>
      <c r="J18" s="1173">
        <f>SUM(H18:I18)</f>
        <v>0</v>
      </c>
      <c r="K18" s="1173">
        <v>0</v>
      </c>
      <c r="L18" s="1173">
        <v>0</v>
      </c>
      <c r="M18" s="1173">
        <f>SUM(K18:L18)</f>
        <v>0</v>
      </c>
      <c r="N18" s="1173">
        <v>0</v>
      </c>
      <c r="O18" s="1173">
        <f>1507864.31+2500000+466687+652721.3</f>
        <v>5127272.61</v>
      </c>
      <c r="P18" s="1173">
        <f>+G18+J18+M18+N18+O18</f>
        <v>5127272.61</v>
      </c>
    </row>
    <row r="19" s="1142" customFormat="1" ht="52.5" customHeight="1" spans="1:16">
      <c r="A19" s="1176"/>
      <c r="B19" s="1184" t="s">
        <v>38</v>
      </c>
      <c r="C19" s="1172" t="s">
        <v>28</v>
      </c>
      <c r="D19" s="1173">
        <f>+D16-D18</f>
        <v>0</v>
      </c>
      <c r="E19" s="1173">
        <f>+E16-E18</f>
        <v>0</v>
      </c>
      <c r="F19" s="1173">
        <f>+F16-F18</f>
        <v>0</v>
      </c>
      <c r="G19" s="1173">
        <f>G16-G18</f>
        <v>0</v>
      </c>
      <c r="H19" s="1173">
        <f>+H16-H18</f>
        <v>0</v>
      </c>
      <c r="I19" s="1173">
        <f>+I16-I18</f>
        <v>0</v>
      </c>
      <c r="J19" s="1173">
        <f t="shared" ref="J19" si="3">J16-J18</f>
        <v>0</v>
      </c>
      <c r="K19" s="1173">
        <f>+K16-K18</f>
        <v>0</v>
      </c>
      <c r="L19" s="1173">
        <f>+L16-L18</f>
        <v>0</v>
      </c>
      <c r="M19" s="1173">
        <f t="shared" ref="M19" si="4">M16-M18</f>
        <v>0</v>
      </c>
      <c r="N19" s="1173">
        <f>+N16-N18</f>
        <v>0</v>
      </c>
      <c r="O19" s="1173">
        <f>+O16-O18</f>
        <v>6857327.39</v>
      </c>
      <c r="P19" s="1173">
        <f t="shared" ref="P19" si="5">P16-P18</f>
        <v>6857327.39</v>
      </c>
    </row>
    <row r="20" s="1142" customFormat="1" ht="52.5" customHeight="1" spans="1:16">
      <c r="A20" s="1176"/>
      <c r="B20" s="1183" t="s">
        <v>39</v>
      </c>
      <c r="C20" s="1172" t="s">
        <v>30</v>
      </c>
      <c r="D20" s="1173">
        <f>+D16-D17-D18</f>
        <v>0</v>
      </c>
      <c r="E20" s="1173">
        <f>+E16-E17-E18</f>
        <v>0</v>
      </c>
      <c r="F20" s="1173">
        <f>+F16-F17-F18</f>
        <v>0</v>
      </c>
      <c r="G20" s="1173">
        <f>G16-G17-G18</f>
        <v>0</v>
      </c>
      <c r="H20" s="1173">
        <f>+H16-H17-H18</f>
        <v>0</v>
      </c>
      <c r="I20" s="1173">
        <f>+I16-I17-I18</f>
        <v>0</v>
      </c>
      <c r="J20" s="1173">
        <f>J16-J17-J18</f>
        <v>0</v>
      </c>
      <c r="K20" s="1173">
        <f>+K16-K17-K18</f>
        <v>0</v>
      </c>
      <c r="L20" s="1173">
        <f>+L16-L17-L18</f>
        <v>0</v>
      </c>
      <c r="M20" s="1173">
        <f>M16-M17-M18</f>
        <v>0</v>
      </c>
      <c r="N20" s="1173">
        <f>+N16-N17-N18</f>
        <v>0</v>
      </c>
      <c r="O20" s="1173">
        <f>+O16-O17-O18</f>
        <v>6802219.99</v>
      </c>
      <c r="P20" s="1173">
        <f>P16-P17-P18</f>
        <v>6802219.99</v>
      </c>
    </row>
    <row r="21" s="1142" customFormat="1" ht="52.5" customHeight="1" spans="1:16">
      <c r="A21" s="1176"/>
      <c r="B21" s="1183" t="s">
        <v>40</v>
      </c>
      <c r="C21" s="1172" t="s">
        <v>32</v>
      </c>
      <c r="D21" s="1173" t="e">
        <f>+D18*100/D15</f>
        <v>#DIV/0!</v>
      </c>
      <c r="E21" s="1173" t="e">
        <f t="shared" ref="E21:P21" si="6">+E18*100/E15</f>
        <v>#DIV/0!</v>
      </c>
      <c r="F21" s="1173" t="e">
        <f t="shared" si="6"/>
        <v>#DIV/0!</v>
      </c>
      <c r="G21" s="1173" t="e">
        <f t="shared" si="6"/>
        <v>#DIV/0!</v>
      </c>
      <c r="H21" s="1173" t="e">
        <f t="shared" si="6"/>
        <v>#DIV/0!</v>
      </c>
      <c r="I21" s="1173" t="e">
        <f t="shared" si="6"/>
        <v>#DIV/0!</v>
      </c>
      <c r="J21" s="1173" t="e">
        <f t="shared" si="6"/>
        <v>#DIV/0!</v>
      </c>
      <c r="K21" s="1173" t="e">
        <f t="shared" si="6"/>
        <v>#DIV/0!</v>
      </c>
      <c r="L21" s="1173" t="e">
        <f t="shared" si="6"/>
        <v>#DIV/0!</v>
      </c>
      <c r="M21" s="1173" t="e">
        <f t="shared" si="6"/>
        <v>#DIV/0!</v>
      </c>
      <c r="N21" s="1173" t="e">
        <f t="shared" si="6"/>
        <v>#DIV/0!</v>
      </c>
      <c r="O21" s="1173">
        <f t="shared" si="6"/>
        <v>32.0865647235521</v>
      </c>
      <c r="P21" s="1173">
        <f t="shared" si="6"/>
        <v>32.0865647235521</v>
      </c>
    </row>
    <row r="22" s="1142" customFormat="1" ht="52.5" customHeight="1" spans="1:16">
      <c r="A22" s="1179"/>
      <c r="B22" s="1185" t="s">
        <v>41</v>
      </c>
      <c r="C22" s="1172" t="s">
        <v>33</v>
      </c>
      <c r="D22" s="1173" t="e">
        <f>+D18*100/D16</f>
        <v>#DIV/0!</v>
      </c>
      <c r="E22" s="1173" t="e">
        <f t="shared" ref="E22:P22" si="7">+E18*100/E16</f>
        <v>#DIV/0!</v>
      </c>
      <c r="F22" s="1173" t="e">
        <f t="shared" si="7"/>
        <v>#DIV/0!</v>
      </c>
      <c r="G22" s="1173" t="e">
        <f t="shared" si="7"/>
        <v>#DIV/0!</v>
      </c>
      <c r="H22" s="1173" t="e">
        <f t="shared" si="7"/>
        <v>#DIV/0!</v>
      </c>
      <c r="I22" s="1173" t="e">
        <f t="shared" si="7"/>
        <v>#DIV/0!</v>
      </c>
      <c r="J22" s="1173" t="e">
        <f t="shared" si="7"/>
        <v>#DIV/0!</v>
      </c>
      <c r="K22" s="1173" t="e">
        <f t="shared" si="7"/>
        <v>#DIV/0!</v>
      </c>
      <c r="L22" s="1173" t="e">
        <f t="shared" si="7"/>
        <v>#DIV/0!</v>
      </c>
      <c r="M22" s="1173" t="e">
        <f t="shared" si="7"/>
        <v>#DIV/0!</v>
      </c>
      <c r="N22" s="1173" t="e">
        <f t="shared" si="7"/>
        <v>#DIV/0!</v>
      </c>
      <c r="O22" s="1173">
        <f t="shared" si="7"/>
        <v>42.7821755419455</v>
      </c>
      <c r="P22" s="1173">
        <f t="shared" si="7"/>
        <v>42.7821755419455</v>
      </c>
    </row>
    <row r="23" s="1142" customFormat="1" ht="52.5" customHeight="1" spans="1:16">
      <c r="A23" s="1181" t="s">
        <v>42</v>
      </c>
      <c r="B23" s="1181"/>
      <c r="C23" s="1172" t="s">
        <v>20</v>
      </c>
      <c r="D23" s="1173">
        <v>0</v>
      </c>
      <c r="E23" s="1173">
        <v>0</v>
      </c>
      <c r="F23" s="1173">
        <v>0</v>
      </c>
      <c r="G23" s="1173">
        <f>SUM(D23:F23)</f>
        <v>0</v>
      </c>
      <c r="H23" s="1173">
        <v>4643900</v>
      </c>
      <c r="I23" s="1173">
        <v>5232600</v>
      </c>
      <c r="J23" s="1173">
        <f>SUM(H23:I23)</f>
        <v>9876500</v>
      </c>
      <c r="K23" s="1173">
        <v>0</v>
      </c>
      <c r="L23" s="1173">
        <v>0</v>
      </c>
      <c r="M23" s="1173">
        <f>SUM(K23:L23)</f>
        <v>0</v>
      </c>
      <c r="N23" s="1173">
        <v>0</v>
      </c>
      <c r="O23" s="1173">
        <v>0</v>
      </c>
      <c r="P23" s="1173">
        <f>+G23+J23+M23+N23+O23</f>
        <v>9876500</v>
      </c>
    </row>
    <row r="24" s="1142" customFormat="1" ht="52.5" customHeight="1" spans="1:17">
      <c r="A24" s="1176">
        <v>3</v>
      </c>
      <c r="B24" s="1177" t="s">
        <v>43</v>
      </c>
      <c r="C24" s="1172" t="s">
        <v>22</v>
      </c>
      <c r="D24" s="1173">
        <v>0</v>
      </c>
      <c r="E24" s="1173">
        <v>0</v>
      </c>
      <c r="F24" s="1173">
        <v>0</v>
      </c>
      <c r="G24" s="1173">
        <f>SUM(D24:F24)</f>
        <v>0</v>
      </c>
      <c r="H24" s="1173">
        <f>+H23*B30/100-37.5</f>
        <v>3482887.5</v>
      </c>
      <c r="I24" s="1173">
        <f>+I23*B30/100-37.5</f>
        <v>3924412.5</v>
      </c>
      <c r="J24" s="1173">
        <f>SUM(H24:I24)</f>
        <v>7407300</v>
      </c>
      <c r="K24" s="1173">
        <v>0</v>
      </c>
      <c r="L24" s="1173">
        <v>0</v>
      </c>
      <c r="M24" s="1173">
        <f>SUM(K24:L24)</f>
        <v>0</v>
      </c>
      <c r="N24" s="1173">
        <v>0</v>
      </c>
      <c r="O24" s="1173">
        <v>0</v>
      </c>
      <c r="P24" s="1173">
        <f>+G24+J24+M24+N24+O24</f>
        <v>7407300</v>
      </c>
      <c r="Q24" s="1142">
        <f>+P23-P24</f>
        <v>2469200</v>
      </c>
    </row>
    <row r="25" s="1142" customFormat="1" ht="52.5" customHeight="1" spans="1:17">
      <c r="A25" s="1176"/>
      <c r="B25" s="1177" t="s">
        <v>44</v>
      </c>
      <c r="C25" s="1172" t="s">
        <v>24</v>
      </c>
      <c r="D25" s="1173">
        <v>0</v>
      </c>
      <c r="E25" s="1173">
        <v>0</v>
      </c>
      <c r="F25" s="1173">
        <v>0</v>
      </c>
      <c r="G25" s="1173">
        <f>SUM(D25:F25)</f>
        <v>0</v>
      </c>
      <c r="H25" s="1173">
        <v>0</v>
      </c>
      <c r="I25" s="1173">
        <v>0</v>
      </c>
      <c r="J25" s="1173">
        <f>SUM(H25:I25)</f>
        <v>0</v>
      </c>
      <c r="K25" s="1173">
        <v>0</v>
      </c>
      <c r="L25" s="1173">
        <v>0</v>
      </c>
      <c r="M25" s="1173">
        <f>SUM(K25:L25)</f>
        <v>0</v>
      </c>
      <c r="N25" s="1173">
        <v>0</v>
      </c>
      <c r="O25" s="1173">
        <v>0</v>
      </c>
      <c r="P25" s="1173">
        <f>+G25+J25+M25+N25+O25</f>
        <v>0</v>
      </c>
      <c r="Q25" s="1142" t="e">
        <f>SUM(#REF!)</f>
        <v>#REF!</v>
      </c>
    </row>
    <row r="26" s="1142" customFormat="1" ht="52.5" customHeight="1" spans="1:16">
      <c r="A26" s="1176"/>
      <c r="B26" s="1177" t="s">
        <v>45</v>
      </c>
      <c r="C26" s="1172" t="s">
        <v>26</v>
      </c>
      <c r="D26" s="1173">
        <v>0</v>
      </c>
      <c r="E26" s="1173">
        <v>0</v>
      </c>
      <c r="F26" s="1173">
        <v>0</v>
      </c>
      <c r="G26" s="1173">
        <f>SUM(D26:F26)</f>
        <v>0</v>
      </c>
      <c r="H26" s="1173">
        <f>445940+716686.81+301421.69</f>
        <v>1464048.5</v>
      </c>
      <c r="I26" s="1173">
        <v>4007129.75</v>
      </c>
      <c r="J26" s="1173">
        <f>SUM(H26:I26)</f>
        <v>5471178.25</v>
      </c>
      <c r="K26" s="1173">
        <v>0</v>
      </c>
      <c r="L26" s="1173">
        <v>0</v>
      </c>
      <c r="M26" s="1173">
        <f>SUM(K26:L26)</f>
        <v>0</v>
      </c>
      <c r="N26" s="1173">
        <v>0</v>
      </c>
      <c r="O26" s="1173">
        <v>0</v>
      </c>
      <c r="P26" s="1173">
        <f>+G26+J26+M26+N26+O26</f>
        <v>5471178.25</v>
      </c>
    </row>
    <row r="27" s="1143" customFormat="1" ht="52.5" customHeight="1" spans="1:16">
      <c r="A27" s="1176"/>
      <c r="B27" s="1183" t="s">
        <v>46</v>
      </c>
      <c r="C27" s="1172" t="s">
        <v>28</v>
      </c>
      <c r="D27" s="1173">
        <f>+D24-D26</f>
        <v>0</v>
      </c>
      <c r="E27" s="1173">
        <f>+E24-E26</f>
        <v>0</v>
      </c>
      <c r="F27" s="1173">
        <f>+F24-F26</f>
        <v>0</v>
      </c>
      <c r="G27" s="1173">
        <f>G24-G26</f>
        <v>0</v>
      </c>
      <c r="H27" s="1173">
        <f>+H24-H26</f>
        <v>2018839</v>
      </c>
      <c r="I27" s="1173">
        <f>+I24-I26</f>
        <v>-82717.25</v>
      </c>
      <c r="J27" s="1173">
        <f t="shared" ref="J27" si="8">J24-J26</f>
        <v>1936121.75</v>
      </c>
      <c r="K27" s="1173">
        <f>+K24-K26</f>
        <v>0</v>
      </c>
      <c r="L27" s="1173">
        <f>+L24-L26</f>
        <v>0</v>
      </c>
      <c r="M27" s="1173">
        <f t="shared" ref="M27" si="9">M24-M26</f>
        <v>0</v>
      </c>
      <c r="N27" s="1173">
        <f>+N24-N26</f>
        <v>0</v>
      </c>
      <c r="O27" s="1173">
        <f>+O24-O26</f>
        <v>0</v>
      </c>
      <c r="P27" s="1173">
        <f t="shared" ref="P27" si="10">P24-P26</f>
        <v>1936121.75</v>
      </c>
    </row>
    <row r="28" s="1143" customFormat="1" ht="52.5" customHeight="1" spans="1:16">
      <c r="A28" s="1176"/>
      <c r="B28" s="1186"/>
      <c r="C28" s="1172" t="s">
        <v>30</v>
      </c>
      <c r="D28" s="1173">
        <f>+D24-D25-D26</f>
        <v>0</v>
      </c>
      <c r="E28" s="1173">
        <f>+E24-E25-E26</f>
        <v>0</v>
      </c>
      <c r="F28" s="1173">
        <f>+F24-F25-F26</f>
        <v>0</v>
      </c>
      <c r="G28" s="1173">
        <f>G24-G25-G26</f>
        <v>0</v>
      </c>
      <c r="H28" s="1173">
        <f>+H24-H25-H26</f>
        <v>2018839</v>
      </c>
      <c r="I28" s="1173">
        <f>+I24-I25-I26</f>
        <v>-82717.25</v>
      </c>
      <c r="J28" s="1173">
        <f>J24-J25-J26</f>
        <v>1936121.75</v>
      </c>
      <c r="K28" s="1173">
        <f>+K24-K25-K26</f>
        <v>0</v>
      </c>
      <c r="L28" s="1173">
        <f>+L24-L25-L26</f>
        <v>0</v>
      </c>
      <c r="M28" s="1173">
        <f>M24-M25-M26</f>
        <v>0</v>
      </c>
      <c r="N28" s="1173">
        <f>+N24-N25-N26</f>
        <v>0</v>
      </c>
      <c r="O28" s="1173">
        <f>+O24-O25-O26</f>
        <v>0</v>
      </c>
      <c r="P28" s="1173">
        <f>P24-P25-P26</f>
        <v>1936121.75</v>
      </c>
    </row>
    <row r="29" s="1142" customFormat="1" ht="52.5" customHeight="1" spans="1:16">
      <c r="A29" s="1176"/>
      <c r="B29" s="1187"/>
      <c r="C29" s="1172" t="s">
        <v>32</v>
      </c>
      <c r="D29" s="1173" t="e">
        <f>+D26*100/D23</f>
        <v>#DIV/0!</v>
      </c>
      <c r="E29" s="1173" t="e">
        <f t="shared" ref="E29:P29" si="11">+E26*100/E23</f>
        <v>#DIV/0!</v>
      </c>
      <c r="F29" s="1173" t="e">
        <f t="shared" si="11"/>
        <v>#DIV/0!</v>
      </c>
      <c r="G29" s="1173" t="e">
        <f t="shared" si="11"/>
        <v>#DIV/0!</v>
      </c>
      <c r="H29" s="1173">
        <f t="shared" si="11"/>
        <v>31.5262710222012</v>
      </c>
      <c r="I29" s="1173">
        <f t="shared" si="11"/>
        <v>76.5800892481749</v>
      </c>
      <c r="J29" s="1173">
        <f t="shared" si="11"/>
        <v>55.3959221384094</v>
      </c>
      <c r="K29" s="1173" t="e">
        <f t="shared" si="11"/>
        <v>#DIV/0!</v>
      </c>
      <c r="L29" s="1173" t="e">
        <f t="shared" si="11"/>
        <v>#DIV/0!</v>
      </c>
      <c r="M29" s="1173" t="e">
        <f t="shared" si="11"/>
        <v>#DIV/0!</v>
      </c>
      <c r="N29" s="1173" t="e">
        <f t="shared" si="11"/>
        <v>#DIV/0!</v>
      </c>
      <c r="O29" s="1173" t="e">
        <f t="shared" si="11"/>
        <v>#DIV/0!</v>
      </c>
      <c r="P29" s="1173">
        <f t="shared" si="11"/>
        <v>55.3959221384094</v>
      </c>
    </row>
    <row r="30" s="1142" customFormat="1" ht="52.5" customHeight="1" spans="1:16">
      <c r="A30" s="1179"/>
      <c r="B30" s="1188">
        <v>75</v>
      </c>
      <c r="C30" s="1172" t="s">
        <v>33</v>
      </c>
      <c r="D30" s="1173" t="e">
        <f>+D26*100/D24</f>
        <v>#DIV/0!</v>
      </c>
      <c r="E30" s="1173" t="e">
        <f t="shared" ref="E30:P30" si="12">+E26*100/E24</f>
        <v>#DIV/0!</v>
      </c>
      <c r="F30" s="1173" t="e">
        <f t="shared" si="12"/>
        <v>#DIV/0!</v>
      </c>
      <c r="G30" s="1173" t="e">
        <f t="shared" si="12"/>
        <v>#DIV/0!</v>
      </c>
      <c r="H30" s="1173">
        <f t="shared" si="12"/>
        <v>42.0354806177346</v>
      </c>
      <c r="I30" s="1173">
        <f t="shared" si="12"/>
        <v>102.107761352814</v>
      </c>
      <c r="J30" s="1173">
        <f t="shared" si="12"/>
        <v>73.8619773736719</v>
      </c>
      <c r="K30" s="1173" t="e">
        <f t="shared" si="12"/>
        <v>#DIV/0!</v>
      </c>
      <c r="L30" s="1173" t="e">
        <f t="shared" si="12"/>
        <v>#DIV/0!</v>
      </c>
      <c r="M30" s="1173" t="e">
        <f t="shared" si="12"/>
        <v>#DIV/0!</v>
      </c>
      <c r="N30" s="1173" t="e">
        <f t="shared" si="12"/>
        <v>#DIV/0!</v>
      </c>
      <c r="O30" s="1173" t="e">
        <f t="shared" si="12"/>
        <v>#DIV/0!</v>
      </c>
      <c r="P30" s="1173">
        <f t="shared" si="12"/>
        <v>73.8619773736719</v>
      </c>
    </row>
    <row r="31" s="1142" customFormat="1" ht="52.5" customHeight="1" spans="1:16">
      <c r="A31" s="1189" t="s">
        <v>47</v>
      </c>
      <c r="B31" s="1189"/>
      <c r="C31" s="1172" t="s">
        <v>20</v>
      </c>
      <c r="D31" s="1173">
        <v>627075500</v>
      </c>
      <c r="E31" s="1173">
        <v>246152200</v>
      </c>
      <c r="F31" s="1173">
        <v>516824300</v>
      </c>
      <c r="G31" s="1173">
        <f>SUM(D31:F31)</f>
        <v>1390052000</v>
      </c>
      <c r="H31" s="1173">
        <v>30007600</v>
      </c>
      <c r="I31" s="1173">
        <v>0</v>
      </c>
      <c r="J31" s="1173">
        <f>SUM(H31:I31)</f>
        <v>30007600</v>
      </c>
      <c r="K31" s="1173">
        <v>0</v>
      </c>
      <c r="L31" s="1173">
        <v>0</v>
      </c>
      <c r="M31" s="1173">
        <f>SUM(K31:L31)</f>
        <v>0</v>
      </c>
      <c r="N31" s="1173">
        <v>0</v>
      </c>
      <c r="O31" s="1173">
        <v>0</v>
      </c>
      <c r="P31" s="1173">
        <f>+G31+J31+M31+N31+O31</f>
        <v>1420059600</v>
      </c>
    </row>
    <row r="32" s="1142" customFormat="1" ht="52.5" customHeight="1" spans="1:16">
      <c r="A32" s="1176">
        <v>4</v>
      </c>
      <c r="B32" s="1190" t="s">
        <v>48</v>
      </c>
      <c r="C32" s="1172" t="s">
        <v>22</v>
      </c>
      <c r="D32" s="1173">
        <f>+D31*B36/100</f>
        <v>470306625</v>
      </c>
      <c r="E32" s="1173">
        <f>+E31*B36/100</f>
        <v>184614150</v>
      </c>
      <c r="F32" s="1173">
        <f>+F31*B36/100</f>
        <v>387618225</v>
      </c>
      <c r="G32" s="1173">
        <f>SUM(D32:F32)</f>
        <v>1042539000</v>
      </c>
      <c r="H32" s="1173">
        <v>22505600</v>
      </c>
      <c r="I32" s="1173">
        <v>0</v>
      </c>
      <c r="J32" s="1173">
        <f>SUM(H32:I32)</f>
        <v>22505600</v>
      </c>
      <c r="K32" s="1173">
        <v>0</v>
      </c>
      <c r="L32" s="1173">
        <v>0</v>
      </c>
      <c r="M32" s="1173">
        <f>SUM(K32:L32)</f>
        <v>0</v>
      </c>
      <c r="N32" s="1173">
        <v>0</v>
      </c>
      <c r="O32" s="1173">
        <v>0</v>
      </c>
      <c r="P32" s="1173">
        <f>+G32+J32+M32+N32+O32</f>
        <v>1065044600</v>
      </c>
    </row>
    <row r="33" s="1142" customFormat="1" ht="52.5" customHeight="1" spans="1:16">
      <c r="A33" s="1176"/>
      <c r="B33" s="1190" t="s">
        <v>49</v>
      </c>
      <c r="C33" s="1172" t="s">
        <v>24</v>
      </c>
      <c r="D33" s="1173">
        <v>0</v>
      </c>
      <c r="E33" s="1173">
        <v>0</v>
      </c>
      <c r="F33" s="1173">
        <v>0</v>
      </c>
      <c r="G33" s="1173">
        <f>SUM(D33:F33)</f>
        <v>0</v>
      </c>
      <c r="H33" s="1173">
        <v>0</v>
      </c>
      <c r="I33" s="1173">
        <v>0</v>
      </c>
      <c r="J33" s="1173">
        <f>SUM(H33:I33)</f>
        <v>0</v>
      </c>
      <c r="K33" s="1173">
        <v>0</v>
      </c>
      <c r="L33" s="1173">
        <v>0</v>
      </c>
      <c r="M33" s="1173">
        <f>SUM(K33:L33)</f>
        <v>0</v>
      </c>
      <c r="N33" s="1173">
        <v>0</v>
      </c>
      <c r="O33" s="1173">
        <v>0</v>
      </c>
      <c r="P33" s="1173">
        <f>+G33+J33+M33+N33+O33</f>
        <v>0</v>
      </c>
    </row>
    <row r="34" s="1142" customFormat="1" ht="52.5" customHeight="1" spans="1:16">
      <c r="A34" s="1176"/>
      <c r="B34" s="1191" t="s">
        <v>50</v>
      </c>
      <c r="C34" s="1172" t="s">
        <v>26</v>
      </c>
      <c r="D34" s="1173">
        <v>372587182.59</v>
      </c>
      <c r="E34" s="1173">
        <v>140870326.3</v>
      </c>
      <c r="F34" s="1173">
        <v>288577660.37</v>
      </c>
      <c r="G34" s="1173">
        <f>SUM(D34:F34)</f>
        <v>802035169.26</v>
      </c>
      <c r="H34" s="1173">
        <f>8856562.95+8353815.43</f>
        <v>17210378.38</v>
      </c>
      <c r="I34" s="1173">
        <v>1921</v>
      </c>
      <c r="J34" s="1173">
        <f>SUM(H34:I34)</f>
        <v>17212299.38</v>
      </c>
      <c r="K34" s="1173">
        <v>0</v>
      </c>
      <c r="L34" s="1173">
        <v>0</v>
      </c>
      <c r="M34" s="1173">
        <f>SUM(K34:L34)</f>
        <v>0</v>
      </c>
      <c r="N34" s="1173">
        <v>0</v>
      </c>
      <c r="O34" s="1173">
        <v>0</v>
      </c>
      <c r="P34" s="1173">
        <f>+G34+J34+M34+N34+O34</f>
        <v>819247468.64</v>
      </c>
    </row>
    <row r="35" s="1143" customFormat="1" ht="52.5" customHeight="1" spans="1:16">
      <c r="A35" s="1176"/>
      <c r="B35" s="1191" t="s">
        <v>51</v>
      </c>
      <c r="C35" s="1172" t="s">
        <v>28</v>
      </c>
      <c r="D35" s="1173">
        <f>+D32-D34</f>
        <v>97719442.41</v>
      </c>
      <c r="E35" s="1173">
        <f>+E32-E34</f>
        <v>43743823.7</v>
      </c>
      <c r="F35" s="1173">
        <f>+F32-F34</f>
        <v>99040564.63</v>
      </c>
      <c r="G35" s="1173">
        <f>G32-G34</f>
        <v>240503830.74</v>
      </c>
      <c r="H35" s="1173">
        <f>+H32-H34</f>
        <v>5295221.62</v>
      </c>
      <c r="I35" s="1173">
        <f>+I32-I34</f>
        <v>-1921</v>
      </c>
      <c r="J35" s="1173">
        <f t="shared" ref="J35" si="13">J32-J34</f>
        <v>5293300.62</v>
      </c>
      <c r="K35" s="1173">
        <f>+K32-K34</f>
        <v>0</v>
      </c>
      <c r="L35" s="1173">
        <f>+L32-L34</f>
        <v>0</v>
      </c>
      <c r="M35" s="1173">
        <f t="shared" ref="M35" si="14">M32-M34</f>
        <v>0</v>
      </c>
      <c r="N35" s="1173">
        <f>+N32-N34</f>
        <v>0</v>
      </c>
      <c r="O35" s="1173">
        <f>+O32-O34</f>
        <v>0</v>
      </c>
      <c r="P35" s="1173">
        <f t="shared" ref="P35" si="15">P32-P34</f>
        <v>245797131.36</v>
      </c>
    </row>
    <row r="36" s="1143" customFormat="1" ht="52.5" customHeight="1" spans="1:16">
      <c r="A36" s="1176"/>
      <c r="B36" s="1192">
        <f>1042539000*100/G31</f>
        <v>75</v>
      </c>
      <c r="C36" s="1172" t="s">
        <v>30</v>
      </c>
      <c r="D36" s="1173">
        <f>+D32-D33-D34</f>
        <v>97719442.41</v>
      </c>
      <c r="E36" s="1173">
        <f>+E32-E33-E34</f>
        <v>43743823.7</v>
      </c>
      <c r="F36" s="1173">
        <f>+F32-F33-F34</f>
        <v>99040564.63</v>
      </c>
      <c r="G36" s="1173">
        <f>G32-G33-G34</f>
        <v>240503830.74</v>
      </c>
      <c r="H36" s="1173">
        <f>+H32-H33-H34</f>
        <v>5295221.62</v>
      </c>
      <c r="I36" s="1173">
        <f>+I32-I33-I34</f>
        <v>-1921</v>
      </c>
      <c r="J36" s="1173">
        <f>J32-J33-J34</f>
        <v>5293300.62</v>
      </c>
      <c r="K36" s="1173">
        <f>+K32-K33-K34</f>
        <v>0</v>
      </c>
      <c r="L36" s="1173">
        <f>+L32-L33-L34</f>
        <v>0</v>
      </c>
      <c r="M36" s="1173">
        <f>M32-M33-M34</f>
        <v>0</v>
      </c>
      <c r="N36" s="1173">
        <f>+N32-N33-N34</f>
        <v>0</v>
      </c>
      <c r="O36" s="1173">
        <f>+O32-O33-O34</f>
        <v>0</v>
      </c>
      <c r="P36" s="1173">
        <f>P32-P33-P34</f>
        <v>245797131.36</v>
      </c>
    </row>
    <row r="37" s="1142" customFormat="1" ht="52.5" customHeight="1" spans="1:16">
      <c r="A37" s="1176"/>
      <c r="B37" s="1192"/>
      <c r="C37" s="1172" t="s">
        <v>32</v>
      </c>
      <c r="D37" s="1173">
        <f>+D34*100/D31</f>
        <v>59.4166384414636</v>
      </c>
      <c r="E37" s="1173">
        <f t="shared" ref="E37:P37" si="16">+E34*100/E31</f>
        <v>57.2289527779967</v>
      </c>
      <c r="F37" s="1173">
        <f t="shared" si="16"/>
        <v>55.836705118161</v>
      </c>
      <c r="G37" s="1173">
        <f t="shared" si="16"/>
        <v>57.6982133948946</v>
      </c>
      <c r="H37" s="1173">
        <f t="shared" si="16"/>
        <v>57.3533984057372</v>
      </c>
      <c r="I37" s="1173" t="e">
        <f t="shared" si="16"/>
        <v>#DIV/0!</v>
      </c>
      <c r="J37" s="1173">
        <f t="shared" si="16"/>
        <v>57.3598001173036</v>
      </c>
      <c r="K37" s="1173" t="e">
        <f t="shared" si="16"/>
        <v>#DIV/0!</v>
      </c>
      <c r="L37" s="1173" t="e">
        <f t="shared" si="16"/>
        <v>#DIV/0!</v>
      </c>
      <c r="M37" s="1173" t="e">
        <f t="shared" si="16"/>
        <v>#DIV/0!</v>
      </c>
      <c r="N37" s="1173" t="e">
        <f t="shared" si="16"/>
        <v>#DIV/0!</v>
      </c>
      <c r="O37" s="1173" t="e">
        <f t="shared" si="16"/>
        <v>#DIV/0!</v>
      </c>
      <c r="P37" s="1173">
        <f t="shared" si="16"/>
        <v>57.6910623075257</v>
      </c>
    </row>
    <row r="38" s="1142" customFormat="1" ht="52.5" customHeight="1" spans="1:16">
      <c r="A38" s="1179"/>
      <c r="B38" s="1193"/>
      <c r="C38" s="1172" t="s">
        <v>33</v>
      </c>
      <c r="D38" s="1173">
        <f>+D34*100/D32</f>
        <v>79.2221845886181</v>
      </c>
      <c r="E38" s="1173">
        <f t="shared" ref="E38:P38" si="17">+E34*100/E32</f>
        <v>76.3052703706623</v>
      </c>
      <c r="F38" s="1173">
        <f t="shared" si="17"/>
        <v>74.4489401575481</v>
      </c>
      <c r="G38" s="1173">
        <f t="shared" si="17"/>
        <v>76.9309511931928</v>
      </c>
      <c r="H38" s="1173">
        <f t="shared" si="17"/>
        <v>76.4715376617375</v>
      </c>
      <c r="I38" s="1173" t="e">
        <f t="shared" si="17"/>
        <v>#DIV/0!</v>
      </c>
      <c r="J38" s="1173">
        <f t="shared" si="17"/>
        <v>76.480073315086</v>
      </c>
      <c r="K38" s="1173" t="e">
        <f t="shared" si="17"/>
        <v>#DIV/0!</v>
      </c>
      <c r="L38" s="1173" t="e">
        <f t="shared" si="17"/>
        <v>#DIV/0!</v>
      </c>
      <c r="M38" s="1173" t="e">
        <f t="shared" si="17"/>
        <v>#DIV/0!</v>
      </c>
      <c r="N38" s="1173" t="e">
        <f t="shared" si="17"/>
        <v>#DIV/0!</v>
      </c>
      <c r="O38" s="1173" t="e">
        <f t="shared" si="17"/>
        <v>#DIV/0!</v>
      </c>
      <c r="P38" s="1173">
        <f t="shared" si="17"/>
        <v>76.9214236324</v>
      </c>
    </row>
    <row r="39" s="1142" customFormat="1" ht="52.5" customHeight="1" spans="1:16">
      <c r="A39" s="1181" t="s">
        <v>52</v>
      </c>
      <c r="B39" s="1181"/>
      <c r="C39" s="1172" t="s">
        <v>20</v>
      </c>
      <c r="D39" s="1173">
        <v>0</v>
      </c>
      <c r="E39" s="1173">
        <v>0</v>
      </c>
      <c r="F39" s="1173">
        <v>0</v>
      </c>
      <c r="G39" s="1173">
        <f>SUM(D39:F39)</f>
        <v>0</v>
      </c>
      <c r="H39" s="1173">
        <v>0</v>
      </c>
      <c r="I39" s="1173">
        <v>0</v>
      </c>
      <c r="J39" s="1173">
        <f>SUM(H39:I39)</f>
        <v>0</v>
      </c>
      <c r="K39" s="1173">
        <v>0</v>
      </c>
      <c r="L39" s="1173">
        <v>0</v>
      </c>
      <c r="M39" s="1173">
        <f>SUM(K39:L39)</f>
        <v>0</v>
      </c>
      <c r="N39" s="1173">
        <v>0</v>
      </c>
      <c r="O39" s="1173">
        <v>1567000</v>
      </c>
      <c r="P39" s="1173">
        <f>+G39+J39+M39+N39+O39</f>
        <v>1567000</v>
      </c>
    </row>
    <row r="40" s="1142" customFormat="1" ht="52.5" customHeight="1" spans="1:17">
      <c r="A40" s="1181" t="s">
        <v>53</v>
      </c>
      <c r="B40" s="1182"/>
      <c r="C40" s="1172" t="s">
        <v>22</v>
      </c>
      <c r="D40" s="1173">
        <v>0</v>
      </c>
      <c r="E40" s="1173">
        <v>0</v>
      </c>
      <c r="F40" s="1173">
        <v>0</v>
      </c>
      <c r="G40" s="1173">
        <f>SUM(D40:F40)</f>
        <v>0</v>
      </c>
      <c r="H40" s="1173">
        <v>0</v>
      </c>
      <c r="I40" s="1173">
        <v>0</v>
      </c>
      <c r="J40" s="1173">
        <f>SUM(H40:I40)</f>
        <v>0</v>
      </c>
      <c r="K40" s="1173">
        <v>0</v>
      </c>
      <c r="L40" s="1173">
        <v>0</v>
      </c>
      <c r="M40" s="1173">
        <f>SUM(K40:L40)</f>
        <v>0</v>
      </c>
      <c r="N40" s="1173">
        <v>0</v>
      </c>
      <c r="O40" s="1173">
        <v>1175200</v>
      </c>
      <c r="P40" s="1173">
        <f>+G40+J40+M40+N40+O40</f>
        <v>1175200</v>
      </c>
      <c r="Q40" s="1142">
        <f>+P39-P40</f>
        <v>391800</v>
      </c>
    </row>
    <row r="41" s="1142" customFormat="1" ht="52.5" customHeight="1" spans="1:17">
      <c r="A41" s="1194">
        <v>5</v>
      </c>
      <c r="B41" s="1177" t="s">
        <v>54</v>
      </c>
      <c r="C41" s="1172" t="s">
        <v>24</v>
      </c>
      <c r="D41" s="1173">
        <v>0</v>
      </c>
      <c r="E41" s="1173">
        <v>0</v>
      </c>
      <c r="F41" s="1173">
        <v>0</v>
      </c>
      <c r="G41" s="1173">
        <f>SUM(D41:F41)</f>
        <v>0</v>
      </c>
      <c r="H41" s="1173">
        <v>0</v>
      </c>
      <c r="I41" s="1173">
        <v>0</v>
      </c>
      <c r="J41" s="1173">
        <f>SUM(H41:I41)</f>
        <v>0</v>
      </c>
      <c r="K41" s="1173">
        <v>0</v>
      </c>
      <c r="L41" s="1173">
        <v>0</v>
      </c>
      <c r="M41" s="1173">
        <f>SUM(K41:L41)</f>
        <v>0</v>
      </c>
      <c r="N41" s="1173">
        <v>0</v>
      </c>
      <c r="O41" s="1173">
        <v>5754.46</v>
      </c>
      <c r="P41" s="1173">
        <f>+G41+J41+M41+N41+O41</f>
        <v>5754.46</v>
      </c>
      <c r="Q41" s="1142">
        <f>SUM(Q32:Q40)</f>
        <v>391800</v>
      </c>
    </row>
    <row r="42" s="1142" customFormat="1" ht="52.5" customHeight="1" spans="1:16">
      <c r="A42" s="1194"/>
      <c r="B42" s="1195" t="s">
        <v>55</v>
      </c>
      <c r="C42" s="1172" t="s">
        <v>26</v>
      </c>
      <c r="D42" s="1173">
        <v>0</v>
      </c>
      <c r="E42" s="1173">
        <v>0</v>
      </c>
      <c r="F42" s="1173">
        <v>0</v>
      </c>
      <c r="G42" s="1173">
        <f>SUM(D42:F42)</f>
        <v>0</v>
      </c>
      <c r="H42" s="1173">
        <v>0</v>
      </c>
      <c r="I42" s="1173">
        <v>0</v>
      </c>
      <c r="J42" s="1173">
        <f>SUM(H42:I42)</f>
        <v>0</v>
      </c>
      <c r="K42" s="1173">
        <v>0</v>
      </c>
      <c r="L42" s="1173">
        <v>0</v>
      </c>
      <c r="M42" s="1173">
        <f>SUM(K42:L42)</f>
        <v>0</v>
      </c>
      <c r="N42" s="1173">
        <v>0</v>
      </c>
      <c r="O42" s="1173">
        <v>629740.59</v>
      </c>
      <c r="P42" s="1173">
        <f>+G42+J42+M42+N42+O42</f>
        <v>629740.59</v>
      </c>
    </row>
    <row r="43" s="1143" customFormat="1" ht="52.5" customHeight="1" spans="1:16">
      <c r="A43" s="1194"/>
      <c r="B43" s="1191" t="s">
        <v>56</v>
      </c>
      <c r="C43" s="1172" t="s">
        <v>28</v>
      </c>
      <c r="D43" s="1173">
        <f>+D40-D42</f>
        <v>0</v>
      </c>
      <c r="E43" s="1173">
        <f>+E40-E42</f>
        <v>0</v>
      </c>
      <c r="F43" s="1173">
        <f>+F40-F42</f>
        <v>0</v>
      </c>
      <c r="G43" s="1173">
        <f>G40-G42</f>
        <v>0</v>
      </c>
      <c r="H43" s="1173">
        <f>+H40-H42</f>
        <v>0</v>
      </c>
      <c r="I43" s="1173">
        <f>+I40-I42</f>
        <v>0</v>
      </c>
      <c r="J43" s="1173">
        <f t="shared" ref="J43" si="18">J40-J42</f>
        <v>0</v>
      </c>
      <c r="K43" s="1173">
        <f>+K40-K42</f>
        <v>0</v>
      </c>
      <c r="L43" s="1173">
        <f>+L40-L42</f>
        <v>0</v>
      </c>
      <c r="M43" s="1173">
        <f t="shared" ref="M43" si="19">M40-M42</f>
        <v>0</v>
      </c>
      <c r="N43" s="1173">
        <f>+N40-N42</f>
        <v>0</v>
      </c>
      <c r="O43" s="1173">
        <f>+O40-O42</f>
        <v>545459.41</v>
      </c>
      <c r="P43" s="1173">
        <f t="shared" ref="P43" si="20">P40-P42</f>
        <v>545459.41</v>
      </c>
    </row>
    <row r="44" s="1143" customFormat="1" ht="52.5" customHeight="1" spans="1:16">
      <c r="A44" s="1194"/>
      <c r="B44" s="1183"/>
      <c r="C44" s="1172" t="s">
        <v>30</v>
      </c>
      <c r="D44" s="1173">
        <f>+D40-D41-D42</f>
        <v>0</v>
      </c>
      <c r="E44" s="1173">
        <f>+E40-E41-E42</f>
        <v>0</v>
      </c>
      <c r="F44" s="1173">
        <f>+F40-F41-F42</f>
        <v>0</v>
      </c>
      <c r="G44" s="1173">
        <f>G40-G41-G42</f>
        <v>0</v>
      </c>
      <c r="H44" s="1173">
        <f>+H40-H41-H42</f>
        <v>0</v>
      </c>
      <c r="I44" s="1173">
        <f>+I40-I41-I42</f>
        <v>0</v>
      </c>
      <c r="J44" s="1173">
        <f>J40-J41-J42</f>
        <v>0</v>
      </c>
      <c r="K44" s="1173">
        <f>+K40-K41-K42</f>
        <v>0</v>
      </c>
      <c r="L44" s="1173">
        <f>+L40-L41-L42</f>
        <v>0</v>
      </c>
      <c r="M44" s="1173">
        <f>M40-M41-M42</f>
        <v>0</v>
      </c>
      <c r="N44" s="1173">
        <f>+N40-N41-N42</f>
        <v>0</v>
      </c>
      <c r="O44" s="1173">
        <f>+O40-O41-O42</f>
        <v>539704.95</v>
      </c>
      <c r="P44" s="1173">
        <f>P40-P41-P42</f>
        <v>539704.95</v>
      </c>
    </row>
    <row r="45" s="1142" customFormat="1" ht="52.5" customHeight="1" spans="1:16">
      <c r="A45" s="1194"/>
      <c r="B45" s="1191"/>
      <c r="C45" s="1172" t="s">
        <v>32</v>
      </c>
      <c r="D45" s="1173" t="e">
        <f>+D42*100/D39</f>
        <v>#DIV/0!</v>
      </c>
      <c r="E45" s="1173" t="e">
        <f t="shared" ref="E45:P45" si="21">+E42*100/E39</f>
        <v>#DIV/0!</v>
      </c>
      <c r="F45" s="1173" t="e">
        <f t="shared" si="21"/>
        <v>#DIV/0!</v>
      </c>
      <c r="G45" s="1173" t="e">
        <f t="shared" si="21"/>
        <v>#DIV/0!</v>
      </c>
      <c r="H45" s="1173" t="e">
        <f t="shared" si="21"/>
        <v>#DIV/0!</v>
      </c>
      <c r="I45" s="1173" t="e">
        <f t="shared" si="21"/>
        <v>#DIV/0!</v>
      </c>
      <c r="J45" s="1173" t="e">
        <f t="shared" si="21"/>
        <v>#DIV/0!</v>
      </c>
      <c r="K45" s="1173" t="e">
        <f t="shared" si="21"/>
        <v>#DIV/0!</v>
      </c>
      <c r="L45" s="1173" t="e">
        <f t="shared" si="21"/>
        <v>#DIV/0!</v>
      </c>
      <c r="M45" s="1173" t="e">
        <f t="shared" si="21"/>
        <v>#DIV/0!</v>
      </c>
      <c r="N45" s="1173" t="e">
        <f t="shared" si="21"/>
        <v>#DIV/0!</v>
      </c>
      <c r="O45" s="1173">
        <f t="shared" si="21"/>
        <v>40.187657306956</v>
      </c>
      <c r="P45" s="1173">
        <f t="shared" si="21"/>
        <v>40.187657306956</v>
      </c>
    </row>
    <row r="46" s="1142" customFormat="1" ht="52.5" customHeight="1" spans="1:16">
      <c r="A46" s="1196"/>
      <c r="B46" s="1197"/>
      <c r="C46" s="1172" t="s">
        <v>33</v>
      </c>
      <c r="D46" s="1173" t="e">
        <f>+D42*100/D40</f>
        <v>#DIV/0!</v>
      </c>
      <c r="E46" s="1173" t="e">
        <f t="shared" ref="E46:P46" si="22">+E42*100/E40</f>
        <v>#DIV/0!</v>
      </c>
      <c r="F46" s="1173" t="e">
        <f t="shared" si="22"/>
        <v>#DIV/0!</v>
      </c>
      <c r="G46" s="1173" t="e">
        <f t="shared" si="22"/>
        <v>#DIV/0!</v>
      </c>
      <c r="H46" s="1173" t="e">
        <f t="shared" si="22"/>
        <v>#DIV/0!</v>
      </c>
      <c r="I46" s="1173" t="e">
        <f t="shared" si="22"/>
        <v>#DIV/0!</v>
      </c>
      <c r="J46" s="1173" t="e">
        <f t="shared" si="22"/>
        <v>#DIV/0!</v>
      </c>
      <c r="K46" s="1173" t="e">
        <f t="shared" si="22"/>
        <v>#DIV/0!</v>
      </c>
      <c r="L46" s="1173" t="e">
        <f t="shared" si="22"/>
        <v>#DIV/0!</v>
      </c>
      <c r="M46" s="1173" t="e">
        <f t="shared" si="22"/>
        <v>#DIV/0!</v>
      </c>
      <c r="N46" s="1173" t="e">
        <f t="shared" si="22"/>
        <v>#DIV/0!</v>
      </c>
      <c r="O46" s="1173">
        <f t="shared" si="22"/>
        <v>53.5858228386658</v>
      </c>
      <c r="P46" s="1173">
        <f t="shared" si="22"/>
        <v>53.5858228386658</v>
      </c>
    </row>
    <row r="47" s="1142" customFormat="1" ht="52.5" customHeight="1" spans="1:16">
      <c r="A47" s="1181" t="s">
        <v>52</v>
      </c>
      <c r="B47" s="1181"/>
      <c r="C47" s="1172" t="s">
        <v>20</v>
      </c>
      <c r="D47" s="1173">
        <v>0</v>
      </c>
      <c r="E47" s="1173">
        <v>0</v>
      </c>
      <c r="F47" s="1173">
        <v>0</v>
      </c>
      <c r="G47" s="1173">
        <f>SUM(D47:F47)</f>
        <v>0</v>
      </c>
      <c r="H47" s="1173">
        <v>487500</v>
      </c>
      <c r="I47" s="1173">
        <v>0</v>
      </c>
      <c r="J47" s="1173">
        <f>SUM(H47:I47)</f>
        <v>487500</v>
      </c>
      <c r="K47" s="1173">
        <v>0</v>
      </c>
      <c r="L47" s="1173">
        <v>0</v>
      </c>
      <c r="M47" s="1173">
        <f>SUM(K47:L47)</f>
        <v>0</v>
      </c>
      <c r="N47" s="1173">
        <v>0</v>
      </c>
      <c r="O47" s="1173">
        <v>4624600</v>
      </c>
      <c r="P47" s="1173">
        <f>+G47+J47+M47+N47+O47</f>
        <v>5112100</v>
      </c>
    </row>
    <row r="48" s="1142" customFormat="1" ht="52.5" customHeight="1" spans="1:17">
      <c r="A48" s="1181" t="s">
        <v>57</v>
      </c>
      <c r="B48" s="1182"/>
      <c r="C48" s="1172" t="s">
        <v>22</v>
      </c>
      <c r="D48" s="1173">
        <v>0</v>
      </c>
      <c r="E48" s="1173">
        <v>0</v>
      </c>
      <c r="F48" s="1173">
        <v>0</v>
      </c>
      <c r="G48" s="1173">
        <f>SUM(D48:F48)</f>
        <v>0</v>
      </c>
      <c r="H48" s="1173">
        <v>365500</v>
      </c>
      <c r="I48" s="1173">
        <v>0</v>
      </c>
      <c r="J48" s="1173">
        <f>SUM(H48:I48)</f>
        <v>365500</v>
      </c>
      <c r="K48" s="1173">
        <v>0</v>
      </c>
      <c r="L48" s="1173">
        <v>0</v>
      </c>
      <c r="M48" s="1173">
        <f>SUM(K48:L48)</f>
        <v>0</v>
      </c>
      <c r="N48" s="1173">
        <v>0</v>
      </c>
      <c r="O48" s="1173">
        <f>1973000+408700+1086700</f>
        <v>3468400</v>
      </c>
      <c r="P48" s="1173">
        <f>+G48+J48+M48+N48+O48</f>
        <v>3833900</v>
      </c>
      <c r="Q48" s="1142">
        <f>+P47-P48</f>
        <v>1278200</v>
      </c>
    </row>
    <row r="49" s="1142" customFormat="1" ht="52.5" customHeight="1" spans="1:17">
      <c r="A49" s="1194">
        <v>6</v>
      </c>
      <c r="B49" s="1177" t="s">
        <v>58</v>
      </c>
      <c r="C49" s="1172" t="s">
        <v>24</v>
      </c>
      <c r="D49" s="1173">
        <v>0</v>
      </c>
      <c r="E49" s="1173">
        <v>0</v>
      </c>
      <c r="F49" s="1173">
        <v>0</v>
      </c>
      <c r="G49" s="1173">
        <f>SUM(D49:F49)</f>
        <v>0</v>
      </c>
      <c r="H49" s="1173">
        <v>0</v>
      </c>
      <c r="I49" s="1173">
        <v>0</v>
      </c>
      <c r="J49" s="1173">
        <f>SUM(H49:I49)</f>
        <v>0</v>
      </c>
      <c r="K49" s="1173">
        <v>0</v>
      </c>
      <c r="L49" s="1173">
        <v>0</v>
      </c>
      <c r="M49" s="1173">
        <f>SUM(K49:L49)</f>
        <v>0</v>
      </c>
      <c r="N49" s="1173">
        <v>0</v>
      </c>
      <c r="O49" s="1173">
        <v>14900</v>
      </c>
      <c r="P49" s="1173">
        <f>+G49+J49+M49+N49+O49</f>
        <v>14900</v>
      </c>
      <c r="Q49" s="1142">
        <f>SUM(Q40:Q48)</f>
        <v>2061800</v>
      </c>
    </row>
    <row r="50" s="1142" customFormat="1" ht="52.5" customHeight="1" spans="1:16">
      <c r="A50" s="1194"/>
      <c r="B50" s="1177" t="s">
        <v>59</v>
      </c>
      <c r="C50" s="1172" t="s">
        <v>26</v>
      </c>
      <c r="D50" s="1173">
        <v>0</v>
      </c>
      <c r="E50" s="1173">
        <v>0</v>
      </c>
      <c r="F50" s="1173">
        <v>0</v>
      </c>
      <c r="G50" s="1173">
        <f>SUM(D50:F50)</f>
        <v>0</v>
      </c>
      <c r="H50" s="1173">
        <f>275+76628.8+6650</f>
        <v>83553.8</v>
      </c>
      <c r="I50" s="1173">
        <v>0</v>
      </c>
      <c r="J50" s="1173">
        <f>SUM(H50:I50)</f>
        <v>83553.8</v>
      </c>
      <c r="K50" s="1173">
        <v>0</v>
      </c>
      <c r="L50" s="1173">
        <v>0</v>
      </c>
      <c r="M50" s="1173">
        <f>SUM(K50:L50)</f>
        <v>0</v>
      </c>
      <c r="N50" s="1173">
        <v>0</v>
      </c>
      <c r="O50" s="1173">
        <f>344135+192488.42+52290</f>
        <v>588913.42</v>
      </c>
      <c r="P50" s="1173">
        <f>+G50+J50+M50+N50+O50</f>
        <v>672467.22</v>
      </c>
    </row>
    <row r="51" s="1143" customFormat="1" ht="52.5" customHeight="1" spans="1:16">
      <c r="A51" s="1194"/>
      <c r="B51" s="1191" t="s">
        <v>60</v>
      </c>
      <c r="C51" s="1172" t="s">
        <v>28</v>
      </c>
      <c r="D51" s="1173">
        <f>+D48-D50</f>
        <v>0</v>
      </c>
      <c r="E51" s="1173">
        <f>+E48-E50</f>
        <v>0</v>
      </c>
      <c r="F51" s="1173">
        <f>+F48-F50</f>
        <v>0</v>
      </c>
      <c r="G51" s="1173">
        <f>G48-G50</f>
        <v>0</v>
      </c>
      <c r="H51" s="1173">
        <f>+H48-H50</f>
        <v>281946.2</v>
      </c>
      <c r="I51" s="1173">
        <f>+I48-I50</f>
        <v>0</v>
      </c>
      <c r="J51" s="1173">
        <f t="shared" ref="J51" si="23">J48-J50</f>
        <v>281946.2</v>
      </c>
      <c r="K51" s="1173">
        <f>+K48-K50</f>
        <v>0</v>
      </c>
      <c r="L51" s="1173">
        <f>+L48-L50</f>
        <v>0</v>
      </c>
      <c r="M51" s="1173">
        <f t="shared" ref="M51" si="24">M48-M50</f>
        <v>0</v>
      </c>
      <c r="N51" s="1173">
        <f>+N48-N50</f>
        <v>0</v>
      </c>
      <c r="O51" s="1173">
        <f>+O48-O50</f>
        <v>2879486.58</v>
      </c>
      <c r="P51" s="1173">
        <f t="shared" ref="P51" si="25">P48-P50</f>
        <v>3161432.78</v>
      </c>
    </row>
    <row r="52" s="1143" customFormat="1" ht="52.5" customHeight="1" spans="1:16">
      <c r="A52" s="1194"/>
      <c r="B52" s="1181" t="s">
        <v>61</v>
      </c>
      <c r="C52" s="1172" t="s">
        <v>30</v>
      </c>
      <c r="D52" s="1173">
        <f>+D48-D49-D50</f>
        <v>0</v>
      </c>
      <c r="E52" s="1173">
        <f>+E48-E49-E50</f>
        <v>0</v>
      </c>
      <c r="F52" s="1173">
        <f>+F48-F49-F50</f>
        <v>0</v>
      </c>
      <c r="G52" s="1173">
        <f>G48-G49-G50</f>
        <v>0</v>
      </c>
      <c r="H52" s="1173">
        <f>+H48-H49-H50</f>
        <v>281946.2</v>
      </c>
      <c r="I52" s="1173">
        <f>+I48-I49-I50</f>
        <v>0</v>
      </c>
      <c r="J52" s="1173">
        <f>J48-J49-J50</f>
        <v>281946.2</v>
      </c>
      <c r="K52" s="1173">
        <f>+K48-K49-K50</f>
        <v>0</v>
      </c>
      <c r="L52" s="1173">
        <f>+L48-L49-L50</f>
        <v>0</v>
      </c>
      <c r="M52" s="1173">
        <f>M48-M49-M50</f>
        <v>0</v>
      </c>
      <c r="N52" s="1173">
        <f>+N48-N49-N50</f>
        <v>0</v>
      </c>
      <c r="O52" s="1173">
        <f>+O48-O49-O50</f>
        <v>2864586.58</v>
      </c>
      <c r="P52" s="1173">
        <f>P48-P49-P50</f>
        <v>3146532.78</v>
      </c>
    </row>
    <row r="53" s="1142" customFormat="1" ht="52.5" customHeight="1" spans="1:16">
      <c r="A53" s="1194"/>
      <c r="B53" s="1190" t="s">
        <v>62</v>
      </c>
      <c r="C53" s="1172" t="s">
        <v>32</v>
      </c>
      <c r="D53" s="1173" t="e">
        <f>+D50*100/D47</f>
        <v>#DIV/0!</v>
      </c>
      <c r="E53" s="1173" t="e">
        <f t="shared" ref="E53:P53" si="26">+E50*100/E47</f>
        <v>#DIV/0!</v>
      </c>
      <c r="F53" s="1173" t="e">
        <f t="shared" si="26"/>
        <v>#DIV/0!</v>
      </c>
      <c r="G53" s="1173" t="e">
        <f t="shared" si="26"/>
        <v>#DIV/0!</v>
      </c>
      <c r="H53" s="1173">
        <f t="shared" si="26"/>
        <v>17.139241025641</v>
      </c>
      <c r="I53" s="1173" t="e">
        <f t="shared" si="26"/>
        <v>#DIV/0!</v>
      </c>
      <c r="J53" s="1173">
        <f t="shared" si="26"/>
        <v>17.139241025641</v>
      </c>
      <c r="K53" s="1173" t="e">
        <f t="shared" si="26"/>
        <v>#DIV/0!</v>
      </c>
      <c r="L53" s="1173" t="e">
        <f t="shared" si="26"/>
        <v>#DIV/0!</v>
      </c>
      <c r="M53" s="1173" t="e">
        <f t="shared" si="26"/>
        <v>#DIV/0!</v>
      </c>
      <c r="N53" s="1173" t="e">
        <f t="shared" si="26"/>
        <v>#DIV/0!</v>
      </c>
      <c r="O53" s="1173">
        <f t="shared" si="26"/>
        <v>12.7343644855771</v>
      </c>
      <c r="P53" s="1173">
        <f t="shared" si="26"/>
        <v>13.1544222530858</v>
      </c>
    </row>
    <row r="54" s="1142" customFormat="1" ht="52.5" customHeight="1" spans="1:16">
      <c r="A54" s="1196"/>
      <c r="B54" s="1198" t="s">
        <v>63</v>
      </c>
      <c r="C54" s="1172" t="s">
        <v>33</v>
      </c>
      <c r="D54" s="1173" t="e">
        <f>+D50*100/D48</f>
        <v>#DIV/0!</v>
      </c>
      <c r="E54" s="1173" t="e">
        <f t="shared" ref="E54:P54" si="27">+E50*100/E48</f>
        <v>#DIV/0!</v>
      </c>
      <c r="F54" s="1173" t="e">
        <f t="shared" si="27"/>
        <v>#DIV/0!</v>
      </c>
      <c r="G54" s="1173" t="e">
        <f t="shared" si="27"/>
        <v>#DIV/0!</v>
      </c>
      <c r="H54" s="1173">
        <f t="shared" si="27"/>
        <v>22.8601367989056</v>
      </c>
      <c r="I54" s="1173" t="e">
        <f t="shared" si="27"/>
        <v>#DIV/0!</v>
      </c>
      <c r="J54" s="1173">
        <f t="shared" si="27"/>
        <v>22.8601367989056</v>
      </c>
      <c r="K54" s="1173" t="e">
        <f t="shared" si="27"/>
        <v>#DIV/0!</v>
      </c>
      <c r="L54" s="1173" t="e">
        <f t="shared" si="27"/>
        <v>#DIV/0!</v>
      </c>
      <c r="M54" s="1173" t="e">
        <f t="shared" si="27"/>
        <v>#DIV/0!</v>
      </c>
      <c r="N54" s="1173" t="e">
        <f t="shared" si="27"/>
        <v>#DIV/0!</v>
      </c>
      <c r="O54" s="1173">
        <f t="shared" si="27"/>
        <v>16.9793974166763</v>
      </c>
      <c r="P54" s="1173">
        <f t="shared" si="27"/>
        <v>17.5400302563969</v>
      </c>
    </row>
    <row r="55" s="1142" customFormat="1" ht="52.5" customHeight="1" spans="1:16">
      <c r="A55" s="1181" t="s">
        <v>64</v>
      </c>
      <c r="B55" s="1181"/>
      <c r="C55" s="1172" t="s">
        <v>20</v>
      </c>
      <c r="D55" s="1173">
        <v>0</v>
      </c>
      <c r="E55" s="1173">
        <v>0</v>
      </c>
      <c r="F55" s="1173">
        <v>0</v>
      </c>
      <c r="G55" s="1173">
        <f>SUM(D55:F55)</f>
        <v>0</v>
      </c>
      <c r="H55" s="1173">
        <v>188451000</v>
      </c>
      <c r="I55" s="1173">
        <v>10704700</v>
      </c>
      <c r="J55" s="1173">
        <f>SUM(H55:I55)</f>
        <v>199155700</v>
      </c>
      <c r="K55" s="1173">
        <v>5732400</v>
      </c>
      <c r="L55" s="1173">
        <v>47423100</v>
      </c>
      <c r="M55" s="1173">
        <f>SUM(K55:L55)</f>
        <v>53155500</v>
      </c>
      <c r="N55" s="1173">
        <v>0</v>
      </c>
      <c r="O55" s="1173">
        <v>0</v>
      </c>
      <c r="P55" s="1173">
        <f>+G55+J55+M55+N55+O55</f>
        <v>252311200</v>
      </c>
    </row>
    <row r="56" s="1142" customFormat="1" ht="52.5" customHeight="1" spans="1:17">
      <c r="A56" s="1181" t="s">
        <v>65</v>
      </c>
      <c r="B56" s="1181"/>
      <c r="C56" s="1172" t="s">
        <v>22</v>
      </c>
      <c r="D56" s="1173">
        <v>0</v>
      </c>
      <c r="E56" s="1173">
        <v>0</v>
      </c>
      <c r="F56" s="1173">
        <v>0</v>
      </c>
      <c r="G56" s="1173">
        <f>SUM(D56:F56)</f>
        <v>0</v>
      </c>
      <c r="H56" s="1173">
        <f>+H55*B62/100-37.5+12000-781100+781100</f>
        <v>141350212.5</v>
      </c>
      <c r="I56" s="1173">
        <f>+I55*B62/100-37.5</f>
        <v>8028487.5</v>
      </c>
      <c r="J56" s="1173">
        <f>SUM(H56:I56)</f>
        <v>149378700</v>
      </c>
      <c r="K56" s="1173">
        <v>6718906.31</v>
      </c>
      <c r="L56" s="1173">
        <v>38147893.69</v>
      </c>
      <c r="M56" s="1173">
        <f>SUM(K56:L56)</f>
        <v>44866800</v>
      </c>
      <c r="N56" s="1173">
        <v>0</v>
      </c>
      <c r="O56" s="1173">
        <v>0</v>
      </c>
      <c r="P56" s="1173">
        <f>+G56+J56+M56+N56+O56</f>
        <v>194245500</v>
      </c>
      <c r="Q56" s="1142">
        <f>+P55-P56</f>
        <v>58065700</v>
      </c>
    </row>
    <row r="57" s="1142" customFormat="1" ht="52.5" customHeight="1" spans="1:17">
      <c r="A57" s="1176">
        <v>7</v>
      </c>
      <c r="B57" s="1181" t="s">
        <v>66</v>
      </c>
      <c r="C57" s="1172" t="s">
        <v>24</v>
      </c>
      <c r="D57" s="1173">
        <v>0</v>
      </c>
      <c r="E57" s="1173">
        <v>0</v>
      </c>
      <c r="F57" s="1173">
        <v>0</v>
      </c>
      <c r="G57" s="1173">
        <f>SUM(D57:F57)</f>
        <v>0</v>
      </c>
      <c r="H57" s="1173">
        <f>6013073.15+3079356.45</f>
        <v>9092429.6</v>
      </c>
      <c r="I57" s="1173">
        <v>1411142</v>
      </c>
      <c r="J57" s="1173">
        <f>SUM(H57:I57)</f>
        <v>10503571.6</v>
      </c>
      <c r="K57" s="1173">
        <v>273679</v>
      </c>
      <c r="L57" s="1173">
        <v>32660250</v>
      </c>
      <c r="M57" s="1173">
        <f>SUM(K57:L57)</f>
        <v>32933929</v>
      </c>
      <c r="N57" s="1173">
        <v>0</v>
      </c>
      <c r="O57" s="1173">
        <v>0</v>
      </c>
      <c r="P57" s="1173">
        <f>+G57+J57+M57+N57+O57</f>
        <v>43437500.6</v>
      </c>
      <c r="Q57" s="1142">
        <f>SUM(Q48:Q56)</f>
        <v>61405700</v>
      </c>
    </row>
    <row r="58" s="1142" customFormat="1" ht="52.5" customHeight="1" spans="1:16">
      <c r="A58" s="1176"/>
      <c r="B58" s="1190" t="s">
        <v>67</v>
      </c>
      <c r="C58" s="1172" t="s">
        <v>26</v>
      </c>
      <c r="D58" s="1173">
        <v>0</v>
      </c>
      <c r="E58" s="1173">
        <v>0</v>
      </c>
      <c r="F58" s="1173">
        <v>0</v>
      </c>
      <c r="G58" s="1173">
        <f>SUM(D58:F58)</f>
        <v>0</v>
      </c>
      <c r="H58" s="1173">
        <f>95377692.1-I58</f>
        <v>80121915.56</v>
      </c>
      <c r="I58" s="1173">
        <v>15255776.54</v>
      </c>
      <c r="J58" s="1173">
        <f>SUM(H58:I58)</f>
        <v>95377692.1</v>
      </c>
      <c r="K58" s="1173">
        <v>6148462.31</v>
      </c>
      <c r="L58" s="1173">
        <v>4744271.58</v>
      </c>
      <c r="M58" s="1173">
        <f>SUM(K58:L58)</f>
        <v>10892733.89</v>
      </c>
      <c r="N58" s="1173">
        <v>0</v>
      </c>
      <c r="O58" s="1173">
        <v>0</v>
      </c>
      <c r="P58" s="1173">
        <f>+G58+J58+M58+N58+O58</f>
        <v>106270425.99</v>
      </c>
    </row>
    <row r="59" s="1143" customFormat="1" ht="52.5" customHeight="1" spans="1:16">
      <c r="A59" s="1176"/>
      <c r="B59" s="1191" t="s">
        <v>68</v>
      </c>
      <c r="C59" s="1172" t="s">
        <v>28</v>
      </c>
      <c r="D59" s="1173">
        <f>+D56-D58</f>
        <v>0</v>
      </c>
      <c r="E59" s="1173">
        <f>+E56-E58</f>
        <v>0</v>
      </c>
      <c r="F59" s="1173">
        <f>+F56-F58</f>
        <v>0</v>
      </c>
      <c r="G59" s="1173">
        <f>G56-G58</f>
        <v>0</v>
      </c>
      <c r="H59" s="1173">
        <f>+H56-H58</f>
        <v>61228296.94</v>
      </c>
      <c r="I59" s="1173">
        <f>+I56-I58</f>
        <v>-7227289.04</v>
      </c>
      <c r="J59" s="1173">
        <f t="shared" ref="J59" si="28">J56-J58</f>
        <v>54001007.9</v>
      </c>
      <c r="K59" s="1173">
        <f>+K56-K58</f>
        <v>570444</v>
      </c>
      <c r="L59" s="1173">
        <f>+L56-L58</f>
        <v>33403622.11</v>
      </c>
      <c r="M59" s="1173">
        <f t="shared" ref="M59" si="29">M56-M58</f>
        <v>33974066.11</v>
      </c>
      <c r="N59" s="1173">
        <f>+N56-N58</f>
        <v>0</v>
      </c>
      <c r="O59" s="1173">
        <f>+O56-O58</f>
        <v>0</v>
      </c>
      <c r="P59" s="1173">
        <f t="shared" ref="P59" si="30">P56-P58</f>
        <v>87975074.01</v>
      </c>
    </row>
    <row r="60" s="1143" customFormat="1" ht="52.5" customHeight="1" spans="1:16">
      <c r="A60" s="1176"/>
      <c r="B60" s="1199">
        <f>+H56*100/H55</f>
        <v>75.0063478039384</v>
      </c>
      <c r="C60" s="1172" t="s">
        <v>30</v>
      </c>
      <c r="D60" s="1173">
        <f>+D56-D57-D58</f>
        <v>0</v>
      </c>
      <c r="E60" s="1173">
        <f>+E56-E57-E58</f>
        <v>0</v>
      </c>
      <c r="F60" s="1173">
        <f>+F56-F57-F58</f>
        <v>0</v>
      </c>
      <c r="G60" s="1173">
        <f>G56-G57-G58</f>
        <v>0</v>
      </c>
      <c r="H60" s="1173">
        <f>+H56-H57-H58</f>
        <v>52135867.34</v>
      </c>
      <c r="I60" s="1173">
        <f>+I56-I57-I58</f>
        <v>-8638431.04</v>
      </c>
      <c r="J60" s="1173">
        <f>J56-J57-J58</f>
        <v>43497436.3</v>
      </c>
      <c r="K60" s="1173">
        <f>+K56-K57-K58</f>
        <v>296765</v>
      </c>
      <c r="L60" s="1173">
        <f>+L56-L57-L58</f>
        <v>743372.109999998</v>
      </c>
      <c r="M60" s="1173">
        <f>M56-M57-M58</f>
        <v>1040137.11</v>
      </c>
      <c r="N60" s="1173">
        <f>+N56-N57-N58</f>
        <v>0</v>
      </c>
      <c r="O60" s="1173">
        <f>+O56-O57-O58</f>
        <v>0</v>
      </c>
      <c r="P60" s="1173">
        <f>P56-P57-P58</f>
        <v>44537573.41</v>
      </c>
    </row>
    <row r="61" s="1142" customFormat="1" ht="52.5" customHeight="1" spans="1:16">
      <c r="A61" s="1176"/>
      <c r="B61" s="1191"/>
      <c r="C61" s="1172" t="s">
        <v>32</v>
      </c>
      <c r="D61" s="1173" t="e">
        <f>+D58*100/D55</f>
        <v>#DIV/0!</v>
      </c>
      <c r="E61" s="1173" t="e">
        <f t="shared" ref="E61:P61" si="31">+E58*100/E55</f>
        <v>#DIV/0!</v>
      </c>
      <c r="F61" s="1173" t="e">
        <f t="shared" si="31"/>
        <v>#DIV/0!</v>
      </c>
      <c r="G61" s="1173" t="e">
        <f t="shared" si="31"/>
        <v>#DIV/0!</v>
      </c>
      <c r="H61" s="1173">
        <f t="shared" si="31"/>
        <v>42.5160469087455</v>
      </c>
      <c r="I61" s="1173">
        <f t="shared" si="31"/>
        <v>142.514750903809</v>
      </c>
      <c r="J61" s="1173">
        <f t="shared" si="31"/>
        <v>47.8910179824128</v>
      </c>
      <c r="K61" s="1173">
        <f t="shared" si="31"/>
        <v>107.258082304096</v>
      </c>
      <c r="L61" s="1173">
        <f t="shared" si="31"/>
        <v>10.0041363386198</v>
      </c>
      <c r="M61" s="1173">
        <f t="shared" si="31"/>
        <v>20.4922047389264</v>
      </c>
      <c r="N61" s="1173" t="e">
        <f t="shared" si="31"/>
        <v>#DIV/0!</v>
      </c>
      <c r="O61" s="1173" t="e">
        <f t="shared" si="31"/>
        <v>#DIV/0!</v>
      </c>
      <c r="P61" s="1173">
        <f t="shared" si="31"/>
        <v>42.1187906006551</v>
      </c>
    </row>
    <row r="62" s="1142" customFormat="1" ht="52.5" customHeight="1" spans="1:16">
      <c r="A62" s="1179"/>
      <c r="B62" s="1197">
        <v>75</v>
      </c>
      <c r="C62" s="1172" t="s">
        <v>33</v>
      </c>
      <c r="D62" s="1173" t="e">
        <f>+D58*100/D56</f>
        <v>#DIV/0!</v>
      </c>
      <c r="E62" s="1173" t="e">
        <f t="shared" ref="E62:P62" si="32">+E58*100/E56</f>
        <v>#DIV/0!</v>
      </c>
      <c r="F62" s="1173" t="e">
        <f t="shared" si="32"/>
        <v>#DIV/0!</v>
      </c>
      <c r="G62" s="1173" t="e">
        <f t="shared" si="32"/>
        <v>#DIV/0!</v>
      </c>
      <c r="H62" s="1173">
        <f t="shared" si="32"/>
        <v>56.6832650216214</v>
      </c>
      <c r="I62" s="1173">
        <f t="shared" si="32"/>
        <v>190.020555428404</v>
      </c>
      <c r="J62" s="1173">
        <f t="shared" si="32"/>
        <v>63.849593081209</v>
      </c>
      <c r="K62" s="1173">
        <f t="shared" si="32"/>
        <v>91.5098682184184</v>
      </c>
      <c r="L62" s="1173">
        <f t="shared" si="32"/>
        <v>12.4365230189463</v>
      </c>
      <c r="M62" s="1173">
        <f t="shared" si="32"/>
        <v>24.2779380076136</v>
      </c>
      <c r="N62" s="1173" t="e">
        <f t="shared" si="32"/>
        <v>#DIV/0!</v>
      </c>
      <c r="O62" s="1173" t="e">
        <f t="shared" si="32"/>
        <v>#DIV/0!</v>
      </c>
      <c r="P62" s="1173">
        <f t="shared" si="32"/>
        <v>54.7093374054997</v>
      </c>
    </row>
    <row r="63" s="1142" customFormat="1" ht="52.5" customHeight="1" spans="1:16">
      <c r="A63" s="1181" t="s">
        <v>64</v>
      </c>
      <c r="B63" s="1181"/>
      <c r="C63" s="1172" t="s">
        <v>20</v>
      </c>
      <c r="D63" s="1173">
        <v>0</v>
      </c>
      <c r="E63" s="1173">
        <v>0</v>
      </c>
      <c r="F63" s="1173">
        <v>0</v>
      </c>
      <c r="G63" s="1173">
        <f>SUM(D63:F63)</f>
        <v>0</v>
      </c>
      <c r="H63" s="1173">
        <v>175645900</v>
      </c>
      <c r="I63" s="1173">
        <v>17368500</v>
      </c>
      <c r="J63" s="1173">
        <f>SUM(H63:I63)</f>
        <v>193014400</v>
      </c>
      <c r="K63" s="1173">
        <v>13396300</v>
      </c>
      <c r="L63" s="1173">
        <v>51742500</v>
      </c>
      <c r="M63" s="1173">
        <f>SUM(K63:L63)</f>
        <v>65138800</v>
      </c>
      <c r="N63" s="1173">
        <v>0</v>
      </c>
      <c r="O63" s="1173">
        <f>750000+4366200+523700</f>
        <v>5639900</v>
      </c>
      <c r="P63" s="1173">
        <f>+G63+J63+M63+N63+O63</f>
        <v>263793100</v>
      </c>
    </row>
    <row r="64" s="1142" customFormat="1" ht="52.5" customHeight="1" spans="1:17">
      <c r="A64" s="1181" t="s">
        <v>65</v>
      </c>
      <c r="B64" s="1181"/>
      <c r="C64" s="1172" t="s">
        <v>69</v>
      </c>
      <c r="D64" s="1173">
        <v>0</v>
      </c>
      <c r="E64" s="1173">
        <v>0</v>
      </c>
      <c r="F64" s="1173">
        <v>0</v>
      </c>
      <c r="G64" s="1173">
        <f>SUM(D64:F64)</f>
        <v>0</v>
      </c>
      <c r="H64" s="1173">
        <f>+H63*B70/100-50-781100</f>
        <v>130953275</v>
      </c>
      <c r="I64" s="1173">
        <f>+I63*B70/100-50</f>
        <v>13026325</v>
      </c>
      <c r="J64" s="1173">
        <f>SUM(H64:I64)</f>
        <v>143979600</v>
      </c>
      <c r="K64" s="1173">
        <v>14985299.77</v>
      </c>
      <c r="L64" s="1173">
        <v>26791100.23</v>
      </c>
      <c r="M64" s="1173">
        <f>SUM(K64:L64)</f>
        <v>41776400</v>
      </c>
      <c r="N64" s="1173">
        <v>0</v>
      </c>
      <c r="O64" s="1173">
        <f>562500+3274600+392700</f>
        <v>4229800</v>
      </c>
      <c r="P64" s="1173">
        <f>+G64+J64+M64+N64+O64</f>
        <v>189985800</v>
      </c>
      <c r="Q64" s="1142">
        <f>+P63-P64</f>
        <v>73807300</v>
      </c>
    </row>
    <row r="65" s="1142" customFormat="1" ht="52.5" customHeight="1" spans="1:17">
      <c r="A65" s="1176">
        <v>8</v>
      </c>
      <c r="B65" s="1181" t="s">
        <v>70</v>
      </c>
      <c r="C65" s="1172" t="s">
        <v>24</v>
      </c>
      <c r="D65" s="1173">
        <v>0</v>
      </c>
      <c r="E65" s="1173">
        <v>0</v>
      </c>
      <c r="F65" s="1173">
        <v>0</v>
      </c>
      <c r="G65" s="1173">
        <f>SUM(D65:F65)</f>
        <v>0</v>
      </c>
      <c r="H65" s="1173">
        <f>1828000.5+7349107.31</f>
        <v>9177107.81</v>
      </c>
      <c r="I65" s="1173">
        <v>3188.6</v>
      </c>
      <c r="J65" s="1173">
        <f>SUM(H65:I65)</f>
        <v>9180296.41</v>
      </c>
      <c r="K65" s="1173">
        <v>0</v>
      </c>
      <c r="L65" s="1173">
        <v>23966000</v>
      </c>
      <c r="M65" s="1173">
        <f>SUM(K65:L65)</f>
        <v>23966000</v>
      </c>
      <c r="N65" s="1173">
        <v>0</v>
      </c>
      <c r="O65" s="1173">
        <f>26000+10000</f>
        <v>36000</v>
      </c>
      <c r="P65" s="1173">
        <f>+G65+J65+M65+N65+O65</f>
        <v>33182296.41</v>
      </c>
      <c r="Q65" s="1142">
        <f>SUM(Q56:Q64)</f>
        <v>193278700</v>
      </c>
    </row>
    <row r="66" s="1142" customFormat="1" ht="52.5" customHeight="1" spans="1:16">
      <c r="A66" s="1176"/>
      <c r="B66" s="1190" t="s">
        <v>71</v>
      </c>
      <c r="C66" s="1172" t="s">
        <v>26</v>
      </c>
      <c r="D66" s="1173">
        <v>0</v>
      </c>
      <c r="E66" s="1173">
        <v>0</v>
      </c>
      <c r="F66" s="1173">
        <v>0</v>
      </c>
      <c r="G66" s="1173">
        <f>SUM(D66:F66)</f>
        <v>0</v>
      </c>
      <c r="H66" s="1173">
        <f>7323111.76+30762812.45+46556423.08</f>
        <v>84642347.29</v>
      </c>
      <c r="I66" s="1173">
        <v>10962613.7</v>
      </c>
      <c r="J66" s="1173">
        <f>SUM(H66:I66)</f>
        <v>95604960.99</v>
      </c>
      <c r="K66" s="1173">
        <v>11702999.77</v>
      </c>
      <c r="L66" s="1173">
        <v>1746447.92</v>
      </c>
      <c r="M66" s="1173">
        <f>SUM(K66:L66)</f>
        <v>13449447.69</v>
      </c>
      <c r="N66" s="1173">
        <v>0</v>
      </c>
      <c r="O66" s="1173">
        <f>468478.01+105337</f>
        <v>573815.01</v>
      </c>
      <c r="P66" s="1173">
        <f>+G66+J66+M66+N66+O66</f>
        <v>109628223.69</v>
      </c>
    </row>
    <row r="67" s="1143" customFormat="1" ht="52.5" customHeight="1" spans="1:16">
      <c r="A67" s="1176"/>
      <c r="B67" s="1183" t="s">
        <v>72</v>
      </c>
      <c r="C67" s="1172" t="s">
        <v>28</v>
      </c>
      <c r="D67" s="1173">
        <f>+D64-D66</f>
        <v>0</v>
      </c>
      <c r="E67" s="1173">
        <f>+E64-E66</f>
        <v>0</v>
      </c>
      <c r="F67" s="1173">
        <f>+F64-F66</f>
        <v>0</v>
      </c>
      <c r="G67" s="1173">
        <f>G64-G66</f>
        <v>0</v>
      </c>
      <c r="H67" s="1173">
        <f>+H64-H66</f>
        <v>46310927.71</v>
      </c>
      <c r="I67" s="1173">
        <f>+I64-I66</f>
        <v>2063711.3</v>
      </c>
      <c r="J67" s="1173">
        <f t="shared" ref="J67" si="33">J64-J66</f>
        <v>48374639.01</v>
      </c>
      <c r="K67" s="1173">
        <f>+K64-K66</f>
        <v>3282300</v>
      </c>
      <c r="L67" s="1173">
        <f>+L64-L66</f>
        <v>25044652.31</v>
      </c>
      <c r="M67" s="1173">
        <f t="shared" ref="M67" si="34">M64-M66</f>
        <v>28326952.31</v>
      </c>
      <c r="N67" s="1173">
        <f>+N64-N66</f>
        <v>0</v>
      </c>
      <c r="O67" s="1173">
        <f>+O64-O66</f>
        <v>3655984.99</v>
      </c>
      <c r="P67" s="1173">
        <f t="shared" ref="P67" si="35">P64-P66</f>
        <v>80357576.31</v>
      </c>
    </row>
    <row r="68" s="1143" customFormat="1" ht="52.5" customHeight="1" spans="1:16">
      <c r="A68" s="1176"/>
      <c r="B68" s="1200">
        <f>+H64*100/J63</f>
        <v>67.8463757108278</v>
      </c>
      <c r="C68" s="1172" t="s">
        <v>30</v>
      </c>
      <c r="D68" s="1173">
        <f>+D64-D65-D66</f>
        <v>0</v>
      </c>
      <c r="E68" s="1173">
        <f>+E64-E65-E66</f>
        <v>0</v>
      </c>
      <c r="F68" s="1173">
        <f>+F64-F65-F66</f>
        <v>0</v>
      </c>
      <c r="G68" s="1173">
        <f>G64-G65-G66</f>
        <v>0</v>
      </c>
      <c r="H68" s="1173">
        <f>+H64-H65-H66</f>
        <v>37133819.9</v>
      </c>
      <c r="I68" s="1173">
        <f>+I64-I65-I66</f>
        <v>2060522.7</v>
      </c>
      <c r="J68" s="1173">
        <f>J64-J65-J66</f>
        <v>39194342.6</v>
      </c>
      <c r="K68" s="1173">
        <f>+K64-K65-K66</f>
        <v>3282300</v>
      </c>
      <c r="L68" s="1173">
        <f>+L64-L65-L66</f>
        <v>1078652.31</v>
      </c>
      <c r="M68" s="1173">
        <f>M64-M65-M66</f>
        <v>4360952.31</v>
      </c>
      <c r="N68" s="1173">
        <f>+N64-N65-N66</f>
        <v>0</v>
      </c>
      <c r="O68" s="1173">
        <f>+O64-O65-O66</f>
        <v>3619984.99</v>
      </c>
      <c r="P68" s="1173">
        <f>P64-P65-P66</f>
        <v>47175279.9</v>
      </c>
    </row>
    <row r="69" s="1142" customFormat="1" ht="52.5" customHeight="1" spans="1:16">
      <c r="A69" s="1176"/>
      <c r="B69" s="1201"/>
      <c r="C69" s="1172" t="s">
        <v>32</v>
      </c>
      <c r="D69" s="1173" t="e">
        <f>+D66*100/D63</f>
        <v>#DIV/0!</v>
      </c>
      <c r="E69" s="1173" t="e">
        <f t="shared" ref="E69:P69" si="36">+E66*100/E63</f>
        <v>#DIV/0!</v>
      </c>
      <c r="F69" s="1173" t="e">
        <f t="shared" si="36"/>
        <v>#DIV/0!</v>
      </c>
      <c r="G69" s="1173" t="e">
        <f t="shared" si="36"/>
        <v>#DIV/0!</v>
      </c>
      <c r="H69" s="1173">
        <f t="shared" si="36"/>
        <v>48.1891961554468</v>
      </c>
      <c r="I69" s="1173">
        <f t="shared" si="36"/>
        <v>63.1177919797334</v>
      </c>
      <c r="J69" s="1173">
        <f t="shared" si="36"/>
        <v>49.5325535245039</v>
      </c>
      <c r="K69" s="1173">
        <f t="shared" si="36"/>
        <v>87.3599409538455</v>
      </c>
      <c r="L69" s="1173">
        <f t="shared" si="36"/>
        <v>3.37526775861236</v>
      </c>
      <c r="M69" s="1173">
        <f t="shared" si="36"/>
        <v>20.6473679128261</v>
      </c>
      <c r="N69" s="1173" t="e">
        <f t="shared" si="36"/>
        <v>#DIV/0!</v>
      </c>
      <c r="O69" s="1173">
        <f t="shared" si="36"/>
        <v>10.1742053937127</v>
      </c>
      <c r="P69" s="1173">
        <f t="shared" si="36"/>
        <v>41.5584121381492</v>
      </c>
    </row>
    <row r="70" s="1142" customFormat="1" ht="52.5" customHeight="1" spans="1:16">
      <c r="A70" s="1179"/>
      <c r="B70" s="1197">
        <v>75</v>
      </c>
      <c r="C70" s="1172" t="s">
        <v>33</v>
      </c>
      <c r="D70" s="1173" t="e">
        <f>+D66*100/D64</f>
        <v>#DIV/0!</v>
      </c>
      <c r="E70" s="1173" t="e">
        <f t="shared" ref="E70:P70" si="37">+E66*100/E64</f>
        <v>#DIV/0!</v>
      </c>
      <c r="F70" s="1173" t="e">
        <f t="shared" si="37"/>
        <v>#DIV/0!</v>
      </c>
      <c r="G70" s="1173" t="e">
        <f t="shared" si="37"/>
        <v>#DIV/0!</v>
      </c>
      <c r="H70" s="1173">
        <f t="shared" si="37"/>
        <v>64.6355330097701</v>
      </c>
      <c r="I70" s="1173">
        <f t="shared" si="37"/>
        <v>84.157378999833</v>
      </c>
      <c r="J70" s="1173">
        <f t="shared" si="37"/>
        <v>66.4017409341323</v>
      </c>
      <c r="K70" s="1173">
        <f t="shared" si="37"/>
        <v>78.0965342677292</v>
      </c>
      <c r="L70" s="1173">
        <f t="shared" si="37"/>
        <v>6.51876147305205</v>
      </c>
      <c r="M70" s="1173">
        <f t="shared" si="37"/>
        <v>32.1938886309017</v>
      </c>
      <c r="N70" s="1173" t="e">
        <f t="shared" si="37"/>
        <v>#DIV/0!</v>
      </c>
      <c r="O70" s="1173">
        <f t="shared" si="37"/>
        <v>13.5660080854887</v>
      </c>
      <c r="P70" s="1173">
        <f t="shared" si="37"/>
        <v>57.7033776682257</v>
      </c>
    </row>
    <row r="71" s="1142" customFormat="1" ht="52.5" customHeight="1" spans="1:16">
      <c r="A71" s="1202">
        <v>9</v>
      </c>
      <c r="B71" s="1203"/>
      <c r="C71" s="1172" t="s">
        <v>20</v>
      </c>
      <c r="D71" s="1173">
        <f t="shared" ref="D71:F74" si="38">+D55+D63</f>
        <v>0</v>
      </c>
      <c r="E71" s="1173">
        <f t="shared" si="38"/>
        <v>0</v>
      </c>
      <c r="F71" s="1173">
        <f t="shared" si="38"/>
        <v>0</v>
      </c>
      <c r="G71" s="1173">
        <f>SUM(D71:F71)</f>
        <v>0</v>
      </c>
      <c r="H71" s="1173">
        <f>+H55+H63</f>
        <v>364096900</v>
      </c>
      <c r="I71" s="1173">
        <f t="shared" ref="I71:N71" si="39">+I55+I63</f>
        <v>28073200</v>
      </c>
      <c r="J71" s="1173">
        <f t="shared" si="39"/>
        <v>392170100</v>
      </c>
      <c r="K71" s="1173">
        <f t="shared" si="39"/>
        <v>19128700</v>
      </c>
      <c r="L71" s="1173">
        <f t="shared" si="39"/>
        <v>99165600</v>
      </c>
      <c r="M71" s="1173">
        <f t="shared" si="39"/>
        <v>118294300</v>
      </c>
      <c r="N71" s="1173">
        <f t="shared" si="39"/>
        <v>0</v>
      </c>
      <c r="O71" s="1173">
        <f t="shared" ref="O71" si="40">+O55+O63</f>
        <v>5639900</v>
      </c>
      <c r="P71" s="1173">
        <f>SUM(G71+J71+M71+N71+O71)</f>
        <v>516104300</v>
      </c>
    </row>
    <row r="72" s="1142" customFormat="1" ht="52.5" customHeight="1" spans="1:16">
      <c r="A72" s="1204"/>
      <c r="B72" s="1205" t="s">
        <v>13</v>
      </c>
      <c r="C72" s="1172" t="s">
        <v>22</v>
      </c>
      <c r="D72" s="1173">
        <f t="shared" si="38"/>
        <v>0</v>
      </c>
      <c r="E72" s="1173">
        <f t="shared" si="38"/>
        <v>0</v>
      </c>
      <c r="F72" s="1173">
        <f t="shared" si="38"/>
        <v>0</v>
      </c>
      <c r="G72" s="1173">
        <f>SUM(D72:F72)</f>
        <v>0</v>
      </c>
      <c r="H72" s="1173">
        <f t="shared" ref="H72:H73" si="41">+H56+H64</f>
        <v>272303487.5</v>
      </c>
      <c r="I72" s="1173">
        <f t="shared" ref="I72:N72" si="42">+I56+I64</f>
        <v>21054812.5</v>
      </c>
      <c r="J72" s="1173">
        <f t="shared" si="42"/>
        <v>293358300</v>
      </c>
      <c r="K72" s="1173">
        <f t="shared" si="42"/>
        <v>21704206.08</v>
      </c>
      <c r="L72" s="1173">
        <f t="shared" si="42"/>
        <v>64938993.92</v>
      </c>
      <c r="M72" s="1173">
        <f t="shared" si="42"/>
        <v>86643200</v>
      </c>
      <c r="N72" s="1173">
        <f t="shared" si="42"/>
        <v>0</v>
      </c>
      <c r="O72" s="1173">
        <f t="shared" ref="O72" si="43">+O56+O64</f>
        <v>4229800</v>
      </c>
      <c r="P72" s="1173">
        <f>SUM(G72+J72+M72+N72+O72)</f>
        <v>384231300</v>
      </c>
    </row>
    <row r="73" s="1142" customFormat="1" ht="52.5" customHeight="1" spans="1:16">
      <c r="A73" s="1204"/>
      <c r="B73" s="1206" t="s">
        <v>73</v>
      </c>
      <c r="C73" s="1172" t="s">
        <v>24</v>
      </c>
      <c r="D73" s="1173">
        <f t="shared" si="38"/>
        <v>0</v>
      </c>
      <c r="E73" s="1173">
        <f t="shared" si="38"/>
        <v>0</v>
      </c>
      <c r="F73" s="1173">
        <f t="shared" si="38"/>
        <v>0</v>
      </c>
      <c r="G73" s="1173">
        <f>SUM(D73:F73)</f>
        <v>0</v>
      </c>
      <c r="H73" s="1173">
        <f t="shared" si="41"/>
        <v>18269537.41</v>
      </c>
      <c r="I73" s="1173">
        <f t="shared" ref="I73:N73" si="44">+I57+I65</f>
        <v>1414330.6</v>
      </c>
      <c r="J73" s="1173">
        <f t="shared" si="44"/>
        <v>19683868.01</v>
      </c>
      <c r="K73" s="1173">
        <f t="shared" si="44"/>
        <v>273679</v>
      </c>
      <c r="L73" s="1173">
        <f t="shared" si="44"/>
        <v>56626250</v>
      </c>
      <c r="M73" s="1173">
        <f t="shared" si="44"/>
        <v>56899929</v>
      </c>
      <c r="N73" s="1173">
        <f t="shared" si="44"/>
        <v>0</v>
      </c>
      <c r="O73" s="1173">
        <f t="shared" ref="O73" si="45">+O57+O65</f>
        <v>36000</v>
      </c>
      <c r="P73" s="1173">
        <f>SUM(G73+J73+M73+N73+O73)</f>
        <v>76619797.01</v>
      </c>
    </row>
    <row r="74" s="1142" customFormat="1" ht="52.5" customHeight="1" spans="1:16">
      <c r="A74" s="1204"/>
      <c r="B74" s="1206" t="s">
        <v>74</v>
      </c>
      <c r="C74" s="1172" t="s">
        <v>26</v>
      </c>
      <c r="D74" s="1173">
        <f t="shared" si="38"/>
        <v>0</v>
      </c>
      <c r="E74" s="1173">
        <f t="shared" si="38"/>
        <v>0</v>
      </c>
      <c r="F74" s="1173">
        <f t="shared" si="38"/>
        <v>0</v>
      </c>
      <c r="G74" s="1173">
        <f>SUM(D74:F74)</f>
        <v>0</v>
      </c>
      <c r="H74" s="1173">
        <f t="shared" ref="H74:M74" si="46">+H58+H66</f>
        <v>164764262.85</v>
      </c>
      <c r="I74" s="1173">
        <f t="shared" si="46"/>
        <v>26218390.24</v>
      </c>
      <c r="J74" s="1173">
        <f t="shared" si="46"/>
        <v>190982653.09</v>
      </c>
      <c r="K74" s="1173">
        <f t="shared" si="46"/>
        <v>17851462.08</v>
      </c>
      <c r="L74" s="1173">
        <f t="shared" si="46"/>
        <v>6490719.5</v>
      </c>
      <c r="M74" s="1173">
        <f t="shared" si="46"/>
        <v>24342181.58</v>
      </c>
      <c r="N74" s="1173">
        <f t="shared" ref="N74:O74" si="47">+N58+N66</f>
        <v>0</v>
      </c>
      <c r="O74" s="1173">
        <f t="shared" si="47"/>
        <v>573815.01</v>
      </c>
      <c r="P74" s="1173">
        <f>SUM(G74+J74+M74+N74+O74)</f>
        <v>215898649.68</v>
      </c>
    </row>
    <row r="75" s="1142" customFormat="1" ht="52.5" customHeight="1" spans="1:16">
      <c r="A75" s="1204"/>
      <c r="B75" s="1206" t="s">
        <v>75</v>
      </c>
      <c r="C75" s="1172" t="s">
        <v>28</v>
      </c>
      <c r="D75" s="1173">
        <f t="shared" ref="D75:O75" si="48">+D72-D74</f>
        <v>0</v>
      </c>
      <c r="E75" s="1173">
        <f t="shared" si="48"/>
        <v>0</v>
      </c>
      <c r="F75" s="1173">
        <f t="shared" si="48"/>
        <v>0</v>
      </c>
      <c r="G75" s="1173">
        <f t="shared" si="48"/>
        <v>0</v>
      </c>
      <c r="H75" s="1173">
        <f t="shared" si="48"/>
        <v>107539224.65</v>
      </c>
      <c r="I75" s="1173">
        <f t="shared" si="48"/>
        <v>-5163577.74</v>
      </c>
      <c r="J75" s="1173">
        <f t="shared" si="48"/>
        <v>102375646.91</v>
      </c>
      <c r="K75" s="1173">
        <f t="shared" si="48"/>
        <v>3852744</v>
      </c>
      <c r="L75" s="1173">
        <f t="shared" si="48"/>
        <v>58448274.42</v>
      </c>
      <c r="M75" s="1173">
        <f t="shared" si="48"/>
        <v>62301018.42</v>
      </c>
      <c r="N75" s="1173">
        <f t="shared" si="48"/>
        <v>0</v>
      </c>
      <c r="O75" s="1173">
        <f t="shared" si="48"/>
        <v>3655984.99</v>
      </c>
      <c r="P75" s="1173">
        <f>P72-P74</f>
        <v>168332650.32</v>
      </c>
    </row>
    <row r="76" s="1142" customFormat="1" ht="52.5" customHeight="1" spans="1:16">
      <c r="A76" s="1204"/>
      <c r="B76" s="1207" t="s">
        <v>76</v>
      </c>
      <c r="C76" s="1172" t="s">
        <v>30</v>
      </c>
      <c r="D76" s="1173">
        <f t="shared" ref="D76:O76" si="49">+D72-D73-D74</f>
        <v>0</v>
      </c>
      <c r="E76" s="1173">
        <f t="shared" si="49"/>
        <v>0</v>
      </c>
      <c r="F76" s="1173">
        <f t="shared" si="49"/>
        <v>0</v>
      </c>
      <c r="G76" s="1173">
        <f t="shared" si="49"/>
        <v>0</v>
      </c>
      <c r="H76" s="1173">
        <f t="shared" si="49"/>
        <v>89269687.24</v>
      </c>
      <c r="I76" s="1173">
        <f t="shared" si="49"/>
        <v>-6577908.34</v>
      </c>
      <c r="J76" s="1173">
        <f t="shared" si="49"/>
        <v>82691778.9</v>
      </c>
      <c r="K76" s="1173">
        <f t="shared" si="49"/>
        <v>3579065</v>
      </c>
      <c r="L76" s="1173">
        <f t="shared" si="49"/>
        <v>1822024.42</v>
      </c>
      <c r="M76" s="1173">
        <f t="shared" si="49"/>
        <v>5401089.42</v>
      </c>
      <c r="N76" s="1173">
        <f t="shared" si="49"/>
        <v>0</v>
      </c>
      <c r="O76" s="1173">
        <f t="shared" si="49"/>
        <v>3619984.99</v>
      </c>
      <c r="P76" s="1173">
        <f>P72-P73-P74</f>
        <v>91712853.3100001</v>
      </c>
    </row>
    <row r="77" s="1142" customFormat="1" ht="52.5" customHeight="1" spans="1:16">
      <c r="A77" s="1204"/>
      <c r="B77" s="1206"/>
      <c r="C77" s="1172" t="s">
        <v>32</v>
      </c>
      <c r="D77" s="1173" t="e">
        <f>+D74*100/D71</f>
        <v>#DIV/0!</v>
      </c>
      <c r="E77" s="1173" t="e">
        <f t="shared" ref="E77:P77" si="50">+E74*100/E71</f>
        <v>#DIV/0!</v>
      </c>
      <c r="F77" s="1173" t="e">
        <f t="shared" si="50"/>
        <v>#DIV/0!</v>
      </c>
      <c r="G77" s="1173" t="e">
        <f t="shared" si="50"/>
        <v>#DIV/0!</v>
      </c>
      <c r="H77" s="1173">
        <f t="shared" si="50"/>
        <v>45.2528606670367</v>
      </c>
      <c r="I77" s="1173">
        <f t="shared" si="50"/>
        <v>93.392952139407</v>
      </c>
      <c r="J77" s="1173">
        <f t="shared" si="50"/>
        <v>48.6989327054765</v>
      </c>
      <c r="K77" s="1173">
        <f t="shared" si="50"/>
        <v>93.3229235651142</v>
      </c>
      <c r="L77" s="1173">
        <f t="shared" si="50"/>
        <v>6.54533376493461</v>
      </c>
      <c r="M77" s="1173">
        <f t="shared" si="50"/>
        <v>20.5776453979608</v>
      </c>
      <c r="N77" s="1173" t="e">
        <f t="shared" si="50"/>
        <v>#DIV/0!</v>
      </c>
      <c r="O77" s="1173">
        <f t="shared" si="50"/>
        <v>10.1742053937127</v>
      </c>
      <c r="P77" s="1173">
        <f t="shared" si="50"/>
        <v>41.8323679302808</v>
      </c>
    </row>
    <row r="78" s="1142" customFormat="1" ht="52.5" customHeight="1" spans="1:16">
      <c r="A78" s="1208"/>
      <c r="B78" s="1209"/>
      <c r="C78" s="1172" t="s">
        <v>33</v>
      </c>
      <c r="D78" s="1173" t="e">
        <f>+D74*100/D72</f>
        <v>#DIV/0!</v>
      </c>
      <c r="E78" s="1173" t="e">
        <f t="shared" ref="E78:P78" si="51">+E74*100/E72</f>
        <v>#DIV/0!</v>
      </c>
      <c r="F78" s="1173" t="e">
        <f t="shared" si="51"/>
        <v>#DIV/0!</v>
      </c>
      <c r="G78" s="1173" t="e">
        <f t="shared" si="51"/>
        <v>#DIV/0!</v>
      </c>
      <c r="H78" s="1173">
        <f t="shared" si="51"/>
        <v>60.507584520011</v>
      </c>
      <c r="I78" s="1173">
        <f t="shared" si="51"/>
        <v>124.524453684876</v>
      </c>
      <c r="J78" s="1173">
        <f t="shared" si="51"/>
        <v>65.1021815609103</v>
      </c>
      <c r="K78" s="1173">
        <f t="shared" si="51"/>
        <v>82.2488600329397</v>
      </c>
      <c r="L78" s="1173">
        <f t="shared" si="51"/>
        <v>9.99510326260379</v>
      </c>
      <c r="M78" s="1173">
        <f t="shared" si="51"/>
        <v>28.0947397833875</v>
      </c>
      <c r="N78" s="1173" t="e">
        <f t="shared" si="51"/>
        <v>#DIV/0!</v>
      </c>
      <c r="O78" s="1173">
        <f t="shared" si="51"/>
        <v>13.5660080854887</v>
      </c>
      <c r="P78" s="1173">
        <f t="shared" si="51"/>
        <v>56.1897611360657</v>
      </c>
    </row>
    <row r="79" s="1144" customFormat="1" ht="52.5" customHeight="1" spans="1:18">
      <c r="A79" s="1210"/>
      <c r="B79" s="1211"/>
      <c r="C79" s="1212" t="s">
        <v>20</v>
      </c>
      <c r="D79" s="1213">
        <f>+D7+D15+D23+D31+D39+D47+D55+D63</f>
        <v>627075500</v>
      </c>
      <c r="E79" s="1213">
        <f t="shared" ref="E79:P79" si="52">+E7+E15+E23+E31+E39+E47+E55+E63</f>
        <v>246152200</v>
      </c>
      <c r="F79" s="1213">
        <f t="shared" si="52"/>
        <v>516824300</v>
      </c>
      <c r="G79" s="1213">
        <f t="shared" si="52"/>
        <v>1390052000</v>
      </c>
      <c r="H79" s="1213">
        <f t="shared" si="52"/>
        <v>399235900</v>
      </c>
      <c r="I79" s="1213">
        <f t="shared" si="52"/>
        <v>33305800</v>
      </c>
      <c r="J79" s="1213">
        <f t="shared" si="52"/>
        <v>432541700</v>
      </c>
      <c r="K79" s="1213">
        <f t="shared" si="52"/>
        <v>19128700</v>
      </c>
      <c r="L79" s="1213">
        <f t="shared" si="52"/>
        <v>99165600</v>
      </c>
      <c r="M79" s="1213">
        <f t="shared" si="52"/>
        <v>118294300</v>
      </c>
      <c r="N79" s="1213">
        <f t="shared" si="52"/>
        <v>0</v>
      </c>
      <c r="O79" s="1213">
        <f t="shared" si="52"/>
        <v>28793900</v>
      </c>
      <c r="P79" s="1213">
        <f t="shared" si="52"/>
        <v>1969681900</v>
      </c>
      <c r="Q79" s="1141"/>
      <c r="R79" s="1144" t="s">
        <v>77</v>
      </c>
    </row>
    <row r="80" s="1144" customFormat="1" ht="52.5" customHeight="1" spans="1:18">
      <c r="A80" s="1214">
        <v>10</v>
      </c>
      <c r="B80" s="1211"/>
      <c r="C80" s="1212" t="s">
        <v>22</v>
      </c>
      <c r="D80" s="1213">
        <f t="shared" ref="D80:P82" si="53">+D8+D16+D24+D32+D40+D48+D56+D64</f>
        <v>470306625</v>
      </c>
      <c r="E80" s="1213">
        <f t="shared" si="53"/>
        <v>184614150</v>
      </c>
      <c r="F80" s="1213">
        <f t="shared" si="53"/>
        <v>387618225</v>
      </c>
      <c r="G80" s="1213">
        <f t="shared" si="53"/>
        <v>1042539000</v>
      </c>
      <c r="H80" s="1213">
        <f t="shared" si="53"/>
        <v>298657475</v>
      </c>
      <c r="I80" s="1213">
        <f t="shared" si="53"/>
        <v>24979225</v>
      </c>
      <c r="J80" s="1213">
        <f t="shared" si="53"/>
        <v>323636700</v>
      </c>
      <c r="K80" s="1213">
        <f t="shared" si="53"/>
        <v>21704206.08</v>
      </c>
      <c r="L80" s="1213">
        <f t="shared" si="53"/>
        <v>64938993.92</v>
      </c>
      <c r="M80" s="1213">
        <f t="shared" si="53"/>
        <v>86643200</v>
      </c>
      <c r="N80" s="1213">
        <f t="shared" si="53"/>
        <v>0</v>
      </c>
      <c r="O80" s="1213">
        <f t="shared" si="53"/>
        <v>21595100</v>
      </c>
      <c r="P80" s="1213">
        <f t="shared" si="53"/>
        <v>1474414000</v>
      </c>
      <c r="Q80" s="1141"/>
      <c r="R80" s="1144">
        <f>+P80-P79</f>
        <v>-495267900</v>
      </c>
    </row>
    <row r="81" s="1144" customFormat="1" ht="51" spans="1:21">
      <c r="A81" s="1214"/>
      <c r="B81" s="1215" t="s">
        <v>78</v>
      </c>
      <c r="C81" s="1212" t="s">
        <v>24</v>
      </c>
      <c r="D81" s="1213">
        <f t="shared" si="53"/>
        <v>0</v>
      </c>
      <c r="E81" s="1213">
        <f t="shared" si="53"/>
        <v>0</v>
      </c>
      <c r="F81" s="1213">
        <f t="shared" si="53"/>
        <v>0</v>
      </c>
      <c r="G81" s="1213">
        <f t="shared" si="53"/>
        <v>0</v>
      </c>
      <c r="H81" s="1213">
        <f t="shared" si="53"/>
        <v>18269537.41</v>
      </c>
      <c r="I81" s="1213">
        <f t="shared" si="53"/>
        <v>1414330.6</v>
      </c>
      <c r="J81" s="1213">
        <f t="shared" si="53"/>
        <v>19683868.01</v>
      </c>
      <c r="K81" s="1213">
        <f t="shared" si="53"/>
        <v>273679</v>
      </c>
      <c r="L81" s="1213">
        <f t="shared" si="53"/>
        <v>56626250</v>
      </c>
      <c r="M81" s="1213">
        <f t="shared" si="53"/>
        <v>56899929</v>
      </c>
      <c r="N81" s="1213">
        <f t="shared" si="53"/>
        <v>0</v>
      </c>
      <c r="O81" s="1213">
        <f t="shared" si="53"/>
        <v>111761.86</v>
      </c>
      <c r="P81" s="1213">
        <f t="shared" si="53"/>
        <v>76695558.87</v>
      </c>
      <c r="Q81" s="1141"/>
      <c r="T81" s="1144">
        <v>77218547.87</v>
      </c>
      <c r="U81" s="1144">
        <f>+P81-T81</f>
        <v>-522989</v>
      </c>
    </row>
    <row r="82" s="1144" customFormat="1" ht="52.5" customHeight="1" spans="1:21">
      <c r="A82" s="1214"/>
      <c r="B82" s="1215" t="s">
        <v>79</v>
      </c>
      <c r="C82" s="1212" t="s">
        <v>26</v>
      </c>
      <c r="D82" s="1213">
        <f t="shared" si="53"/>
        <v>372587182.59</v>
      </c>
      <c r="E82" s="1213">
        <f t="shared" si="53"/>
        <v>140870326.3</v>
      </c>
      <c r="F82" s="1213">
        <f t="shared" si="53"/>
        <v>288577660.37</v>
      </c>
      <c r="G82" s="1213">
        <f t="shared" si="53"/>
        <v>802035169.26</v>
      </c>
      <c r="H82" s="1213">
        <f t="shared" si="53"/>
        <v>183522243.53</v>
      </c>
      <c r="I82" s="1213">
        <f t="shared" si="53"/>
        <v>30227440.99</v>
      </c>
      <c r="J82" s="1213">
        <f t="shared" si="53"/>
        <v>213749684.52</v>
      </c>
      <c r="K82" s="1213">
        <f t="shared" si="53"/>
        <v>17851462.08</v>
      </c>
      <c r="L82" s="1213">
        <f t="shared" si="53"/>
        <v>6490719.5</v>
      </c>
      <c r="M82" s="1213">
        <f t="shared" si="53"/>
        <v>24342181.58</v>
      </c>
      <c r="N82" s="1213">
        <f t="shared" si="53"/>
        <v>0</v>
      </c>
      <c r="O82" s="1213">
        <f t="shared" si="53"/>
        <v>6921441.63</v>
      </c>
      <c r="P82" s="1213">
        <f t="shared" si="53"/>
        <v>1047048476.99</v>
      </c>
      <c r="Q82" s="1141"/>
      <c r="T82" s="1144">
        <v>1047741358.85</v>
      </c>
      <c r="U82" s="1144">
        <f>+P82-T82</f>
        <v>-692881.860000014</v>
      </c>
    </row>
    <row r="83" s="1144" customFormat="1" ht="52.5" customHeight="1" spans="1:17">
      <c r="A83" s="1214"/>
      <c r="B83" s="1215" t="s">
        <v>80</v>
      </c>
      <c r="C83" s="1212" t="s">
        <v>28</v>
      </c>
      <c r="D83" s="1213">
        <f t="shared" ref="D83:O83" si="54">+D80-D82</f>
        <v>97719442.41</v>
      </c>
      <c r="E83" s="1213">
        <f t="shared" si="54"/>
        <v>43743823.7</v>
      </c>
      <c r="F83" s="1213">
        <f t="shared" si="54"/>
        <v>99040564.63</v>
      </c>
      <c r="G83" s="1213">
        <f t="shared" si="54"/>
        <v>240503830.74</v>
      </c>
      <c r="H83" s="1213">
        <f t="shared" si="54"/>
        <v>115135231.47</v>
      </c>
      <c r="I83" s="1213">
        <f t="shared" si="54"/>
        <v>-5248215.99</v>
      </c>
      <c r="J83" s="1213">
        <f t="shared" si="54"/>
        <v>109887015.48</v>
      </c>
      <c r="K83" s="1213">
        <f t="shared" si="54"/>
        <v>3852744</v>
      </c>
      <c r="L83" s="1213">
        <f t="shared" si="54"/>
        <v>58448274.42</v>
      </c>
      <c r="M83" s="1213">
        <f t="shared" si="54"/>
        <v>62301018.42</v>
      </c>
      <c r="N83" s="1213">
        <f t="shared" si="54"/>
        <v>0</v>
      </c>
      <c r="O83" s="1213">
        <f t="shared" si="54"/>
        <v>14673658.37</v>
      </c>
      <c r="P83" s="1213">
        <f>P80-P82</f>
        <v>427365523.01</v>
      </c>
      <c r="Q83" s="1141"/>
    </row>
    <row r="84" s="1144" customFormat="1" ht="52.5" customHeight="1" spans="1:17">
      <c r="A84" s="1210"/>
      <c r="B84" s="1216"/>
      <c r="C84" s="1212" t="s">
        <v>30</v>
      </c>
      <c r="D84" s="1213">
        <f t="shared" ref="D84:O84" si="55">+D80-D81-D82</f>
        <v>97719442.41</v>
      </c>
      <c r="E84" s="1213">
        <f t="shared" si="55"/>
        <v>43743823.7</v>
      </c>
      <c r="F84" s="1213">
        <f t="shared" si="55"/>
        <v>99040564.63</v>
      </c>
      <c r="G84" s="1213">
        <f t="shared" si="55"/>
        <v>240503830.74</v>
      </c>
      <c r="H84" s="1213">
        <f t="shared" si="55"/>
        <v>96865694.06</v>
      </c>
      <c r="I84" s="1213">
        <f t="shared" si="55"/>
        <v>-6662546.59</v>
      </c>
      <c r="J84" s="1213">
        <f t="shared" si="55"/>
        <v>90203147.47</v>
      </c>
      <c r="K84" s="1213">
        <f t="shared" si="55"/>
        <v>3579065</v>
      </c>
      <c r="L84" s="1213">
        <f t="shared" si="55"/>
        <v>1822024.42</v>
      </c>
      <c r="M84" s="1213">
        <f t="shared" si="55"/>
        <v>5401089.42</v>
      </c>
      <c r="N84" s="1213">
        <f t="shared" si="55"/>
        <v>0</v>
      </c>
      <c r="O84" s="1213">
        <f t="shared" si="55"/>
        <v>14561896.51</v>
      </c>
      <c r="P84" s="1213">
        <f>P80-P81-P82</f>
        <v>350669964.14</v>
      </c>
      <c r="Q84" s="1141"/>
    </row>
    <row r="85" s="1144" customFormat="1" ht="52.5" customHeight="1" spans="1:17">
      <c r="A85" s="1210"/>
      <c r="B85" s="1211"/>
      <c r="C85" s="1212" t="s">
        <v>32</v>
      </c>
      <c r="D85" s="1213">
        <f>+D82*100/D79</f>
        <v>59.4166384414636</v>
      </c>
      <c r="E85" s="1213">
        <f t="shared" ref="E85:P85" si="56">+E82*100/E79</f>
        <v>57.2289527779967</v>
      </c>
      <c r="F85" s="1213">
        <f t="shared" si="56"/>
        <v>55.836705118161</v>
      </c>
      <c r="G85" s="1213">
        <f t="shared" si="56"/>
        <v>57.6982133948946</v>
      </c>
      <c r="H85" s="1213">
        <f t="shared" si="56"/>
        <v>45.9683719650462</v>
      </c>
      <c r="I85" s="1213">
        <f t="shared" si="56"/>
        <v>90.757288490293</v>
      </c>
      <c r="J85" s="1213">
        <f t="shared" si="56"/>
        <v>49.4171277636353</v>
      </c>
      <c r="K85" s="1213">
        <f t="shared" si="56"/>
        <v>93.3229235651142</v>
      </c>
      <c r="L85" s="1213">
        <f t="shared" si="56"/>
        <v>6.54533376493461</v>
      </c>
      <c r="M85" s="1213">
        <f t="shared" si="56"/>
        <v>20.5776453979608</v>
      </c>
      <c r="N85" s="1213">
        <v>0</v>
      </c>
      <c r="O85" s="1213">
        <f t="shared" si="56"/>
        <v>24.0378747929249</v>
      </c>
      <c r="P85" s="1213">
        <f t="shared" si="56"/>
        <v>53.1582524563992</v>
      </c>
      <c r="Q85" s="1141"/>
    </row>
    <row r="86" s="1144" customFormat="1" ht="52.5" customHeight="1" spans="1:17">
      <c r="A86" s="1217"/>
      <c r="B86" s="1218"/>
      <c r="C86" s="1212" t="s">
        <v>33</v>
      </c>
      <c r="D86" s="1213">
        <f>+D82*100/D80</f>
        <v>79.2221845886181</v>
      </c>
      <c r="E86" s="1213">
        <f t="shared" ref="E86:P86" si="57">+E82*100/E80</f>
        <v>76.3052703706623</v>
      </c>
      <c r="F86" s="1213">
        <f t="shared" si="57"/>
        <v>74.4489401575481</v>
      </c>
      <c r="G86" s="1213">
        <f t="shared" si="57"/>
        <v>76.9309511931928</v>
      </c>
      <c r="H86" s="1213">
        <f t="shared" si="57"/>
        <v>61.4490708896538</v>
      </c>
      <c r="I86" s="1213">
        <f t="shared" si="57"/>
        <v>121.010323538861</v>
      </c>
      <c r="J86" s="1213">
        <f t="shared" si="57"/>
        <v>66.0461821913275</v>
      </c>
      <c r="K86" s="1213">
        <f t="shared" si="57"/>
        <v>82.2488600329397</v>
      </c>
      <c r="L86" s="1213">
        <f t="shared" si="57"/>
        <v>9.99510326260379</v>
      </c>
      <c r="M86" s="1213">
        <f t="shared" si="57"/>
        <v>28.0947397833875</v>
      </c>
      <c r="N86" s="1213">
        <v>0</v>
      </c>
      <c r="O86" s="1213">
        <f t="shared" si="57"/>
        <v>32.0509820746373</v>
      </c>
      <c r="P86" s="1213">
        <f t="shared" si="57"/>
        <v>71.0145506614831</v>
      </c>
      <c r="Q86" s="1141"/>
    </row>
    <row r="87" s="1142" customFormat="1" ht="52.5" customHeight="1" spans="1:16">
      <c r="A87" s="1202">
        <v>11</v>
      </c>
      <c r="B87" s="1219" t="s">
        <v>81</v>
      </c>
      <c r="C87" s="1172" t="s">
        <v>20</v>
      </c>
      <c r="D87" s="1173">
        <f>+D79</f>
        <v>627075500</v>
      </c>
      <c r="E87" s="1173">
        <f>+E79</f>
        <v>246152200</v>
      </c>
      <c r="F87" s="1173">
        <f>+F79</f>
        <v>516824300</v>
      </c>
      <c r="G87" s="1173">
        <f>SUM(D87:F87)</f>
        <v>1390052000</v>
      </c>
      <c r="H87" s="1173">
        <f t="shared" ref="H87:I90" si="58">+H79</f>
        <v>399235900</v>
      </c>
      <c r="I87" s="1173">
        <f t="shared" si="58"/>
        <v>33305800</v>
      </c>
      <c r="J87" s="1173">
        <f>SUM(H87:I87)</f>
        <v>432541700</v>
      </c>
      <c r="K87" s="1173"/>
      <c r="L87" s="1173"/>
      <c r="M87" s="1173"/>
      <c r="N87" s="1173">
        <f t="shared" ref="N87:O90" si="59">+N79</f>
        <v>0</v>
      </c>
      <c r="O87" s="1173">
        <f t="shared" si="59"/>
        <v>28793900</v>
      </c>
      <c r="P87" s="1173">
        <f>SUM(G87+J87+M87+N87+O87)</f>
        <v>1851387600</v>
      </c>
    </row>
    <row r="88" s="1142" customFormat="1" ht="52.5" customHeight="1" spans="1:16">
      <c r="A88" s="1204"/>
      <c r="B88" s="1220"/>
      <c r="C88" s="1172" t="s">
        <v>22</v>
      </c>
      <c r="D88" s="1173">
        <f t="shared" ref="D88:F90" si="60">+D80</f>
        <v>470306625</v>
      </c>
      <c r="E88" s="1173">
        <f t="shared" si="60"/>
        <v>184614150</v>
      </c>
      <c r="F88" s="1173">
        <f>+F80</f>
        <v>387618225</v>
      </c>
      <c r="G88" s="1173">
        <f>SUM(D88:F88)</f>
        <v>1042539000</v>
      </c>
      <c r="H88" s="1173">
        <f t="shared" si="58"/>
        <v>298657475</v>
      </c>
      <c r="I88" s="1173">
        <f t="shared" si="58"/>
        <v>24979225</v>
      </c>
      <c r="J88" s="1173">
        <f>SUM(H88:I88)</f>
        <v>323636700</v>
      </c>
      <c r="K88" s="1173"/>
      <c r="L88" s="1173"/>
      <c r="M88" s="1173"/>
      <c r="N88" s="1173">
        <f t="shared" si="59"/>
        <v>0</v>
      </c>
      <c r="O88" s="1173">
        <f t="shared" si="59"/>
        <v>21595100</v>
      </c>
      <c r="P88" s="1173">
        <f>SUM(G88+J88+M88+N88+O88)</f>
        <v>1387770800</v>
      </c>
    </row>
    <row r="89" s="1142" customFormat="1" ht="52.5" customHeight="1" spans="1:16">
      <c r="A89" s="1204"/>
      <c r="B89" s="1220"/>
      <c r="C89" s="1172" t="s">
        <v>24</v>
      </c>
      <c r="D89" s="1173">
        <f t="shared" si="60"/>
        <v>0</v>
      </c>
      <c r="E89" s="1173">
        <f t="shared" si="60"/>
        <v>0</v>
      </c>
      <c r="F89" s="1173">
        <f t="shared" si="60"/>
        <v>0</v>
      </c>
      <c r="G89" s="1173">
        <f>SUM(D89:F89)</f>
        <v>0</v>
      </c>
      <c r="H89" s="1173">
        <f t="shared" si="58"/>
        <v>18269537.41</v>
      </c>
      <c r="I89" s="1173">
        <f t="shared" si="58"/>
        <v>1414330.6</v>
      </c>
      <c r="J89" s="1173">
        <f>SUM(H89:I89)</f>
        <v>19683868.01</v>
      </c>
      <c r="K89" s="1173"/>
      <c r="L89" s="1173"/>
      <c r="M89" s="1173"/>
      <c r="N89" s="1173">
        <f t="shared" si="59"/>
        <v>0</v>
      </c>
      <c r="O89" s="1173">
        <f t="shared" si="59"/>
        <v>111761.86</v>
      </c>
      <c r="P89" s="1173">
        <f>SUM(G89+J89+M89+N89+O89)</f>
        <v>19795629.87</v>
      </c>
    </row>
    <row r="90" s="1142" customFormat="1" ht="52.5" customHeight="1" spans="1:16">
      <c r="A90" s="1204"/>
      <c r="B90" s="1220"/>
      <c r="C90" s="1172" t="s">
        <v>26</v>
      </c>
      <c r="D90" s="1173">
        <f t="shared" si="60"/>
        <v>372587182.59</v>
      </c>
      <c r="E90" s="1173">
        <f t="shared" si="60"/>
        <v>140870326.3</v>
      </c>
      <c r="F90" s="1173">
        <f t="shared" si="60"/>
        <v>288577660.37</v>
      </c>
      <c r="G90" s="1173">
        <f>SUM(D90:F90)</f>
        <v>802035169.26</v>
      </c>
      <c r="H90" s="1173">
        <f t="shared" si="58"/>
        <v>183522243.53</v>
      </c>
      <c r="I90" s="1173">
        <f t="shared" si="58"/>
        <v>30227440.99</v>
      </c>
      <c r="J90" s="1173">
        <f>SUM(H90:I90)</f>
        <v>213749684.52</v>
      </c>
      <c r="K90" s="1173"/>
      <c r="L90" s="1173"/>
      <c r="M90" s="1173"/>
      <c r="N90" s="1173">
        <f t="shared" si="59"/>
        <v>0</v>
      </c>
      <c r="O90" s="1173">
        <f t="shared" si="59"/>
        <v>6921441.63</v>
      </c>
      <c r="P90" s="1173">
        <f>SUM(G90+J90+M90+N90+O90)</f>
        <v>1022706295.41</v>
      </c>
    </row>
    <row r="91" s="1142" customFormat="1" ht="52.5" customHeight="1" spans="1:16">
      <c r="A91" s="1204"/>
      <c r="B91" s="1220"/>
      <c r="C91" s="1172" t="s">
        <v>28</v>
      </c>
      <c r="D91" s="1173">
        <f t="shared" ref="D91:J91" si="61">+D88-D90</f>
        <v>97719442.41</v>
      </c>
      <c r="E91" s="1173">
        <f t="shared" si="61"/>
        <v>43743823.7</v>
      </c>
      <c r="F91" s="1173">
        <f t="shared" si="61"/>
        <v>99040564.63</v>
      </c>
      <c r="G91" s="1173">
        <f t="shared" si="61"/>
        <v>240503830.74</v>
      </c>
      <c r="H91" s="1173">
        <f t="shared" si="61"/>
        <v>115135231.47</v>
      </c>
      <c r="I91" s="1173">
        <f t="shared" si="61"/>
        <v>-5248215.99</v>
      </c>
      <c r="J91" s="1173">
        <f t="shared" si="61"/>
        <v>109887015.48</v>
      </c>
      <c r="K91" s="1173"/>
      <c r="L91" s="1173"/>
      <c r="M91" s="1173"/>
      <c r="N91" s="1173">
        <f>+N88-N90</f>
        <v>0</v>
      </c>
      <c r="O91" s="1173">
        <f>+O88-O90</f>
        <v>14673658.37</v>
      </c>
      <c r="P91" s="1173">
        <f>P88-P90</f>
        <v>365064504.59</v>
      </c>
    </row>
    <row r="92" s="1142" customFormat="1" ht="52.5" customHeight="1" spans="1:16">
      <c r="A92" s="1204"/>
      <c r="B92" s="1220"/>
      <c r="C92" s="1172" t="s">
        <v>30</v>
      </c>
      <c r="D92" s="1173">
        <f t="shared" ref="D92:J92" si="62">+D88-D89-D90</f>
        <v>97719442.41</v>
      </c>
      <c r="E92" s="1173">
        <f t="shared" si="62"/>
        <v>43743823.7</v>
      </c>
      <c r="F92" s="1173">
        <f t="shared" si="62"/>
        <v>99040564.63</v>
      </c>
      <c r="G92" s="1173">
        <f t="shared" si="62"/>
        <v>240503830.74</v>
      </c>
      <c r="H92" s="1173">
        <f t="shared" si="62"/>
        <v>96865694.06</v>
      </c>
      <c r="I92" s="1173">
        <f t="shared" si="62"/>
        <v>-6662546.59</v>
      </c>
      <c r="J92" s="1173">
        <f t="shared" si="62"/>
        <v>90203147.47</v>
      </c>
      <c r="K92" s="1173"/>
      <c r="L92" s="1173"/>
      <c r="M92" s="1173"/>
      <c r="N92" s="1173">
        <f>+N88-N89-N90</f>
        <v>0</v>
      </c>
      <c r="O92" s="1173">
        <f>+O88-O89-O90</f>
        <v>14561896.51</v>
      </c>
      <c r="P92" s="1173">
        <f>P88-P89-P90</f>
        <v>345268874.72</v>
      </c>
    </row>
    <row r="93" s="1141" customFormat="1" ht="52.5" customHeight="1" spans="1:17">
      <c r="A93" s="1204"/>
      <c r="B93" s="1220"/>
      <c r="C93" s="1172" t="s">
        <v>32</v>
      </c>
      <c r="D93" s="1173">
        <f>+D90*100/D87</f>
        <v>59.4166384414636</v>
      </c>
      <c r="E93" s="1173">
        <f t="shared" ref="E93:P93" si="63">+E90*100/E87</f>
        <v>57.2289527779967</v>
      </c>
      <c r="F93" s="1173">
        <f t="shared" si="63"/>
        <v>55.836705118161</v>
      </c>
      <c r="G93" s="1173">
        <f t="shared" si="63"/>
        <v>57.6982133948946</v>
      </c>
      <c r="H93" s="1173">
        <f t="shared" si="63"/>
        <v>45.9683719650462</v>
      </c>
      <c r="I93" s="1173">
        <f t="shared" si="63"/>
        <v>90.757288490293</v>
      </c>
      <c r="J93" s="1173">
        <f t="shared" si="63"/>
        <v>49.4171277636353</v>
      </c>
      <c r="K93" s="1173" t="e">
        <f t="shared" si="63"/>
        <v>#DIV/0!</v>
      </c>
      <c r="L93" s="1173" t="e">
        <f t="shared" si="63"/>
        <v>#DIV/0!</v>
      </c>
      <c r="M93" s="1173" t="e">
        <f t="shared" si="63"/>
        <v>#DIV/0!</v>
      </c>
      <c r="N93" s="1173" t="e">
        <f t="shared" si="63"/>
        <v>#DIV/0!</v>
      </c>
      <c r="O93" s="1173">
        <f t="shared" si="63"/>
        <v>24.0378747929249</v>
      </c>
      <c r="P93" s="1173">
        <f t="shared" si="63"/>
        <v>55.239988396271</v>
      </c>
      <c r="Q93" s="1142"/>
    </row>
    <row r="94" s="1142" customFormat="1" ht="52.5" customHeight="1" spans="1:16">
      <c r="A94" s="1208"/>
      <c r="B94" s="1221"/>
      <c r="C94" s="1172" t="s">
        <v>33</v>
      </c>
      <c r="D94" s="1173">
        <f>+D90*100/D88</f>
        <v>79.2221845886181</v>
      </c>
      <c r="E94" s="1173">
        <f t="shared" ref="E94:P94" si="64">+E90*100/E88</f>
        <v>76.3052703706623</v>
      </c>
      <c r="F94" s="1173">
        <f t="shared" si="64"/>
        <v>74.4489401575481</v>
      </c>
      <c r="G94" s="1173">
        <f t="shared" si="64"/>
        <v>76.9309511931928</v>
      </c>
      <c r="H94" s="1173">
        <f t="shared" si="64"/>
        <v>61.4490708896538</v>
      </c>
      <c r="I94" s="1173">
        <f t="shared" si="64"/>
        <v>121.010323538861</v>
      </c>
      <c r="J94" s="1173">
        <f t="shared" si="64"/>
        <v>66.0461821913275</v>
      </c>
      <c r="K94" s="1173" t="e">
        <f t="shared" si="64"/>
        <v>#DIV/0!</v>
      </c>
      <c r="L94" s="1173" t="e">
        <f t="shared" si="64"/>
        <v>#DIV/0!</v>
      </c>
      <c r="M94" s="1173" t="e">
        <f t="shared" si="64"/>
        <v>#DIV/0!</v>
      </c>
      <c r="N94" s="1173" t="e">
        <f t="shared" si="64"/>
        <v>#DIV/0!</v>
      </c>
      <c r="O94" s="1173">
        <f t="shared" si="64"/>
        <v>32.0509820746373</v>
      </c>
      <c r="P94" s="1173">
        <f t="shared" si="64"/>
        <v>73.6941788521563</v>
      </c>
    </row>
    <row r="95" s="1142" customFormat="1" ht="50.25" customHeight="1" spans="1:16">
      <c r="A95" s="1202">
        <v>12</v>
      </c>
      <c r="B95" s="1219" t="s">
        <v>6</v>
      </c>
      <c r="C95" s="1172" t="s">
        <v>20</v>
      </c>
      <c r="D95" s="1173">
        <v>0</v>
      </c>
      <c r="E95" s="1173">
        <v>0</v>
      </c>
      <c r="F95" s="1173">
        <v>0</v>
      </c>
      <c r="G95" s="1173">
        <f>SUM(D95:F95)</f>
        <v>0</v>
      </c>
      <c r="H95" s="1173">
        <v>0</v>
      </c>
      <c r="I95" s="1173">
        <v>0</v>
      </c>
      <c r="J95" s="1173">
        <f>SUM(H95:I95)</f>
        <v>0</v>
      </c>
      <c r="K95" s="1173">
        <f>+K79</f>
        <v>19128700</v>
      </c>
      <c r="L95" s="1173">
        <f>+L79</f>
        <v>99165600</v>
      </c>
      <c r="M95" s="1173">
        <f>SUM(K95:L95)</f>
        <v>118294300</v>
      </c>
      <c r="N95" s="1173">
        <v>0</v>
      </c>
      <c r="O95" s="1173">
        <v>0</v>
      </c>
      <c r="P95" s="1173">
        <f>SUM(G95+J95+M95+N95+O95)</f>
        <v>118294300</v>
      </c>
    </row>
    <row r="96" s="1142" customFormat="1" ht="50.25" customHeight="1" spans="1:16">
      <c r="A96" s="1204"/>
      <c r="B96" s="1220"/>
      <c r="C96" s="1172" t="s">
        <v>22</v>
      </c>
      <c r="D96" s="1173">
        <v>0</v>
      </c>
      <c r="E96" s="1173">
        <v>0</v>
      </c>
      <c r="F96" s="1173">
        <v>0</v>
      </c>
      <c r="G96" s="1173">
        <f>SUM(D96:F96)</f>
        <v>0</v>
      </c>
      <c r="H96" s="1173">
        <v>0</v>
      </c>
      <c r="I96" s="1173">
        <v>0</v>
      </c>
      <c r="J96" s="1173">
        <f>SUM(H96:I96)</f>
        <v>0</v>
      </c>
      <c r="K96" s="1173">
        <f t="shared" ref="K96:L98" si="65">+K80</f>
        <v>21704206.08</v>
      </c>
      <c r="L96" s="1173">
        <f t="shared" si="65"/>
        <v>64938993.92</v>
      </c>
      <c r="M96" s="1173">
        <f>SUM(K96:L96)</f>
        <v>86643200</v>
      </c>
      <c r="N96" s="1173">
        <v>0</v>
      </c>
      <c r="O96" s="1173">
        <v>0</v>
      </c>
      <c r="P96" s="1173">
        <f>SUM(G96+J96+M96+N96+O96)</f>
        <v>86643200</v>
      </c>
    </row>
    <row r="97" s="1142" customFormat="1" ht="50.25" customHeight="1" spans="1:16">
      <c r="A97" s="1204"/>
      <c r="B97" s="1220"/>
      <c r="C97" s="1172" t="s">
        <v>24</v>
      </c>
      <c r="D97" s="1173">
        <v>0</v>
      </c>
      <c r="E97" s="1173">
        <v>0</v>
      </c>
      <c r="F97" s="1173">
        <v>0</v>
      </c>
      <c r="G97" s="1173">
        <f>SUM(D97:F97)</f>
        <v>0</v>
      </c>
      <c r="H97" s="1173">
        <v>0</v>
      </c>
      <c r="I97" s="1173">
        <v>0</v>
      </c>
      <c r="J97" s="1173">
        <f>SUM(H97:I97)</f>
        <v>0</v>
      </c>
      <c r="K97" s="1173">
        <f t="shared" si="65"/>
        <v>273679</v>
      </c>
      <c r="L97" s="1173">
        <f t="shared" si="65"/>
        <v>56626250</v>
      </c>
      <c r="M97" s="1173">
        <f>SUM(K97:L97)</f>
        <v>56899929</v>
      </c>
      <c r="N97" s="1173">
        <v>0</v>
      </c>
      <c r="O97" s="1173">
        <v>0</v>
      </c>
      <c r="P97" s="1173">
        <f>SUM(G97+J97+M97+N97+O97)</f>
        <v>56899929</v>
      </c>
    </row>
    <row r="98" s="1142" customFormat="1" ht="50.25" customHeight="1" spans="1:16">
      <c r="A98" s="1204"/>
      <c r="B98" s="1220"/>
      <c r="C98" s="1172" t="s">
        <v>26</v>
      </c>
      <c r="D98" s="1173">
        <v>0</v>
      </c>
      <c r="E98" s="1173">
        <v>0</v>
      </c>
      <c r="F98" s="1173">
        <v>0</v>
      </c>
      <c r="G98" s="1173">
        <f>SUM(D98:F98)</f>
        <v>0</v>
      </c>
      <c r="H98" s="1173">
        <v>0</v>
      </c>
      <c r="I98" s="1173">
        <v>0</v>
      </c>
      <c r="J98" s="1173">
        <f>SUM(H98:I98)</f>
        <v>0</v>
      </c>
      <c r="K98" s="1173">
        <f t="shared" si="65"/>
        <v>17851462.08</v>
      </c>
      <c r="L98" s="1173">
        <f t="shared" si="65"/>
        <v>6490719.5</v>
      </c>
      <c r="M98" s="1173">
        <f>SUM(K98:L98)</f>
        <v>24342181.58</v>
      </c>
      <c r="N98" s="1173">
        <v>0</v>
      </c>
      <c r="O98" s="1173">
        <v>0</v>
      </c>
      <c r="P98" s="1173">
        <f>SUM(G98+J98+M98+N98+O98)</f>
        <v>24342181.58</v>
      </c>
    </row>
    <row r="99" s="1142" customFormat="1" ht="50.25" customHeight="1" spans="1:16">
      <c r="A99" s="1204"/>
      <c r="B99" s="1220"/>
      <c r="C99" s="1172" t="s">
        <v>28</v>
      </c>
      <c r="D99" s="1173">
        <f>+D96-D98</f>
        <v>0</v>
      </c>
      <c r="E99" s="1173">
        <f>+E96-E98</f>
        <v>0</v>
      </c>
      <c r="F99" s="1173">
        <f>+F96-F98</f>
        <v>0</v>
      </c>
      <c r="G99" s="1173">
        <f>G96-G98</f>
        <v>0</v>
      </c>
      <c r="H99" s="1173">
        <f>+H96-H98</f>
        <v>0</v>
      </c>
      <c r="I99" s="1173">
        <f>+I96-I98</f>
        <v>0</v>
      </c>
      <c r="J99" s="1173">
        <f>J96-J98</f>
        <v>0</v>
      </c>
      <c r="K99" s="1173">
        <f>+K96-K98</f>
        <v>3852744</v>
      </c>
      <c r="L99" s="1173">
        <f>+L96-L98</f>
        <v>58448274.42</v>
      </c>
      <c r="M99" s="1173">
        <f>M96-M98</f>
        <v>62301018.42</v>
      </c>
      <c r="N99" s="1173">
        <f>+N96-N98</f>
        <v>0</v>
      </c>
      <c r="O99" s="1173">
        <f>+O96-O98</f>
        <v>0</v>
      </c>
      <c r="P99" s="1173">
        <f>P96-P98</f>
        <v>62301018.42</v>
      </c>
    </row>
    <row r="100" s="1142" customFormat="1" ht="50.25" customHeight="1" spans="1:16">
      <c r="A100" s="1204"/>
      <c r="B100" s="1220"/>
      <c r="C100" s="1172" t="s">
        <v>30</v>
      </c>
      <c r="D100" s="1173">
        <f>+D96-D97-D98</f>
        <v>0</v>
      </c>
      <c r="E100" s="1173">
        <f>+E96-E97-E98</f>
        <v>0</v>
      </c>
      <c r="F100" s="1173">
        <f>+F96-F97-F98</f>
        <v>0</v>
      </c>
      <c r="G100" s="1173">
        <f>G96-G97-G98</f>
        <v>0</v>
      </c>
      <c r="H100" s="1173">
        <f>+H96-H97-H98</f>
        <v>0</v>
      </c>
      <c r="I100" s="1173">
        <f>+I96-I97-I98</f>
        <v>0</v>
      </c>
      <c r="J100" s="1173">
        <f>J96-J97-J98</f>
        <v>0</v>
      </c>
      <c r="K100" s="1173">
        <f>+K96-K97-K98</f>
        <v>3579065</v>
      </c>
      <c r="L100" s="1173">
        <f>+L96-L97-L98</f>
        <v>1822024.42</v>
      </c>
      <c r="M100" s="1173">
        <f>M96-M97-M98</f>
        <v>5401089.42</v>
      </c>
      <c r="N100" s="1173">
        <f>+N96-N97-N98</f>
        <v>0</v>
      </c>
      <c r="O100" s="1173">
        <f>+O96-O97-O98</f>
        <v>0</v>
      </c>
      <c r="P100" s="1173">
        <f>P96-P97-P98</f>
        <v>5401089.42</v>
      </c>
    </row>
    <row r="101" s="1141" customFormat="1" ht="50.25" customHeight="1" spans="1:17">
      <c r="A101" s="1204"/>
      <c r="B101" s="1220"/>
      <c r="C101" s="1172" t="s">
        <v>32</v>
      </c>
      <c r="D101" s="1173" t="e">
        <f>+D98*100/D95</f>
        <v>#DIV/0!</v>
      </c>
      <c r="E101" s="1173" t="e">
        <f t="shared" ref="E101:P101" si="66">+E98*100/E95</f>
        <v>#DIV/0!</v>
      </c>
      <c r="F101" s="1173" t="e">
        <f t="shared" si="66"/>
        <v>#DIV/0!</v>
      </c>
      <c r="G101" s="1173" t="e">
        <f t="shared" si="66"/>
        <v>#DIV/0!</v>
      </c>
      <c r="H101" s="1173" t="e">
        <f t="shared" si="66"/>
        <v>#DIV/0!</v>
      </c>
      <c r="I101" s="1173" t="e">
        <f t="shared" si="66"/>
        <v>#DIV/0!</v>
      </c>
      <c r="J101" s="1173" t="e">
        <f t="shared" si="66"/>
        <v>#DIV/0!</v>
      </c>
      <c r="K101" s="1173">
        <f t="shared" si="66"/>
        <v>93.3229235651142</v>
      </c>
      <c r="L101" s="1173">
        <f t="shared" si="66"/>
        <v>6.54533376493461</v>
      </c>
      <c r="M101" s="1173">
        <f t="shared" si="66"/>
        <v>20.5776453979608</v>
      </c>
      <c r="N101" s="1173" t="e">
        <f t="shared" si="66"/>
        <v>#DIV/0!</v>
      </c>
      <c r="O101" s="1173" t="e">
        <f t="shared" si="66"/>
        <v>#DIV/0!</v>
      </c>
      <c r="P101" s="1173">
        <f t="shared" si="66"/>
        <v>20.5776453979608</v>
      </c>
      <c r="Q101" s="1142"/>
    </row>
    <row r="102" s="1142" customFormat="1" ht="50.25" customHeight="1" spans="1:16">
      <c r="A102" s="1208"/>
      <c r="B102" s="1221"/>
      <c r="C102" s="1222" t="s">
        <v>33</v>
      </c>
      <c r="D102" s="1173" t="e">
        <f>+D98*100/D96</f>
        <v>#DIV/0!</v>
      </c>
      <c r="E102" s="1173" t="e">
        <f t="shared" ref="E102:P102" si="67">+E98*100/E96</f>
        <v>#DIV/0!</v>
      </c>
      <c r="F102" s="1173" t="e">
        <f t="shared" si="67"/>
        <v>#DIV/0!</v>
      </c>
      <c r="G102" s="1173" t="e">
        <f t="shared" si="67"/>
        <v>#DIV/0!</v>
      </c>
      <c r="H102" s="1173" t="e">
        <f t="shared" si="67"/>
        <v>#DIV/0!</v>
      </c>
      <c r="I102" s="1173" t="e">
        <f t="shared" si="67"/>
        <v>#DIV/0!</v>
      </c>
      <c r="J102" s="1173" t="e">
        <f t="shared" si="67"/>
        <v>#DIV/0!</v>
      </c>
      <c r="K102" s="1173">
        <f t="shared" si="67"/>
        <v>82.2488600329397</v>
      </c>
      <c r="L102" s="1173">
        <f t="shared" si="67"/>
        <v>9.99510326260379</v>
      </c>
      <c r="M102" s="1173">
        <f t="shared" si="67"/>
        <v>28.0947397833875</v>
      </c>
      <c r="N102" s="1173" t="e">
        <f t="shared" si="67"/>
        <v>#DIV/0!</v>
      </c>
      <c r="O102" s="1173" t="e">
        <f t="shared" si="67"/>
        <v>#DIV/0!</v>
      </c>
      <c r="P102" s="1173">
        <f t="shared" si="67"/>
        <v>28.0947397833875</v>
      </c>
    </row>
    <row r="103" s="1145" customFormat="1" ht="53.25" hidden="1" customHeight="1" spans="1:16">
      <c r="A103" s="1149"/>
      <c r="B103" s="1223" t="s">
        <v>82</v>
      </c>
      <c r="C103" s="1224"/>
      <c r="D103" s="1224"/>
      <c r="E103" s="1224"/>
      <c r="F103" s="1224"/>
      <c r="G103" s="1224"/>
      <c r="H103" s="1224"/>
      <c r="I103" s="1224"/>
      <c r="J103" s="1224"/>
      <c r="K103" s="1224"/>
      <c r="L103" s="1224"/>
      <c r="M103" s="1224"/>
      <c r="N103" s="1224"/>
      <c r="O103" s="1224"/>
      <c r="P103" s="1224"/>
    </row>
    <row r="104" s="1145" customFormat="1" ht="53.25" hidden="1" customHeight="1" spans="1:16">
      <c r="A104" s="1149"/>
      <c r="B104" s="1225" t="s">
        <v>83</v>
      </c>
      <c r="C104" s="1226" t="s">
        <v>84</v>
      </c>
      <c r="D104" s="1224" t="s">
        <v>85</v>
      </c>
      <c r="E104" s="1224"/>
      <c r="F104" s="1224"/>
      <c r="G104" s="1224"/>
      <c r="H104" s="1224"/>
      <c r="I104" s="1224"/>
      <c r="J104" s="1224"/>
      <c r="K104" s="1224"/>
      <c r="L104" s="1224"/>
      <c r="M104" s="1224"/>
      <c r="N104" s="1224"/>
      <c r="O104" s="1224"/>
      <c r="P104" s="1224"/>
    </row>
    <row r="105" s="1145" customFormat="1" ht="53.25" hidden="1" customHeight="1" spans="1:16">
      <c r="A105" s="1149"/>
      <c r="B105" s="1225" t="s">
        <v>86</v>
      </c>
      <c r="C105" s="1226" t="s">
        <v>87</v>
      </c>
      <c r="D105" s="1224" t="s">
        <v>88</v>
      </c>
      <c r="E105" s="1224"/>
      <c r="F105" s="1224"/>
      <c r="G105" s="1224"/>
      <c r="H105" s="1224">
        <v>8.333</v>
      </c>
      <c r="I105" s="1224">
        <f>42+8.33+8.33</f>
        <v>58.66</v>
      </c>
      <c r="J105" s="1224"/>
      <c r="K105" s="1224"/>
      <c r="L105" s="1224"/>
      <c r="M105" s="1224"/>
      <c r="N105" s="1224"/>
      <c r="O105" s="1224"/>
      <c r="P105" s="1224"/>
    </row>
    <row r="106" s="1145" customFormat="1" ht="53.25" hidden="1" customHeight="1" spans="1:16">
      <c r="A106" s="1149"/>
      <c r="B106" s="1225" t="s">
        <v>89</v>
      </c>
      <c r="C106" s="1226" t="s">
        <v>90</v>
      </c>
      <c r="D106" s="1224" t="s">
        <v>91</v>
      </c>
      <c r="E106" s="1224"/>
      <c r="F106" s="1224"/>
      <c r="G106" s="1224"/>
      <c r="H106" s="1224"/>
      <c r="I106" s="1224"/>
      <c r="J106" s="1224"/>
      <c r="K106" s="1224"/>
      <c r="L106" s="1224"/>
      <c r="M106" s="1224"/>
      <c r="N106" s="1224"/>
      <c r="O106" s="1224"/>
      <c r="P106" s="1224"/>
    </row>
    <row r="107" s="1145" customFormat="1" ht="53.25" hidden="1" customHeight="1" spans="1:16">
      <c r="A107" s="1149"/>
      <c r="B107" s="1225" t="s">
        <v>92</v>
      </c>
      <c r="C107" s="1226" t="s">
        <v>93</v>
      </c>
      <c r="D107" s="1224" t="s">
        <v>94</v>
      </c>
      <c r="E107" s="1224"/>
      <c r="F107" s="1224"/>
      <c r="G107" s="1224"/>
      <c r="H107" s="1224"/>
      <c r="I107" s="1224"/>
      <c r="J107" s="1224"/>
      <c r="K107" s="1224"/>
      <c r="L107" s="1224"/>
      <c r="M107" s="1224"/>
      <c r="N107" s="1224"/>
      <c r="O107" s="1224"/>
      <c r="P107" s="1224"/>
    </row>
    <row r="108" s="1146" customFormat="1" ht="53.25" hidden="1" customHeight="1" spans="1:16">
      <c r="A108" s="1149"/>
      <c r="B108" s="1227" t="s">
        <v>95</v>
      </c>
      <c r="C108" s="1228"/>
      <c r="D108" s="1228"/>
      <c r="E108" s="1228"/>
      <c r="F108" s="1228"/>
      <c r="G108" s="1228"/>
      <c r="H108" s="1228"/>
      <c r="I108" s="1228"/>
      <c r="J108" s="1228"/>
      <c r="K108" s="1228"/>
      <c r="L108" s="1228"/>
      <c r="M108" s="1145"/>
      <c r="N108" s="1145"/>
      <c r="O108" s="1145"/>
      <c r="P108" s="1145"/>
    </row>
    <row r="109" s="1145" customFormat="1" ht="53.25" hidden="1" customHeight="1" spans="1:16">
      <c r="A109" s="1149"/>
      <c r="B109" s="1225" t="s">
        <v>83</v>
      </c>
      <c r="C109" s="1226" t="s">
        <v>96</v>
      </c>
      <c r="D109" s="1224" t="s">
        <v>85</v>
      </c>
      <c r="E109" s="1224"/>
      <c r="F109" s="1224"/>
      <c r="G109" s="1224"/>
      <c r="H109" s="1224"/>
      <c r="I109" s="1224"/>
      <c r="J109" s="1224"/>
      <c r="K109" s="1224"/>
      <c r="L109" s="1224"/>
      <c r="M109" s="1224"/>
      <c r="N109" s="1224"/>
      <c r="O109" s="1224"/>
      <c r="P109" s="1224"/>
    </row>
    <row r="110" s="1145" customFormat="1" ht="53.25" hidden="1" customHeight="1" spans="1:16">
      <c r="A110" s="1149"/>
      <c r="B110" s="1225" t="s">
        <v>86</v>
      </c>
      <c r="C110" s="1226" t="s">
        <v>97</v>
      </c>
      <c r="D110" s="1224" t="s">
        <v>88</v>
      </c>
      <c r="E110" s="1224"/>
      <c r="F110" s="1224"/>
      <c r="G110" s="1224"/>
      <c r="H110" s="1224">
        <v>6.666</v>
      </c>
      <c r="I110" s="1224">
        <f>23+6.666+6.666</f>
        <v>36.332</v>
      </c>
      <c r="J110" s="1224"/>
      <c r="K110" s="1224"/>
      <c r="L110" s="1224"/>
      <c r="M110" s="1224"/>
      <c r="N110" s="1224"/>
      <c r="O110" s="1224"/>
      <c r="P110" s="1224"/>
    </row>
    <row r="111" s="1145" customFormat="1" ht="53.25" hidden="1" customHeight="1" spans="1:16">
      <c r="A111" s="1149"/>
      <c r="B111" s="1225" t="s">
        <v>89</v>
      </c>
      <c r="C111" s="1226" t="s">
        <v>98</v>
      </c>
      <c r="D111" s="1224" t="s">
        <v>91</v>
      </c>
      <c r="E111" s="1224"/>
      <c r="F111" s="1224"/>
      <c r="G111" s="1224"/>
      <c r="H111" s="1224"/>
      <c r="I111" s="1224"/>
      <c r="J111" s="1224"/>
      <c r="K111" s="1224"/>
      <c r="L111" s="1224"/>
      <c r="M111" s="1224"/>
      <c r="N111" s="1224"/>
      <c r="O111" s="1224"/>
      <c r="P111" s="1224"/>
    </row>
    <row r="112" s="1145" customFormat="1" ht="53.25" hidden="1" customHeight="1" spans="1:16">
      <c r="A112" s="1149"/>
      <c r="B112" s="1225" t="s">
        <v>92</v>
      </c>
      <c r="C112" s="1226" t="s">
        <v>99</v>
      </c>
      <c r="D112" s="1224" t="s">
        <v>94</v>
      </c>
      <c r="E112" s="1224"/>
      <c r="F112" s="1224"/>
      <c r="G112" s="1224"/>
      <c r="H112" s="1224"/>
      <c r="I112" s="1224"/>
      <c r="J112" s="1224"/>
      <c r="K112" s="1224"/>
      <c r="L112" s="1224"/>
      <c r="M112" s="1224"/>
      <c r="N112" s="1224"/>
      <c r="O112" s="1224"/>
      <c r="P112" s="1224"/>
    </row>
    <row r="113" s="1147" customFormat="1" ht="52.5" hidden="1" customHeight="1" spans="1:16">
      <c r="A113" s="1229" t="s">
        <v>100</v>
      </c>
      <c r="B113" s="1229"/>
      <c r="C113" s="1229"/>
      <c r="D113" s="1229"/>
      <c r="E113" s="1229"/>
      <c r="F113" s="1229"/>
      <c r="G113" s="1229"/>
      <c r="H113" s="1229"/>
      <c r="I113" s="1229"/>
      <c r="J113" s="1229"/>
      <c r="K113" s="1229"/>
      <c r="L113" s="1229"/>
      <c r="M113" s="1229"/>
      <c r="N113" s="1229"/>
      <c r="O113" s="1229"/>
      <c r="P113" s="1229"/>
    </row>
    <row r="114" s="1148" customFormat="1" ht="46.5" hidden="1" customHeight="1" spans="1:15">
      <c r="A114" s="1149" t="s">
        <v>101</v>
      </c>
      <c r="B114" s="1150" t="s">
        <v>102</v>
      </c>
      <c r="C114" s="1230"/>
      <c r="D114" s="1230"/>
      <c r="E114" s="1230"/>
      <c r="F114" s="1230"/>
      <c r="G114" s="1230"/>
      <c r="H114" s="1230"/>
      <c r="I114" s="1230"/>
      <c r="J114" s="1230"/>
      <c r="K114" s="1230"/>
      <c r="L114" s="1230"/>
      <c r="M114" s="1230"/>
      <c r="N114" s="1230"/>
      <c r="O114" s="1230"/>
    </row>
    <row r="115" hidden="1" spans="11:13">
      <c r="K115" s="1153">
        <f>+K96-K95</f>
        <v>2575506.08</v>
      </c>
      <c r="L115" s="1153">
        <f>+L96-L95</f>
        <v>-34226606.08</v>
      </c>
      <c r="M115" s="1153">
        <f>+M96-M95</f>
        <v>-31651100</v>
      </c>
    </row>
  </sheetData>
  <mergeCells count="46">
    <mergeCell ref="A1:P1"/>
    <mergeCell ref="A2:P2"/>
    <mergeCell ref="A3:P3"/>
    <mergeCell ref="D4:G4"/>
    <mergeCell ref="H4:J4"/>
    <mergeCell ref="K4:M4"/>
    <mergeCell ref="A7:B7"/>
    <mergeCell ref="A8:B8"/>
    <mergeCell ref="A15:B15"/>
    <mergeCell ref="A16:B16"/>
    <mergeCell ref="A23:B23"/>
    <mergeCell ref="A31:B31"/>
    <mergeCell ref="A39:B39"/>
    <mergeCell ref="A40:B40"/>
    <mergeCell ref="A47:B47"/>
    <mergeCell ref="A48:B48"/>
    <mergeCell ref="A55:B55"/>
    <mergeCell ref="A56:B56"/>
    <mergeCell ref="A63:B63"/>
    <mergeCell ref="A64:B64"/>
    <mergeCell ref="A113:P113"/>
    <mergeCell ref="A9:A14"/>
    <mergeCell ref="A17:A22"/>
    <mergeCell ref="A24:A30"/>
    <mergeCell ref="A32:A38"/>
    <mergeCell ref="A41:A46"/>
    <mergeCell ref="A49:A54"/>
    <mergeCell ref="A57:A62"/>
    <mergeCell ref="A65:A70"/>
    <mergeCell ref="A71:A78"/>
    <mergeCell ref="A80:A83"/>
    <mergeCell ref="A87:A94"/>
    <mergeCell ref="A95:A102"/>
    <mergeCell ref="B87:B94"/>
    <mergeCell ref="B95:B102"/>
    <mergeCell ref="D5:D6"/>
    <mergeCell ref="E5:E6"/>
    <mergeCell ref="G5:G6"/>
    <mergeCell ref="I5:I6"/>
    <mergeCell ref="J5:J6"/>
    <mergeCell ref="K5:K6"/>
    <mergeCell ref="L5:L6"/>
    <mergeCell ref="M5:M6"/>
    <mergeCell ref="N4:N6"/>
    <mergeCell ref="O4:O6"/>
    <mergeCell ref="P4:P6"/>
  </mergeCells>
  <pageMargins left="0.236220472440945" right="0" top="0.669291338582677" bottom="0.433070866141732" header="0.354330708661417" footer="0.236220472440945"/>
  <pageSetup paperSize="9" scale="35" orientation="landscape"/>
  <headerFooter alignWithMargins="0">
    <oddFooter>&amp;L&amp;20กลุ่มงานบัญชีและงบประมาณ&amp;R&amp;26หน้าที่ &amp;P จาก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07"/>
  <sheetViews>
    <sheetView tabSelected="1" workbookViewId="0">
      <selection activeCell="A4" sqref="A4:J4"/>
    </sheetView>
  </sheetViews>
  <sheetFormatPr defaultColWidth="9.14285714285714" defaultRowHeight="23.25"/>
  <cols>
    <col min="1" max="1" width="6.85714285714286" style="684" customWidth="1"/>
    <col min="2" max="2" width="4.71428571428571" style="685" customWidth="1"/>
    <col min="3" max="3" width="12.5714285714286" style="683" customWidth="1"/>
    <col min="4" max="4" width="12.5714285714286" style="683" hidden="1" customWidth="1"/>
    <col min="5" max="5" width="20.7142857142857" style="685" customWidth="1"/>
    <col min="6" max="6" width="17.8571428571429" style="685" customWidth="1"/>
    <col min="7" max="7" width="20.7142857142857" style="685" customWidth="1"/>
    <col min="8" max="8" width="19.1428571428571" style="685" customWidth="1"/>
    <col min="9" max="9" width="13" style="683" customWidth="1"/>
    <col min="10" max="10" width="13.5714285714286" style="686" customWidth="1"/>
    <col min="11" max="11" width="16" style="685" hidden="1" customWidth="1"/>
    <col min="12" max="12" width="14.7142857142857" style="685" hidden="1" customWidth="1"/>
    <col min="13" max="13" width="13.5714285714286" style="685" hidden="1" customWidth="1"/>
    <col min="14" max="15" width="12.4285714285714" style="685" hidden="1" customWidth="1"/>
    <col min="16" max="16" width="13.7142857142857" style="685" hidden="1" customWidth="1"/>
    <col min="17" max="17" width="11" style="685" hidden="1" customWidth="1"/>
    <col min="18" max="19" width="10" style="685" hidden="1" customWidth="1"/>
    <col min="20" max="20" width="9.14285714285714" style="685" hidden="1" customWidth="1"/>
    <col min="21" max="22" width="10" style="685" hidden="1" customWidth="1"/>
    <col min="23" max="23" width="12.4285714285714" style="685" hidden="1" customWidth="1"/>
    <col min="24" max="24" width="11" style="685" hidden="1" customWidth="1"/>
    <col min="25" max="27" width="10" style="685" hidden="1" customWidth="1"/>
    <col min="28" max="28" width="11" style="685" hidden="1" customWidth="1"/>
    <col min="29" max="29" width="12.4285714285714" style="685" hidden="1" customWidth="1"/>
    <col min="30" max="30" width="11" style="685" hidden="1" customWidth="1"/>
    <col min="31" max="31" width="10" style="685" hidden="1" customWidth="1"/>
    <col min="32" max="32" width="13.5714285714286" style="685" hidden="1" customWidth="1"/>
    <col min="33" max="33" width="12.4285714285714" style="685" hidden="1" customWidth="1"/>
    <col min="34" max="34" width="9.14285714285714" style="685" customWidth="1"/>
    <col min="35" max="35" width="14.5714285714286" style="685" hidden="1" customWidth="1"/>
    <col min="36" max="16384" width="9.14285714285714" style="685"/>
  </cols>
  <sheetData>
    <row r="1" ht="26.25" spans="1:10">
      <c r="A1" s="687" t="s">
        <v>0</v>
      </c>
      <c r="B1" s="687"/>
      <c r="C1" s="687"/>
      <c r="D1" s="687"/>
      <c r="E1" s="687"/>
      <c r="F1" s="687"/>
      <c r="G1" s="687"/>
      <c r="H1" s="687"/>
      <c r="I1" s="687"/>
      <c r="J1" s="687"/>
    </row>
    <row r="2" ht="24.75" customHeight="1" spans="1:10">
      <c r="A2" s="688" t="s">
        <v>608</v>
      </c>
      <c r="B2" s="688"/>
      <c r="C2" s="688"/>
      <c r="D2" s="688"/>
      <c r="E2" s="688"/>
      <c r="F2" s="688"/>
      <c r="G2" s="688"/>
      <c r="H2" s="688"/>
      <c r="I2" s="688"/>
      <c r="J2" s="688"/>
    </row>
    <row r="3" ht="24.75" hidden="1" customHeight="1" spans="1:9">
      <c r="A3" s="689" t="s">
        <v>609</v>
      </c>
      <c r="B3" s="689"/>
      <c r="C3" s="689"/>
      <c r="D3" s="689"/>
      <c r="E3" s="689"/>
      <c r="F3" s="689"/>
      <c r="G3" s="689"/>
      <c r="H3" s="689"/>
      <c r="I3" s="689"/>
    </row>
    <row r="4" ht="26.25" spans="1:10">
      <c r="A4" s="689" t="s">
        <v>610</v>
      </c>
      <c r="B4" s="689"/>
      <c r="C4" s="689"/>
      <c r="D4" s="689"/>
      <c r="E4" s="689"/>
      <c r="F4" s="689"/>
      <c r="G4" s="689"/>
      <c r="H4" s="689"/>
      <c r="I4" s="689"/>
      <c r="J4" s="689"/>
    </row>
    <row r="5" ht="26.25" spans="1:10">
      <c r="A5" s="690" t="str">
        <f>+รายจ่ายจริง!A3:P3</f>
        <v>ตั้งแต่วันที่ 1  ตุลาคม 2564 ถึงวันที่ 30 เมษายน 2565</v>
      </c>
      <c r="B5" s="690"/>
      <c r="C5" s="690"/>
      <c r="D5" s="690"/>
      <c r="E5" s="690"/>
      <c r="F5" s="690"/>
      <c r="G5" s="690"/>
      <c r="H5" s="690"/>
      <c r="I5" s="690"/>
      <c r="J5" s="690"/>
    </row>
    <row r="6" ht="24.75" spans="1:10">
      <c r="A6" s="691" t="s">
        <v>155</v>
      </c>
      <c r="B6" s="692" t="s">
        <v>500</v>
      </c>
      <c r="C6" s="692"/>
      <c r="D6" s="693"/>
      <c r="E6" s="693" t="s">
        <v>79</v>
      </c>
      <c r="F6" s="694" t="s">
        <v>611</v>
      </c>
      <c r="G6" s="693" t="s">
        <v>107</v>
      </c>
      <c r="H6" s="693" t="s">
        <v>111</v>
      </c>
      <c r="I6" s="694" t="s">
        <v>504</v>
      </c>
      <c r="J6" s="703" t="s">
        <v>504</v>
      </c>
    </row>
    <row r="7" ht="24.75" spans="1:10">
      <c r="A7" s="691"/>
      <c r="B7" s="692"/>
      <c r="C7" s="692"/>
      <c r="D7" s="695"/>
      <c r="E7" s="695" t="s">
        <v>230</v>
      </c>
      <c r="F7" s="695" t="s">
        <v>230</v>
      </c>
      <c r="G7" s="695" t="s">
        <v>230</v>
      </c>
      <c r="H7" s="695" t="s">
        <v>230</v>
      </c>
      <c r="I7" s="704" t="s">
        <v>505</v>
      </c>
      <c r="J7" s="704" t="s">
        <v>612</v>
      </c>
    </row>
    <row r="8" ht="26.25" customHeight="1" spans="1:11">
      <c r="A8" s="696">
        <v>1</v>
      </c>
      <c r="B8" s="697" t="s">
        <v>613</v>
      </c>
      <c r="C8" s="698"/>
      <c r="D8" s="699">
        <v>1600600001</v>
      </c>
      <c r="E8" s="697">
        <f>1474414000-679203262.82</f>
        <v>795210737.18</v>
      </c>
      <c r="F8" s="697">
        <v>49970097.87</v>
      </c>
      <c r="G8" s="697">
        <v>724071939.47</v>
      </c>
      <c r="H8" s="700">
        <f>+E8-F8-G8</f>
        <v>21168699.8399999</v>
      </c>
      <c r="I8" s="705">
        <f>G8*100/E8</f>
        <v>91.0540949230295</v>
      </c>
      <c r="J8" s="132">
        <f>+K8*100/E8</f>
        <v>97.3379761049167</v>
      </c>
      <c r="K8" s="685">
        <f>+F8+G8</f>
        <v>774042037.34</v>
      </c>
    </row>
    <row r="9" ht="26.25" customHeight="1" spans="1:11">
      <c r="A9" s="696">
        <v>2</v>
      </c>
      <c r="B9" s="701" t="s">
        <v>614</v>
      </c>
      <c r="C9" s="702" t="s">
        <v>615</v>
      </c>
      <c r="D9" s="699">
        <v>1600600013</v>
      </c>
      <c r="E9" s="697">
        <v>19814856</v>
      </c>
      <c r="F9" s="697">
        <v>0</v>
      </c>
      <c r="G9" s="697">
        <v>15715123.09</v>
      </c>
      <c r="H9" s="700">
        <f t="shared" ref="H9:H72" si="0">+E9-F9-G9</f>
        <v>4099732.91</v>
      </c>
      <c r="I9" s="705">
        <f t="shared" ref="I9:I72" si="1">G9*100/E9</f>
        <v>79.3098021504673</v>
      </c>
      <c r="J9" s="132">
        <f t="shared" ref="J9:J72" si="2">+K9*100/E9</f>
        <v>79.3098021504673</v>
      </c>
      <c r="K9" s="685">
        <f t="shared" ref="K9:K72" si="3">+F9+G9</f>
        <v>15715123.09</v>
      </c>
    </row>
    <row r="10" ht="26.25" customHeight="1" spans="1:11">
      <c r="A10" s="696">
        <v>3</v>
      </c>
      <c r="B10" s="701" t="s">
        <v>616</v>
      </c>
      <c r="C10" s="702" t="s">
        <v>510</v>
      </c>
      <c r="D10" s="699">
        <v>1600600021</v>
      </c>
      <c r="E10" s="697">
        <v>17350316.2</v>
      </c>
      <c r="F10" s="697">
        <v>25038</v>
      </c>
      <c r="G10" s="697">
        <v>13264209.52</v>
      </c>
      <c r="H10" s="700">
        <f t="shared" si="0"/>
        <v>4061068.68</v>
      </c>
      <c r="I10" s="705">
        <f t="shared" si="1"/>
        <v>76.4493820579477</v>
      </c>
      <c r="J10" s="132">
        <f t="shared" si="2"/>
        <v>76.5936906671476</v>
      </c>
      <c r="K10" s="685">
        <f t="shared" si="3"/>
        <v>13289247.52</v>
      </c>
    </row>
    <row r="11" ht="26.25" customHeight="1" spans="1:11">
      <c r="A11" s="696">
        <v>4</v>
      </c>
      <c r="B11" s="701" t="s">
        <v>616</v>
      </c>
      <c r="C11" s="702" t="s">
        <v>511</v>
      </c>
      <c r="D11" s="699">
        <v>1600600026</v>
      </c>
      <c r="E11" s="697">
        <v>7031206</v>
      </c>
      <c r="F11" s="697">
        <v>0</v>
      </c>
      <c r="G11" s="697">
        <v>4913426.61</v>
      </c>
      <c r="H11" s="700">
        <f t="shared" si="0"/>
        <v>2117779.39</v>
      </c>
      <c r="I11" s="705">
        <f t="shared" si="1"/>
        <v>69.8802824152784</v>
      </c>
      <c r="J11" s="132">
        <f t="shared" si="2"/>
        <v>69.8802824152784</v>
      </c>
      <c r="K11" s="685">
        <f t="shared" si="3"/>
        <v>4913426.61</v>
      </c>
    </row>
    <row r="12" ht="26.25" customHeight="1" spans="1:14">
      <c r="A12" s="696">
        <v>5</v>
      </c>
      <c r="B12" s="701" t="s">
        <v>616</v>
      </c>
      <c r="C12" s="702" t="s">
        <v>512</v>
      </c>
      <c r="D12" s="699">
        <v>1600600031</v>
      </c>
      <c r="E12" s="697">
        <v>8048938.25</v>
      </c>
      <c r="F12" s="697">
        <v>156828.9</v>
      </c>
      <c r="G12" s="697">
        <v>6145357.91</v>
      </c>
      <c r="H12" s="700">
        <f t="shared" si="0"/>
        <v>1746751.44</v>
      </c>
      <c r="I12" s="705">
        <f t="shared" si="1"/>
        <v>76.3499199413041</v>
      </c>
      <c r="J12" s="132">
        <f t="shared" si="2"/>
        <v>78.2983620230904</v>
      </c>
      <c r="K12" s="685">
        <f t="shared" si="3"/>
        <v>6302186.81</v>
      </c>
      <c r="L12" s="706"/>
      <c r="M12" s="706"/>
      <c r="N12" s="706"/>
    </row>
    <row r="13" ht="26.25" customHeight="1" spans="1:14">
      <c r="A13" s="696">
        <v>6</v>
      </c>
      <c r="B13" s="701" t="s">
        <v>616</v>
      </c>
      <c r="C13" s="702" t="s">
        <v>513</v>
      </c>
      <c r="D13" s="699">
        <v>1600600036</v>
      </c>
      <c r="E13" s="697">
        <v>7178955</v>
      </c>
      <c r="F13" s="697">
        <v>59111.05</v>
      </c>
      <c r="G13" s="697">
        <v>5076925.41</v>
      </c>
      <c r="H13" s="700">
        <f t="shared" si="0"/>
        <v>2042918.54</v>
      </c>
      <c r="I13" s="705">
        <f t="shared" si="1"/>
        <v>70.7195602981214</v>
      </c>
      <c r="J13" s="132">
        <f t="shared" si="2"/>
        <v>71.5429538143086</v>
      </c>
      <c r="K13" s="685">
        <f t="shared" si="3"/>
        <v>5136036.46</v>
      </c>
      <c r="L13" s="706">
        <f>+E14+E103</f>
        <v>19470310</v>
      </c>
      <c r="M13" s="706"/>
      <c r="N13" s="706"/>
    </row>
    <row r="14" ht="26.25" customHeight="1" spans="1:33">
      <c r="A14" s="696">
        <v>7</v>
      </c>
      <c r="B14" s="701" t="s">
        <v>616</v>
      </c>
      <c r="C14" s="702" t="s">
        <v>514</v>
      </c>
      <c r="D14" s="699">
        <v>1600600041</v>
      </c>
      <c r="E14" s="697">
        <f>9977491+140600</f>
        <v>10118091</v>
      </c>
      <c r="F14" s="697">
        <v>56732.35</v>
      </c>
      <c r="G14" s="697">
        <v>8967795.2</v>
      </c>
      <c r="H14" s="700">
        <f t="shared" si="0"/>
        <v>1093563.45</v>
      </c>
      <c r="I14" s="705">
        <f t="shared" si="1"/>
        <v>88.6312961605109</v>
      </c>
      <c r="J14" s="132">
        <f t="shared" si="2"/>
        <v>89.191998273192</v>
      </c>
      <c r="K14" s="685">
        <f t="shared" si="3"/>
        <v>9024527.55</v>
      </c>
      <c r="L14" s="706">
        <v>19482910</v>
      </c>
      <c r="M14" s="706">
        <f>+L13-L14</f>
        <v>-12600</v>
      </c>
      <c r="N14" s="706">
        <v>2734176</v>
      </c>
      <c r="O14" s="685">
        <v>2839267</v>
      </c>
      <c r="P14" s="685">
        <v>71000</v>
      </c>
      <c r="Q14" s="685">
        <v>204450</v>
      </c>
      <c r="R14" s="685">
        <v>-60000</v>
      </c>
      <c r="S14" s="685">
        <v>60000</v>
      </c>
      <c r="T14" s="685">
        <v>5410</v>
      </c>
      <c r="U14" s="685">
        <v>13500</v>
      </c>
      <c r="V14" s="685">
        <v>-37116</v>
      </c>
      <c r="W14" s="685">
        <v>1367088</v>
      </c>
      <c r="X14" s="685">
        <v>777836</v>
      </c>
      <c r="Y14" s="707">
        <v>50000</v>
      </c>
      <c r="Z14" s="707">
        <v>22000</v>
      </c>
      <c r="AA14" s="707">
        <v>68600</v>
      </c>
      <c r="AB14" s="707">
        <f>SUM(Y14:AA14)</f>
        <v>140600</v>
      </c>
      <c r="AC14" s="685">
        <v>2478200</v>
      </c>
      <c r="AD14" s="685">
        <v>-491320</v>
      </c>
      <c r="AE14" s="685">
        <v>15000</v>
      </c>
      <c r="AF14" s="707">
        <f>SUM(N14:AE14)</f>
        <v>10258691</v>
      </c>
      <c r="AG14" s="685">
        <f>SUM(Y14:AA14)</f>
        <v>140600</v>
      </c>
    </row>
    <row r="15" ht="26.25" customHeight="1" spans="1:33">
      <c r="A15" s="696">
        <v>8</v>
      </c>
      <c r="B15" s="701" t="s">
        <v>616</v>
      </c>
      <c r="C15" s="702" t="s">
        <v>617</v>
      </c>
      <c r="D15" s="699">
        <v>1600600046</v>
      </c>
      <c r="E15" s="697">
        <v>13143130.82</v>
      </c>
      <c r="F15" s="697">
        <v>1360710.05</v>
      </c>
      <c r="G15" s="697">
        <v>8914961.81</v>
      </c>
      <c r="H15" s="700">
        <f t="shared" si="0"/>
        <v>2867458.96</v>
      </c>
      <c r="I15" s="705">
        <f t="shared" si="1"/>
        <v>67.8298187250334</v>
      </c>
      <c r="J15" s="132">
        <f t="shared" si="2"/>
        <v>78.1828317828461</v>
      </c>
      <c r="K15" s="685">
        <f t="shared" si="3"/>
        <v>10275671.86</v>
      </c>
      <c r="L15" s="706"/>
      <c r="M15" s="706"/>
      <c r="N15" s="706"/>
      <c r="Y15" s="707"/>
      <c r="Z15" s="707"/>
      <c r="AA15" s="707"/>
      <c r="AB15" s="707">
        <f t="shared" ref="AB15:AB78" si="4">SUM(Y15:AA15)</f>
        <v>0</v>
      </c>
      <c r="AF15" s="707">
        <f t="shared" ref="AF15:AF78" si="5">SUM(N15:AE15)</f>
        <v>0</v>
      </c>
      <c r="AG15" s="685">
        <f t="shared" ref="AG15:AG78" si="6">SUM(Y15:AA15)</f>
        <v>0</v>
      </c>
    </row>
    <row r="16" ht="26.25" customHeight="1" spans="1:33">
      <c r="A16" s="696">
        <v>9</v>
      </c>
      <c r="B16" s="701" t="s">
        <v>616</v>
      </c>
      <c r="C16" s="702" t="s">
        <v>618</v>
      </c>
      <c r="D16" s="699">
        <v>1600600052</v>
      </c>
      <c r="E16" s="697">
        <v>13870018.3</v>
      </c>
      <c r="F16" s="697">
        <v>785090</v>
      </c>
      <c r="G16" s="697">
        <v>10800528.34</v>
      </c>
      <c r="H16" s="700">
        <f t="shared" si="0"/>
        <v>2284399.96</v>
      </c>
      <c r="I16" s="705">
        <f t="shared" si="1"/>
        <v>77.8696041085973</v>
      </c>
      <c r="J16" s="132">
        <f t="shared" si="2"/>
        <v>83.5299427110345</v>
      </c>
      <c r="K16" s="685">
        <f t="shared" si="3"/>
        <v>11585618.34</v>
      </c>
      <c r="L16" s="706"/>
      <c r="M16" s="706"/>
      <c r="N16" s="706"/>
      <c r="Y16" s="707"/>
      <c r="Z16" s="707"/>
      <c r="AA16" s="707"/>
      <c r="AB16" s="707">
        <f t="shared" si="4"/>
        <v>0</v>
      </c>
      <c r="AF16" s="707">
        <f t="shared" si="5"/>
        <v>0</v>
      </c>
      <c r="AG16" s="685">
        <f t="shared" si="6"/>
        <v>0</v>
      </c>
    </row>
    <row r="17" ht="26.25" customHeight="1" spans="1:33">
      <c r="A17" s="696">
        <v>10</v>
      </c>
      <c r="B17" s="701" t="s">
        <v>616</v>
      </c>
      <c r="C17" s="702" t="s">
        <v>619</v>
      </c>
      <c r="D17" s="699">
        <v>1600600058</v>
      </c>
      <c r="E17" s="697">
        <v>21505663.5</v>
      </c>
      <c r="F17" s="697">
        <v>367848</v>
      </c>
      <c r="G17" s="697">
        <v>16451627.71</v>
      </c>
      <c r="H17" s="700">
        <f t="shared" si="0"/>
        <v>4686187.79</v>
      </c>
      <c r="I17" s="705">
        <f t="shared" si="1"/>
        <v>76.4990473788451</v>
      </c>
      <c r="J17" s="132">
        <f t="shared" si="2"/>
        <v>78.209517739362</v>
      </c>
      <c r="K17" s="685">
        <f t="shared" si="3"/>
        <v>16819475.71</v>
      </c>
      <c r="L17" s="706"/>
      <c r="M17" s="706"/>
      <c r="N17" s="706"/>
      <c r="Y17" s="707"/>
      <c r="Z17" s="707"/>
      <c r="AA17" s="707"/>
      <c r="AB17" s="707">
        <f t="shared" si="4"/>
        <v>0</v>
      </c>
      <c r="AF17" s="707">
        <f t="shared" si="5"/>
        <v>0</v>
      </c>
      <c r="AG17" s="685">
        <f t="shared" si="6"/>
        <v>0</v>
      </c>
    </row>
    <row r="18" ht="26.25" customHeight="1" spans="1:33">
      <c r="A18" s="696">
        <v>11</v>
      </c>
      <c r="B18" s="701" t="s">
        <v>616</v>
      </c>
      <c r="C18" s="702" t="s">
        <v>620</v>
      </c>
      <c r="D18" s="699">
        <v>1600600064</v>
      </c>
      <c r="E18" s="697">
        <v>20333285</v>
      </c>
      <c r="F18" s="697">
        <v>1694428.85</v>
      </c>
      <c r="G18" s="697">
        <v>14831463.44</v>
      </c>
      <c r="H18" s="700">
        <f t="shared" si="0"/>
        <v>3807392.71</v>
      </c>
      <c r="I18" s="705">
        <f t="shared" si="1"/>
        <v>72.9417968616483</v>
      </c>
      <c r="J18" s="132">
        <f t="shared" si="2"/>
        <v>81.2750733096005</v>
      </c>
      <c r="K18" s="685">
        <f t="shared" si="3"/>
        <v>16525892.29</v>
      </c>
      <c r="L18" s="706"/>
      <c r="M18" s="706"/>
      <c r="N18" s="706"/>
      <c r="Y18" s="707"/>
      <c r="Z18" s="707"/>
      <c r="AA18" s="707"/>
      <c r="AB18" s="707">
        <f t="shared" si="4"/>
        <v>0</v>
      </c>
      <c r="AF18" s="707">
        <f t="shared" si="5"/>
        <v>0</v>
      </c>
      <c r="AG18" s="685">
        <f t="shared" si="6"/>
        <v>0</v>
      </c>
    </row>
    <row r="19" ht="26.25" customHeight="1" spans="1:33">
      <c r="A19" s="696">
        <v>12</v>
      </c>
      <c r="B19" s="701" t="s">
        <v>616</v>
      </c>
      <c r="C19" s="702" t="s">
        <v>621</v>
      </c>
      <c r="D19" s="699">
        <v>1600600070</v>
      </c>
      <c r="E19" s="697">
        <v>21663094</v>
      </c>
      <c r="F19" s="697">
        <v>1008344.31</v>
      </c>
      <c r="G19" s="697">
        <v>15261998.83</v>
      </c>
      <c r="H19" s="700">
        <f t="shared" si="0"/>
        <v>5392750.86</v>
      </c>
      <c r="I19" s="705">
        <f t="shared" si="1"/>
        <v>70.4516115288056</v>
      </c>
      <c r="J19" s="132">
        <f t="shared" si="2"/>
        <v>75.1062758625338</v>
      </c>
      <c r="K19" s="685">
        <f t="shared" si="3"/>
        <v>16270343.14</v>
      </c>
      <c r="L19" s="706"/>
      <c r="M19" s="706"/>
      <c r="N19" s="706"/>
      <c r="Y19" s="707"/>
      <c r="Z19" s="707"/>
      <c r="AA19" s="707"/>
      <c r="AB19" s="707">
        <f t="shared" si="4"/>
        <v>0</v>
      </c>
      <c r="AF19" s="707">
        <f t="shared" si="5"/>
        <v>0</v>
      </c>
      <c r="AG19" s="685">
        <f t="shared" si="6"/>
        <v>0</v>
      </c>
    </row>
    <row r="20" ht="26.25" customHeight="1" spans="1:33">
      <c r="A20" s="696">
        <v>13</v>
      </c>
      <c r="B20" s="701" t="s">
        <v>616</v>
      </c>
      <c r="C20" s="702" t="s">
        <v>622</v>
      </c>
      <c r="D20" s="699">
        <v>1600600076</v>
      </c>
      <c r="E20" s="697">
        <v>16228204</v>
      </c>
      <c r="F20" s="697">
        <v>206361</v>
      </c>
      <c r="G20" s="697">
        <v>12579902</v>
      </c>
      <c r="H20" s="700">
        <f t="shared" si="0"/>
        <v>3441941</v>
      </c>
      <c r="I20" s="705">
        <f t="shared" si="1"/>
        <v>77.5187568507273</v>
      </c>
      <c r="J20" s="132">
        <f t="shared" si="2"/>
        <v>78.7903763102805</v>
      </c>
      <c r="K20" s="685">
        <f t="shared" si="3"/>
        <v>12786263</v>
      </c>
      <c r="L20" s="706"/>
      <c r="M20" s="706"/>
      <c r="N20" s="706"/>
      <c r="Y20" s="707"/>
      <c r="Z20" s="707"/>
      <c r="AA20" s="707"/>
      <c r="AB20" s="707">
        <f t="shared" si="4"/>
        <v>0</v>
      </c>
      <c r="AF20" s="707">
        <f t="shared" si="5"/>
        <v>0</v>
      </c>
      <c r="AG20" s="685">
        <f t="shared" si="6"/>
        <v>0</v>
      </c>
    </row>
    <row r="21" ht="26.25" customHeight="1" spans="1:33">
      <c r="A21" s="696">
        <v>14</v>
      </c>
      <c r="B21" s="701" t="s">
        <v>616</v>
      </c>
      <c r="C21" s="702" t="s">
        <v>623</v>
      </c>
      <c r="D21" s="699">
        <v>1600600082</v>
      </c>
      <c r="E21" s="697">
        <v>24310758</v>
      </c>
      <c r="F21" s="697">
        <v>698943.6</v>
      </c>
      <c r="G21" s="697">
        <v>18773313.34</v>
      </c>
      <c r="H21" s="700">
        <f t="shared" si="0"/>
        <v>4838501.06</v>
      </c>
      <c r="I21" s="705">
        <f t="shared" si="1"/>
        <v>77.222245970282</v>
      </c>
      <c r="J21" s="132">
        <f t="shared" si="2"/>
        <v>80.0972842558015</v>
      </c>
      <c r="K21" s="685">
        <f t="shared" si="3"/>
        <v>19472256.94</v>
      </c>
      <c r="L21" s="706"/>
      <c r="M21" s="706"/>
      <c r="N21" s="706"/>
      <c r="Y21" s="707"/>
      <c r="Z21" s="707"/>
      <c r="AA21" s="707"/>
      <c r="AB21" s="707">
        <f t="shared" si="4"/>
        <v>0</v>
      </c>
      <c r="AF21" s="707">
        <f t="shared" si="5"/>
        <v>0</v>
      </c>
      <c r="AG21" s="685">
        <f t="shared" si="6"/>
        <v>0</v>
      </c>
    </row>
    <row r="22" ht="26.25" customHeight="1" spans="1:33">
      <c r="A22" s="696">
        <v>15</v>
      </c>
      <c r="B22" s="701" t="s">
        <v>616</v>
      </c>
      <c r="C22" s="702" t="s">
        <v>624</v>
      </c>
      <c r="D22" s="699">
        <v>1600600088</v>
      </c>
      <c r="E22" s="697">
        <v>16965091</v>
      </c>
      <c r="F22" s="697">
        <v>99966</v>
      </c>
      <c r="G22" s="697">
        <v>12999902.13</v>
      </c>
      <c r="H22" s="700">
        <f t="shared" si="0"/>
        <v>3865222.87</v>
      </c>
      <c r="I22" s="705">
        <f t="shared" si="1"/>
        <v>76.6273645688078</v>
      </c>
      <c r="J22" s="132">
        <f t="shared" si="2"/>
        <v>77.2166098608018</v>
      </c>
      <c r="K22" s="685">
        <f t="shared" si="3"/>
        <v>13099868.13</v>
      </c>
      <c r="L22" s="706"/>
      <c r="M22" s="706"/>
      <c r="N22" s="706"/>
      <c r="Y22" s="707"/>
      <c r="Z22" s="707"/>
      <c r="AA22" s="707"/>
      <c r="AB22" s="707">
        <f t="shared" si="4"/>
        <v>0</v>
      </c>
      <c r="AF22" s="707">
        <f t="shared" si="5"/>
        <v>0</v>
      </c>
      <c r="AG22" s="685">
        <f t="shared" si="6"/>
        <v>0</v>
      </c>
    </row>
    <row r="23" ht="26.25" customHeight="1" spans="1:33">
      <c r="A23" s="696">
        <v>16</v>
      </c>
      <c r="B23" s="701" t="s">
        <v>616</v>
      </c>
      <c r="C23" s="702" t="s">
        <v>625</v>
      </c>
      <c r="D23" s="699">
        <v>1600600094</v>
      </c>
      <c r="E23" s="697">
        <v>14097434.03</v>
      </c>
      <c r="F23" s="697">
        <v>285314</v>
      </c>
      <c r="G23" s="697">
        <v>11608567.22</v>
      </c>
      <c r="H23" s="700">
        <f t="shared" si="0"/>
        <v>2203552.81</v>
      </c>
      <c r="I23" s="705">
        <f t="shared" si="1"/>
        <v>82.3452494638132</v>
      </c>
      <c r="J23" s="132">
        <f t="shared" si="2"/>
        <v>84.3691213215771</v>
      </c>
      <c r="K23" s="685">
        <f t="shared" si="3"/>
        <v>11893881.22</v>
      </c>
      <c r="L23" s="706"/>
      <c r="M23" s="706"/>
      <c r="N23" s="706"/>
      <c r="Y23" s="707"/>
      <c r="Z23" s="707"/>
      <c r="AA23" s="707"/>
      <c r="AB23" s="707">
        <f t="shared" si="4"/>
        <v>0</v>
      </c>
      <c r="AF23" s="707">
        <f t="shared" si="5"/>
        <v>0</v>
      </c>
      <c r="AG23" s="685">
        <f t="shared" si="6"/>
        <v>0</v>
      </c>
    </row>
    <row r="24" ht="26.25" customHeight="1" spans="1:33">
      <c r="A24" s="696">
        <v>17</v>
      </c>
      <c r="B24" s="701" t="s">
        <v>614</v>
      </c>
      <c r="C24" s="702" t="s">
        <v>524</v>
      </c>
      <c r="D24" s="699">
        <v>1600600100</v>
      </c>
      <c r="E24" s="697">
        <v>7631932</v>
      </c>
      <c r="F24" s="697">
        <v>0</v>
      </c>
      <c r="G24" s="697">
        <v>6407495.45</v>
      </c>
      <c r="H24" s="700">
        <f t="shared" si="0"/>
        <v>1224436.55</v>
      </c>
      <c r="I24" s="705">
        <f t="shared" si="1"/>
        <v>83.9564012100737</v>
      </c>
      <c r="J24" s="132">
        <f t="shared" si="2"/>
        <v>83.9564012100737</v>
      </c>
      <c r="K24" s="685">
        <f t="shared" si="3"/>
        <v>6407495.45</v>
      </c>
      <c r="L24" s="706"/>
      <c r="M24" s="706"/>
      <c r="N24" s="706"/>
      <c r="Y24" s="707"/>
      <c r="Z24" s="707"/>
      <c r="AA24" s="707"/>
      <c r="AB24" s="707">
        <f t="shared" si="4"/>
        <v>0</v>
      </c>
      <c r="AF24" s="707">
        <f t="shared" si="5"/>
        <v>0</v>
      </c>
      <c r="AG24" s="685">
        <f t="shared" si="6"/>
        <v>0</v>
      </c>
    </row>
    <row r="25" ht="26.25" customHeight="1" spans="1:33">
      <c r="A25" s="696">
        <v>18</v>
      </c>
      <c r="B25" s="701" t="s">
        <v>614</v>
      </c>
      <c r="C25" s="702" t="s">
        <v>525</v>
      </c>
      <c r="D25" s="699">
        <v>1600600108</v>
      </c>
      <c r="E25" s="697">
        <v>5077466</v>
      </c>
      <c r="F25" s="697">
        <v>0</v>
      </c>
      <c r="G25" s="697">
        <v>3754209.27</v>
      </c>
      <c r="H25" s="700">
        <f t="shared" si="0"/>
        <v>1323256.73</v>
      </c>
      <c r="I25" s="705">
        <f t="shared" si="1"/>
        <v>73.9386392740001</v>
      </c>
      <c r="J25" s="132">
        <f t="shared" si="2"/>
        <v>73.9386392740001</v>
      </c>
      <c r="K25" s="685">
        <f t="shared" si="3"/>
        <v>3754209.27</v>
      </c>
      <c r="L25" s="706"/>
      <c r="M25" s="706"/>
      <c r="N25" s="706"/>
      <c r="Y25" s="707"/>
      <c r="Z25" s="707"/>
      <c r="AA25" s="707"/>
      <c r="AB25" s="707">
        <f t="shared" si="4"/>
        <v>0</v>
      </c>
      <c r="AF25" s="707">
        <f t="shared" si="5"/>
        <v>0</v>
      </c>
      <c r="AG25" s="685">
        <f t="shared" si="6"/>
        <v>0</v>
      </c>
    </row>
    <row r="26" ht="26.25" customHeight="1" spans="1:33">
      <c r="A26" s="696">
        <v>19</v>
      </c>
      <c r="B26" s="701" t="s">
        <v>614</v>
      </c>
      <c r="C26" s="702" t="s">
        <v>526</v>
      </c>
      <c r="D26" s="699">
        <v>1600600116</v>
      </c>
      <c r="E26" s="697">
        <v>4889712</v>
      </c>
      <c r="F26" s="697">
        <v>382542</v>
      </c>
      <c r="G26" s="697">
        <v>4026641.58</v>
      </c>
      <c r="H26" s="700">
        <f t="shared" si="0"/>
        <v>480528.42</v>
      </c>
      <c r="I26" s="705">
        <f t="shared" si="1"/>
        <v>82.3492586066419</v>
      </c>
      <c r="J26" s="132">
        <f t="shared" si="2"/>
        <v>90.1726641569074</v>
      </c>
      <c r="K26" s="685">
        <f t="shared" si="3"/>
        <v>4409183.58</v>
      </c>
      <c r="L26" s="706"/>
      <c r="M26" s="706"/>
      <c r="N26" s="706"/>
      <c r="Y26" s="707"/>
      <c r="Z26" s="707"/>
      <c r="AA26" s="707"/>
      <c r="AB26" s="707">
        <f t="shared" si="4"/>
        <v>0</v>
      </c>
      <c r="AF26" s="707">
        <f t="shared" si="5"/>
        <v>0</v>
      </c>
      <c r="AG26" s="685">
        <f t="shared" si="6"/>
        <v>0</v>
      </c>
    </row>
    <row r="27" ht="26.25" customHeight="1" spans="1:33">
      <c r="A27" s="696">
        <v>20</v>
      </c>
      <c r="B27" s="701" t="s">
        <v>614</v>
      </c>
      <c r="C27" s="702" t="s">
        <v>527</v>
      </c>
      <c r="D27" s="699">
        <v>1600600124</v>
      </c>
      <c r="E27" s="697">
        <v>5359935</v>
      </c>
      <c r="F27" s="697">
        <v>0</v>
      </c>
      <c r="G27" s="697">
        <v>4303566.04</v>
      </c>
      <c r="H27" s="700">
        <f t="shared" si="0"/>
        <v>1056368.96</v>
      </c>
      <c r="I27" s="705">
        <f t="shared" si="1"/>
        <v>80.2913848768688</v>
      </c>
      <c r="J27" s="132">
        <f t="shared" si="2"/>
        <v>80.2913848768688</v>
      </c>
      <c r="K27" s="685">
        <f t="shared" si="3"/>
        <v>4303566.04</v>
      </c>
      <c r="L27" s="706"/>
      <c r="M27" s="706"/>
      <c r="N27" s="706"/>
      <c r="Y27" s="707"/>
      <c r="Z27" s="707"/>
      <c r="AA27" s="707"/>
      <c r="AB27" s="707">
        <f t="shared" si="4"/>
        <v>0</v>
      </c>
      <c r="AF27" s="707">
        <f t="shared" si="5"/>
        <v>0</v>
      </c>
      <c r="AG27" s="685">
        <f t="shared" si="6"/>
        <v>0</v>
      </c>
    </row>
    <row r="28" ht="26.25" customHeight="1" spans="1:33">
      <c r="A28" s="696">
        <v>21</v>
      </c>
      <c r="B28" s="701" t="s">
        <v>614</v>
      </c>
      <c r="C28" s="702" t="s">
        <v>528</v>
      </c>
      <c r="D28" s="699">
        <v>1600600132</v>
      </c>
      <c r="E28" s="697">
        <v>2451307</v>
      </c>
      <c r="F28" s="697">
        <v>0</v>
      </c>
      <c r="G28" s="697">
        <v>1801447.35</v>
      </c>
      <c r="H28" s="700">
        <f t="shared" si="0"/>
        <v>649859.65</v>
      </c>
      <c r="I28" s="705">
        <f t="shared" si="1"/>
        <v>73.4892589953033</v>
      </c>
      <c r="J28" s="132">
        <f t="shared" si="2"/>
        <v>73.4892589953033</v>
      </c>
      <c r="K28" s="685">
        <f t="shared" si="3"/>
        <v>1801447.35</v>
      </c>
      <c r="L28" s="706"/>
      <c r="M28" s="706"/>
      <c r="N28" s="706"/>
      <c r="Y28" s="707"/>
      <c r="Z28" s="707"/>
      <c r="AA28" s="707"/>
      <c r="AB28" s="707">
        <f t="shared" si="4"/>
        <v>0</v>
      </c>
      <c r="AF28" s="707">
        <f t="shared" si="5"/>
        <v>0</v>
      </c>
      <c r="AG28" s="685">
        <f t="shared" si="6"/>
        <v>0</v>
      </c>
    </row>
    <row r="29" ht="26.25" customHeight="1" spans="1:33">
      <c r="A29" s="696">
        <v>22</v>
      </c>
      <c r="B29" s="701" t="s">
        <v>614</v>
      </c>
      <c r="C29" s="702" t="s">
        <v>529</v>
      </c>
      <c r="D29" s="699">
        <v>1600600140</v>
      </c>
      <c r="E29" s="697">
        <v>2526824</v>
      </c>
      <c r="F29" s="697">
        <v>0</v>
      </c>
      <c r="G29" s="697">
        <v>1887774.41</v>
      </c>
      <c r="H29" s="700">
        <f t="shared" si="0"/>
        <v>639049.59</v>
      </c>
      <c r="I29" s="705">
        <f t="shared" si="1"/>
        <v>74.7093746932909</v>
      </c>
      <c r="J29" s="132">
        <f t="shared" si="2"/>
        <v>74.7093746932909</v>
      </c>
      <c r="K29" s="685">
        <f t="shared" si="3"/>
        <v>1887774.41</v>
      </c>
      <c r="L29" s="706"/>
      <c r="M29" s="706"/>
      <c r="N29" s="706"/>
      <c r="Y29" s="707"/>
      <c r="Z29" s="707"/>
      <c r="AA29" s="707"/>
      <c r="AB29" s="707">
        <f t="shared" si="4"/>
        <v>0</v>
      </c>
      <c r="AF29" s="707">
        <f t="shared" si="5"/>
        <v>0</v>
      </c>
      <c r="AG29" s="685">
        <f t="shared" si="6"/>
        <v>0</v>
      </c>
    </row>
    <row r="30" ht="26.25" customHeight="1" spans="1:33">
      <c r="A30" s="696">
        <v>23</v>
      </c>
      <c r="B30" s="701" t="s">
        <v>614</v>
      </c>
      <c r="C30" s="702" t="s">
        <v>530</v>
      </c>
      <c r="D30" s="699">
        <v>1600600148</v>
      </c>
      <c r="E30" s="697">
        <v>5776244</v>
      </c>
      <c r="F30" s="697">
        <v>171428.4</v>
      </c>
      <c r="G30" s="697">
        <v>4377671.78</v>
      </c>
      <c r="H30" s="700">
        <f t="shared" si="0"/>
        <v>1227143.82</v>
      </c>
      <c r="I30" s="705">
        <f t="shared" si="1"/>
        <v>75.7875148625993</v>
      </c>
      <c r="J30" s="132">
        <f t="shared" si="2"/>
        <v>78.7553327040894</v>
      </c>
      <c r="K30" s="685">
        <f t="shared" si="3"/>
        <v>4549100.18</v>
      </c>
      <c r="L30" s="706"/>
      <c r="M30" s="706"/>
      <c r="N30" s="706"/>
      <c r="Y30" s="707"/>
      <c r="Z30" s="707"/>
      <c r="AA30" s="707"/>
      <c r="AB30" s="707">
        <f t="shared" si="4"/>
        <v>0</v>
      </c>
      <c r="AF30" s="707">
        <f t="shared" si="5"/>
        <v>0</v>
      </c>
      <c r="AG30" s="685">
        <f t="shared" si="6"/>
        <v>0</v>
      </c>
    </row>
    <row r="31" ht="26.25" customHeight="1" spans="1:33">
      <c r="A31" s="696">
        <v>24</v>
      </c>
      <c r="B31" s="701" t="s">
        <v>614</v>
      </c>
      <c r="C31" s="702" t="s">
        <v>531</v>
      </c>
      <c r="D31" s="699">
        <v>1600600156</v>
      </c>
      <c r="E31" s="697">
        <v>8085465</v>
      </c>
      <c r="F31" s="697">
        <v>83445.04</v>
      </c>
      <c r="G31" s="697">
        <v>5749269.39</v>
      </c>
      <c r="H31" s="700">
        <f t="shared" si="0"/>
        <v>2252750.57</v>
      </c>
      <c r="I31" s="705">
        <f t="shared" si="1"/>
        <v>71.1062306249548</v>
      </c>
      <c r="J31" s="132">
        <f t="shared" si="2"/>
        <v>72.1382682381285</v>
      </c>
      <c r="K31" s="685">
        <f t="shared" si="3"/>
        <v>5832714.43</v>
      </c>
      <c r="L31" s="706"/>
      <c r="M31" s="706"/>
      <c r="N31" s="706"/>
      <c r="Y31" s="707"/>
      <c r="Z31" s="707"/>
      <c r="AA31" s="707"/>
      <c r="AB31" s="707">
        <f t="shared" si="4"/>
        <v>0</v>
      </c>
      <c r="AF31" s="707">
        <f t="shared" si="5"/>
        <v>0</v>
      </c>
      <c r="AG31" s="685">
        <f t="shared" si="6"/>
        <v>0</v>
      </c>
    </row>
    <row r="32" ht="26.25" customHeight="1" spans="1:33">
      <c r="A32" s="696">
        <v>25</v>
      </c>
      <c r="B32" s="701" t="s">
        <v>614</v>
      </c>
      <c r="C32" s="702" t="s">
        <v>532</v>
      </c>
      <c r="D32" s="699">
        <v>1600600164</v>
      </c>
      <c r="E32" s="697">
        <v>4884438</v>
      </c>
      <c r="F32" s="697">
        <v>0</v>
      </c>
      <c r="G32" s="697">
        <v>4327728.72</v>
      </c>
      <c r="H32" s="700">
        <f t="shared" si="0"/>
        <v>556709.28</v>
      </c>
      <c r="I32" s="705">
        <f t="shared" si="1"/>
        <v>88.6023882379099</v>
      </c>
      <c r="J32" s="132">
        <f t="shared" si="2"/>
        <v>88.6023882379099</v>
      </c>
      <c r="K32" s="685">
        <f t="shared" si="3"/>
        <v>4327728.72</v>
      </c>
      <c r="L32" s="706"/>
      <c r="M32" s="706"/>
      <c r="N32" s="706"/>
      <c r="Y32" s="707"/>
      <c r="Z32" s="707"/>
      <c r="AA32" s="707"/>
      <c r="AB32" s="707">
        <f t="shared" si="4"/>
        <v>0</v>
      </c>
      <c r="AF32" s="707">
        <f t="shared" si="5"/>
        <v>0</v>
      </c>
      <c r="AG32" s="685">
        <f t="shared" si="6"/>
        <v>0</v>
      </c>
    </row>
    <row r="33" ht="26.25" customHeight="1" spans="1:33">
      <c r="A33" s="696">
        <v>26</v>
      </c>
      <c r="B33" s="701" t="s">
        <v>614</v>
      </c>
      <c r="C33" s="702" t="s">
        <v>533</v>
      </c>
      <c r="D33" s="699">
        <v>1600600172</v>
      </c>
      <c r="E33" s="697">
        <v>3519824</v>
      </c>
      <c r="F33" s="697">
        <v>36934</v>
      </c>
      <c r="G33" s="697">
        <v>2754611.93</v>
      </c>
      <c r="H33" s="700">
        <f t="shared" si="0"/>
        <v>728278.07</v>
      </c>
      <c r="I33" s="705">
        <f t="shared" si="1"/>
        <v>78.2599337353231</v>
      </c>
      <c r="J33" s="132">
        <f t="shared" si="2"/>
        <v>79.309247564651</v>
      </c>
      <c r="K33" s="685">
        <f t="shared" si="3"/>
        <v>2791545.93</v>
      </c>
      <c r="L33" s="706"/>
      <c r="M33" s="706"/>
      <c r="N33" s="706"/>
      <c r="Y33" s="707"/>
      <c r="Z33" s="707"/>
      <c r="AA33" s="707"/>
      <c r="AB33" s="707">
        <f t="shared" si="4"/>
        <v>0</v>
      </c>
      <c r="AF33" s="707">
        <f t="shared" si="5"/>
        <v>0</v>
      </c>
      <c r="AG33" s="685">
        <f t="shared" si="6"/>
        <v>0</v>
      </c>
    </row>
    <row r="34" ht="26.25" customHeight="1" spans="1:33">
      <c r="A34" s="696">
        <v>27</v>
      </c>
      <c r="B34" s="701" t="s">
        <v>614</v>
      </c>
      <c r="C34" s="702" t="s">
        <v>534</v>
      </c>
      <c r="D34" s="699">
        <v>1600600180</v>
      </c>
      <c r="E34" s="697">
        <v>3250767.92</v>
      </c>
      <c r="F34" s="697">
        <v>0</v>
      </c>
      <c r="G34" s="697">
        <v>2424540.02</v>
      </c>
      <c r="H34" s="700">
        <f t="shared" si="0"/>
        <v>826227.9</v>
      </c>
      <c r="I34" s="705">
        <f t="shared" si="1"/>
        <v>74.5836085401015</v>
      </c>
      <c r="J34" s="132">
        <f t="shared" si="2"/>
        <v>74.5836085401015</v>
      </c>
      <c r="K34" s="685">
        <f t="shared" si="3"/>
        <v>2424540.02</v>
      </c>
      <c r="L34" s="706"/>
      <c r="M34" s="706"/>
      <c r="N34" s="706"/>
      <c r="Y34" s="707"/>
      <c r="Z34" s="707"/>
      <c r="AA34" s="707"/>
      <c r="AB34" s="707">
        <f t="shared" si="4"/>
        <v>0</v>
      </c>
      <c r="AF34" s="707">
        <f t="shared" si="5"/>
        <v>0</v>
      </c>
      <c r="AG34" s="685">
        <f t="shared" si="6"/>
        <v>0</v>
      </c>
    </row>
    <row r="35" ht="26.25" customHeight="1" spans="1:33">
      <c r="A35" s="696">
        <v>28</v>
      </c>
      <c r="B35" s="701" t="s">
        <v>614</v>
      </c>
      <c r="C35" s="702" t="s">
        <v>535</v>
      </c>
      <c r="D35" s="699">
        <v>1600600188</v>
      </c>
      <c r="E35" s="697">
        <v>7249819</v>
      </c>
      <c r="F35" s="697">
        <v>0</v>
      </c>
      <c r="G35" s="697">
        <v>5860356.31</v>
      </c>
      <c r="H35" s="700">
        <f t="shared" si="0"/>
        <v>1389462.69</v>
      </c>
      <c r="I35" s="705">
        <f t="shared" si="1"/>
        <v>80.8345189031616</v>
      </c>
      <c r="J35" s="132">
        <f t="shared" si="2"/>
        <v>80.8345189031616</v>
      </c>
      <c r="K35" s="685">
        <f t="shared" si="3"/>
        <v>5860356.31</v>
      </c>
      <c r="L35" s="706"/>
      <c r="M35" s="706"/>
      <c r="N35" s="706"/>
      <c r="Y35" s="707"/>
      <c r="Z35" s="707"/>
      <c r="AA35" s="707"/>
      <c r="AB35" s="707">
        <f t="shared" si="4"/>
        <v>0</v>
      </c>
      <c r="AF35" s="707">
        <f t="shared" si="5"/>
        <v>0</v>
      </c>
      <c r="AG35" s="685">
        <f t="shared" si="6"/>
        <v>0</v>
      </c>
    </row>
    <row r="36" ht="26.25" customHeight="1" spans="1:33">
      <c r="A36" s="696">
        <v>29</v>
      </c>
      <c r="B36" s="701" t="s">
        <v>614</v>
      </c>
      <c r="C36" s="702" t="s">
        <v>536</v>
      </c>
      <c r="D36" s="699">
        <v>1600600196</v>
      </c>
      <c r="E36" s="697">
        <v>12418199</v>
      </c>
      <c r="F36" s="697">
        <v>5494051</v>
      </c>
      <c r="G36" s="697">
        <v>6077577.75</v>
      </c>
      <c r="H36" s="700">
        <f t="shared" si="0"/>
        <v>846570.25</v>
      </c>
      <c r="I36" s="705">
        <f t="shared" si="1"/>
        <v>48.9408951330221</v>
      </c>
      <c r="J36" s="132">
        <f t="shared" si="2"/>
        <v>93.1828258671004</v>
      </c>
      <c r="K36" s="685">
        <f t="shared" si="3"/>
        <v>11571628.75</v>
      </c>
      <c r="L36" s="706"/>
      <c r="M36" s="706"/>
      <c r="N36" s="706"/>
      <c r="Y36" s="707"/>
      <c r="Z36" s="707"/>
      <c r="AA36" s="707"/>
      <c r="AB36" s="707">
        <f t="shared" si="4"/>
        <v>0</v>
      </c>
      <c r="AF36" s="707">
        <f t="shared" si="5"/>
        <v>0</v>
      </c>
      <c r="AG36" s="685">
        <f t="shared" si="6"/>
        <v>0</v>
      </c>
    </row>
    <row r="37" ht="26.25" customHeight="1" spans="1:33">
      <c r="A37" s="696">
        <v>30</v>
      </c>
      <c r="B37" s="701" t="s">
        <v>614</v>
      </c>
      <c r="C37" s="702" t="s">
        <v>537</v>
      </c>
      <c r="D37" s="699">
        <v>1600600204</v>
      </c>
      <c r="E37" s="697">
        <v>3842581</v>
      </c>
      <c r="F37" s="697">
        <v>209000</v>
      </c>
      <c r="G37" s="697">
        <v>2697701.67</v>
      </c>
      <c r="H37" s="700">
        <f t="shared" si="0"/>
        <v>935879.33</v>
      </c>
      <c r="I37" s="705">
        <f t="shared" si="1"/>
        <v>70.2054600800868</v>
      </c>
      <c r="J37" s="132">
        <f t="shared" si="2"/>
        <v>75.6445126335658</v>
      </c>
      <c r="K37" s="685">
        <f t="shared" si="3"/>
        <v>2906701.67</v>
      </c>
      <c r="L37" s="706"/>
      <c r="M37" s="706"/>
      <c r="N37" s="706"/>
      <c r="Y37" s="707"/>
      <c r="Z37" s="707"/>
      <c r="AA37" s="707"/>
      <c r="AB37" s="707">
        <f t="shared" si="4"/>
        <v>0</v>
      </c>
      <c r="AF37" s="707">
        <f t="shared" si="5"/>
        <v>0</v>
      </c>
      <c r="AG37" s="685">
        <f t="shared" si="6"/>
        <v>0</v>
      </c>
    </row>
    <row r="38" ht="26.25" customHeight="1" spans="1:33">
      <c r="A38" s="696">
        <v>31</v>
      </c>
      <c r="B38" s="701" t="s">
        <v>614</v>
      </c>
      <c r="C38" s="702" t="s">
        <v>538</v>
      </c>
      <c r="D38" s="699">
        <v>1600600212</v>
      </c>
      <c r="E38" s="697">
        <v>3352825</v>
      </c>
      <c r="F38" s="697">
        <v>0</v>
      </c>
      <c r="G38" s="697">
        <v>2620352.58</v>
      </c>
      <c r="H38" s="700">
        <f t="shared" si="0"/>
        <v>732472.42</v>
      </c>
      <c r="I38" s="705">
        <f t="shared" si="1"/>
        <v>78.1535743738489</v>
      </c>
      <c r="J38" s="132">
        <f t="shared" si="2"/>
        <v>78.1535743738489</v>
      </c>
      <c r="K38" s="685">
        <f t="shared" si="3"/>
        <v>2620352.58</v>
      </c>
      <c r="L38" s="706"/>
      <c r="M38" s="706"/>
      <c r="N38" s="706"/>
      <c r="Y38" s="707"/>
      <c r="Z38" s="707"/>
      <c r="AA38" s="707"/>
      <c r="AB38" s="707">
        <f t="shared" si="4"/>
        <v>0</v>
      </c>
      <c r="AF38" s="707">
        <f t="shared" si="5"/>
        <v>0</v>
      </c>
      <c r="AG38" s="685">
        <f t="shared" si="6"/>
        <v>0</v>
      </c>
    </row>
    <row r="39" ht="26.25" customHeight="1" spans="1:33">
      <c r="A39" s="696">
        <v>32</v>
      </c>
      <c r="B39" s="701" t="s">
        <v>614</v>
      </c>
      <c r="C39" s="702" t="s">
        <v>539</v>
      </c>
      <c r="D39" s="699">
        <v>1600600220</v>
      </c>
      <c r="E39" s="697">
        <v>15768363</v>
      </c>
      <c r="F39" s="697">
        <v>4134358</v>
      </c>
      <c r="G39" s="697">
        <v>7305698.44</v>
      </c>
      <c r="H39" s="700">
        <f t="shared" si="0"/>
        <v>4328306.56</v>
      </c>
      <c r="I39" s="705">
        <f t="shared" si="1"/>
        <v>46.3313689569425</v>
      </c>
      <c r="J39" s="132">
        <f t="shared" si="2"/>
        <v>72.5506917870929</v>
      </c>
      <c r="K39" s="685">
        <f t="shared" si="3"/>
        <v>11440056.44</v>
      </c>
      <c r="L39" s="706"/>
      <c r="M39" s="706"/>
      <c r="N39" s="706"/>
      <c r="Y39" s="707"/>
      <c r="Z39" s="707"/>
      <c r="AA39" s="707"/>
      <c r="AB39" s="707">
        <f t="shared" si="4"/>
        <v>0</v>
      </c>
      <c r="AF39" s="707">
        <f t="shared" si="5"/>
        <v>0</v>
      </c>
      <c r="AG39" s="685">
        <f t="shared" si="6"/>
        <v>0</v>
      </c>
    </row>
    <row r="40" ht="26.25" customHeight="1" spans="1:33">
      <c r="A40" s="696">
        <v>33</v>
      </c>
      <c r="B40" s="701" t="s">
        <v>614</v>
      </c>
      <c r="C40" s="702" t="s">
        <v>540</v>
      </c>
      <c r="D40" s="699">
        <v>1600600228</v>
      </c>
      <c r="E40" s="697">
        <v>1733684</v>
      </c>
      <c r="F40" s="697">
        <v>0</v>
      </c>
      <c r="G40" s="697">
        <v>1291593.09</v>
      </c>
      <c r="H40" s="700">
        <f t="shared" si="0"/>
        <v>442090.91</v>
      </c>
      <c r="I40" s="705">
        <f t="shared" si="1"/>
        <v>74.4999140558487</v>
      </c>
      <c r="J40" s="132">
        <f t="shared" si="2"/>
        <v>74.4999140558487</v>
      </c>
      <c r="K40" s="685">
        <f t="shared" si="3"/>
        <v>1291593.09</v>
      </c>
      <c r="L40" s="706"/>
      <c r="M40" s="706"/>
      <c r="N40" s="706"/>
      <c r="Y40" s="707"/>
      <c r="Z40" s="707"/>
      <c r="AA40" s="707"/>
      <c r="AB40" s="707">
        <f t="shared" si="4"/>
        <v>0</v>
      </c>
      <c r="AF40" s="707">
        <f t="shared" si="5"/>
        <v>0</v>
      </c>
      <c r="AG40" s="685">
        <f t="shared" si="6"/>
        <v>0</v>
      </c>
    </row>
    <row r="41" ht="26.25" customHeight="1" spans="1:33">
      <c r="A41" s="696">
        <v>34</v>
      </c>
      <c r="B41" s="701" t="s">
        <v>614</v>
      </c>
      <c r="C41" s="702" t="s">
        <v>541</v>
      </c>
      <c r="D41" s="699">
        <v>1600600236</v>
      </c>
      <c r="E41" s="697">
        <v>6753089</v>
      </c>
      <c r="F41" s="697">
        <v>0</v>
      </c>
      <c r="G41" s="697">
        <v>5036116.55</v>
      </c>
      <c r="H41" s="700">
        <f t="shared" si="0"/>
        <v>1716972.45</v>
      </c>
      <c r="I41" s="705">
        <f t="shared" si="1"/>
        <v>74.5750063415424</v>
      </c>
      <c r="J41" s="132">
        <f t="shared" si="2"/>
        <v>74.5750063415424</v>
      </c>
      <c r="K41" s="685">
        <f t="shared" si="3"/>
        <v>5036116.55</v>
      </c>
      <c r="L41" s="706"/>
      <c r="M41" s="706"/>
      <c r="N41" s="706"/>
      <c r="Y41" s="707"/>
      <c r="Z41" s="707"/>
      <c r="AA41" s="707"/>
      <c r="AB41" s="707">
        <f t="shared" si="4"/>
        <v>0</v>
      </c>
      <c r="AF41" s="707">
        <f t="shared" si="5"/>
        <v>0</v>
      </c>
      <c r="AG41" s="685">
        <f t="shared" si="6"/>
        <v>0</v>
      </c>
    </row>
    <row r="42" ht="26.25" customHeight="1" spans="1:33">
      <c r="A42" s="696">
        <v>35</v>
      </c>
      <c r="B42" s="701" t="s">
        <v>614</v>
      </c>
      <c r="C42" s="702" t="s">
        <v>542</v>
      </c>
      <c r="D42" s="699">
        <v>1600600244</v>
      </c>
      <c r="E42" s="697">
        <v>8198133</v>
      </c>
      <c r="F42" s="697">
        <v>59120.6</v>
      </c>
      <c r="G42" s="697">
        <v>5715217.16</v>
      </c>
      <c r="H42" s="700">
        <f t="shared" si="0"/>
        <v>2423795.24</v>
      </c>
      <c r="I42" s="705">
        <f t="shared" si="1"/>
        <v>69.7136428501465</v>
      </c>
      <c r="J42" s="132">
        <f t="shared" si="2"/>
        <v>70.4347899698626</v>
      </c>
      <c r="K42" s="685">
        <f t="shared" si="3"/>
        <v>5774337.76</v>
      </c>
      <c r="L42" s="706"/>
      <c r="M42" s="706"/>
      <c r="N42" s="706"/>
      <c r="Y42" s="707"/>
      <c r="Z42" s="707"/>
      <c r="AA42" s="707"/>
      <c r="AB42" s="707">
        <f t="shared" si="4"/>
        <v>0</v>
      </c>
      <c r="AF42" s="707">
        <f t="shared" si="5"/>
        <v>0</v>
      </c>
      <c r="AG42" s="685">
        <f t="shared" si="6"/>
        <v>0</v>
      </c>
    </row>
    <row r="43" ht="26.25" customHeight="1" spans="1:33">
      <c r="A43" s="696">
        <v>36</v>
      </c>
      <c r="B43" s="701" t="s">
        <v>614</v>
      </c>
      <c r="C43" s="702" t="s">
        <v>543</v>
      </c>
      <c r="D43" s="699">
        <v>1600600252</v>
      </c>
      <c r="E43" s="697">
        <v>11091775</v>
      </c>
      <c r="F43" s="697">
        <v>5738000</v>
      </c>
      <c r="G43" s="697">
        <v>3905527.13</v>
      </c>
      <c r="H43" s="700">
        <f t="shared" si="0"/>
        <v>1448247.87</v>
      </c>
      <c r="I43" s="705">
        <f t="shared" si="1"/>
        <v>35.2110201478122</v>
      </c>
      <c r="J43" s="132">
        <f t="shared" si="2"/>
        <v>86.9430468072062</v>
      </c>
      <c r="K43" s="685">
        <f t="shared" si="3"/>
        <v>9643527.13</v>
      </c>
      <c r="L43" s="706"/>
      <c r="M43" s="706"/>
      <c r="N43" s="706"/>
      <c r="Y43" s="707"/>
      <c r="Z43" s="707"/>
      <c r="AA43" s="707"/>
      <c r="AB43" s="707">
        <f t="shared" si="4"/>
        <v>0</v>
      </c>
      <c r="AF43" s="707">
        <f t="shared" si="5"/>
        <v>0</v>
      </c>
      <c r="AG43" s="685">
        <f t="shared" si="6"/>
        <v>0</v>
      </c>
    </row>
    <row r="44" ht="26.25" customHeight="1" spans="1:33">
      <c r="A44" s="696">
        <v>37</v>
      </c>
      <c r="B44" s="701" t="s">
        <v>614</v>
      </c>
      <c r="C44" s="702" t="s">
        <v>544</v>
      </c>
      <c r="D44" s="699">
        <v>1600600260</v>
      </c>
      <c r="E44" s="697">
        <v>8600629</v>
      </c>
      <c r="F44" s="697">
        <v>80895</v>
      </c>
      <c r="G44" s="697">
        <v>6955671.49</v>
      </c>
      <c r="H44" s="700">
        <f t="shared" si="0"/>
        <v>1564062.51</v>
      </c>
      <c r="I44" s="705">
        <f t="shared" si="1"/>
        <v>80.8739859607943</v>
      </c>
      <c r="J44" s="132">
        <f t="shared" si="2"/>
        <v>81.8145567027714</v>
      </c>
      <c r="K44" s="685">
        <f t="shared" si="3"/>
        <v>7036566.49</v>
      </c>
      <c r="L44" s="706"/>
      <c r="M44" s="706"/>
      <c r="N44" s="706"/>
      <c r="Y44" s="707"/>
      <c r="Z44" s="707"/>
      <c r="AA44" s="707"/>
      <c r="AB44" s="707">
        <f t="shared" si="4"/>
        <v>0</v>
      </c>
      <c r="AF44" s="707">
        <f t="shared" si="5"/>
        <v>0</v>
      </c>
      <c r="AG44" s="685">
        <f t="shared" si="6"/>
        <v>0</v>
      </c>
    </row>
    <row r="45" ht="26.25" customHeight="1" spans="1:33">
      <c r="A45" s="696">
        <v>38</v>
      </c>
      <c r="B45" s="701" t="s">
        <v>614</v>
      </c>
      <c r="C45" s="702" t="s">
        <v>545</v>
      </c>
      <c r="D45" s="699">
        <v>1600600268</v>
      </c>
      <c r="E45" s="697">
        <v>8472381</v>
      </c>
      <c r="F45" s="697">
        <v>0</v>
      </c>
      <c r="G45" s="697">
        <v>7301351.22</v>
      </c>
      <c r="H45" s="700">
        <f t="shared" si="0"/>
        <v>1171029.78</v>
      </c>
      <c r="I45" s="705">
        <f t="shared" si="1"/>
        <v>86.1782681869477</v>
      </c>
      <c r="J45" s="132">
        <f t="shared" si="2"/>
        <v>86.1782681869477</v>
      </c>
      <c r="K45" s="685">
        <f t="shared" si="3"/>
        <v>7301351.22</v>
      </c>
      <c r="L45" s="706"/>
      <c r="M45" s="706"/>
      <c r="N45" s="706"/>
      <c r="Y45" s="707"/>
      <c r="Z45" s="707"/>
      <c r="AA45" s="707"/>
      <c r="AB45" s="707">
        <f t="shared" si="4"/>
        <v>0</v>
      </c>
      <c r="AF45" s="707">
        <f t="shared" si="5"/>
        <v>0</v>
      </c>
      <c r="AG45" s="685">
        <f t="shared" si="6"/>
        <v>0</v>
      </c>
    </row>
    <row r="46" ht="26.25" customHeight="1" spans="1:33">
      <c r="A46" s="696">
        <v>39</v>
      </c>
      <c r="B46" s="701" t="s">
        <v>614</v>
      </c>
      <c r="C46" s="702" t="s">
        <v>546</v>
      </c>
      <c r="D46" s="699">
        <v>1600600276</v>
      </c>
      <c r="E46" s="697">
        <v>2739673</v>
      </c>
      <c r="F46" s="697">
        <v>12000</v>
      </c>
      <c r="G46" s="697">
        <v>2028303.07</v>
      </c>
      <c r="H46" s="700">
        <f t="shared" si="0"/>
        <v>699369.93</v>
      </c>
      <c r="I46" s="705">
        <f t="shared" si="1"/>
        <v>74.0344949926506</v>
      </c>
      <c r="J46" s="132">
        <f t="shared" si="2"/>
        <v>74.4725034703047</v>
      </c>
      <c r="K46" s="685">
        <f t="shared" si="3"/>
        <v>2040303.07</v>
      </c>
      <c r="L46" s="706"/>
      <c r="M46" s="706"/>
      <c r="N46" s="706"/>
      <c r="Y46" s="707"/>
      <c r="Z46" s="707"/>
      <c r="AA46" s="707"/>
      <c r="AB46" s="707">
        <f t="shared" si="4"/>
        <v>0</v>
      </c>
      <c r="AF46" s="707">
        <f t="shared" si="5"/>
        <v>0</v>
      </c>
      <c r="AG46" s="685">
        <f t="shared" si="6"/>
        <v>0</v>
      </c>
    </row>
    <row r="47" ht="26.25" customHeight="1" spans="1:33">
      <c r="A47" s="696">
        <v>40</v>
      </c>
      <c r="B47" s="701" t="s">
        <v>614</v>
      </c>
      <c r="C47" s="702" t="s">
        <v>547</v>
      </c>
      <c r="D47" s="699">
        <v>1600600284</v>
      </c>
      <c r="E47" s="697">
        <v>5695248</v>
      </c>
      <c r="F47" s="697">
        <v>207851.3</v>
      </c>
      <c r="G47" s="697">
        <v>4537461.62</v>
      </c>
      <c r="H47" s="700">
        <f t="shared" si="0"/>
        <v>949935.08</v>
      </c>
      <c r="I47" s="705">
        <f t="shared" si="1"/>
        <v>79.6710102878751</v>
      </c>
      <c r="J47" s="132">
        <f t="shared" si="2"/>
        <v>83.3205669006863</v>
      </c>
      <c r="K47" s="685">
        <f t="shared" si="3"/>
        <v>4745312.92</v>
      </c>
      <c r="L47" s="706"/>
      <c r="M47" s="706"/>
      <c r="N47" s="706"/>
      <c r="Y47" s="707"/>
      <c r="Z47" s="707"/>
      <c r="AA47" s="707"/>
      <c r="AB47" s="707">
        <f t="shared" si="4"/>
        <v>0</v>
      </c>
      <c r="AF47" s="707">
        <f t="shared" si="5"/>
        <v>0</v>
      </c>
      <c r="AG47" s="685">
        <f t="shared" si="6"/>
        <v>0</v>
      </c>
    </row>
    <row r="48" ht="26.25" customHeight="1" spans="1:33">
      <c r="A48" s="696">
        <v>41</v>
      </c>
      <c r="B48" s="701" t="s">
        <v>614</v>
      </c>
      <c r="C48" s="702" t="s">
        <v>548</v>
      </c>
      <c r="D48" s="699">
        <v>1600600292</v>
      </c>
      <c r="E48" s="697">
        <v>7332889</v>
      </c>
      <c r="F48" s="697">
        <v>99931.29</v>
      </c>
      <c r="G48" s="697">
        <v>5967900.13</v>
      </c>
      <c r="H48" s="700">
        <f t="shared" si="0"/>
        <v>1265057.58</v>
      </c>
      <c r="I48" s="705">
        <f t="shared" si="1"/>
        <v>81.3853875327991</v>
      </c>
      <c r="J48" s="132">
        <f t="shared" si="2"/>
        <v>82.7481695140892</v>
      </c>
      <c r="K48" s="685">
        <f t="shared" si="3"/>
        <v>6067831.42</v>
      </c>
      <c r="L48" s="706"/>
      <c r="M48" s="706"/>
      <c r="N48" s="706"/>
      <c r="Y48" s="707"/>
      <c r="Z48" s="707"/>
      <c r="AA48" s="707"/>
      <c r="AB48" s="707">
        <f t="shared" si="4"/>
        <v>0</v>
      </c>
      <c r="AF48" s="707">
        <f t="shared" si="5"/>
        <v>0</v>
      </c>
      <c r="AG48" s="685">
        <f t="shared" si="6"/>
        <v>0</v>
      </c>
    </row>
    <row r="49" ht="26.25" customHeight="1" spans="1:33">
      <c r="A49" s="696">
        <v>42</v>
      </c>
      <c r="B49" s="701" t="s">
        <v>614</v>
      </c>
      <c r="C49" s="702" t="s">
        <v>549</v>
      </c>
      <c r="D49" s="699">
        <v>1600600300</v>
      </c>
      <c r="E49" s="697">
        <v>3027990</v>
      </c>
      <c r="F49" s="697">
        <v>0</v>
      </c>
      <c r="G49" s="697">
        <v>2322580.35</v>
      </c>
      <c r="H49" s="700">
        <f t="shared" si="0"/>
        <v>705409.65</v>
      </c>
      <c r="I49" s="705">
        <f t="shared" si="1"/>
        <v>76.703699483816</v>
      </c>
      <c r="J49" s="132">
        <f t="shared" si="2"/>
        <v>76.703699483816</v>
      </c>
      <c r="K49" s="685">
        <f t="shared" si="3"/>
        <v>2322580.35</v>
      </c>
      <c r="L49" s="706"/>
      <c r="M49" s="706"/>
      <c r="N49" s="706"/>
      <c r="Y49" s="707"/>
      <c r="Z49" s="707"/>
      <c r="AA49" s="707"/>
      <c r="AB49" s="707">
        <f t="shared" si="4"/>
        <v>0</v>
      </c>
      <c r="AF49" s="707">
        <f t="shared" si="5"/>
        <v>0</v>
      </c>
      <c r="AG49" s="685">
        <f t="shared" si="6"/>
        <v>0</v>
      </c>
    </row>
    <row r="50" ht="26.25" customHeight="1" spans="1:33">
      <c r="A50" s="696">
        <v>43</v>
      </c>
      <c r="B50" s="701" t="s">
        <v>614</v>
      </c>
      <c r="C50" s="702" t="s">
        <v>550</v>
      </c>
      <c r="D50" s="699">
        <v>1600600308</v>
      </c>
      <c r="E50" s="697">
        <v>8919434</v>
      </c>
      <c r="F50" s="697">
        <v>170235.48</v>
      </c>
      <c r="G50" s="697">
        <v>5586320.98</v>
      </c>
      <c r="H50" s="700">
        <f t="shared" si="0"/>
        <v>3162877.54</v>
      </c>
      <c r="I50" s="705">
        <f t="shared" si="1"/>
        <v>62.6308909287293</v>
      </c>
      <c r="J50" s="132">
        <f t="shared" si="2"/>
        <v>64.5394815410933</v>
      </c>
      <c r="K50" s="685">
        <f t="shared" si="3"/>
        <v>5756556.46</v>
      </c>
      <c r="L50" s="706"/>
      <c r="M50" s="706"/>
      <c r="N50" s="706"/>
      <c r="Y50" s="707"/>
      <c r="Z50" s="707"/>
      <c r="AA50" s="707"/>
      <c r="AB50" s="707">
        <f t="shared" si="4"/>
        <v>0</v>
      </c>
      <c r="AF50" s="707">
        <f t="shared" si="5"/>
        <v>0</v>
      </c>
      <c r="AG50" s="685">
        <f t="shared" si="6"/>
        <v>0</v>
      </c>
    </row>
    <row r="51" ht="26.25" customHeight="1" spans="1:33">
      <c r="A51" s="696">
        <v>44</v>
      </c>
      <c r="B51" s="701" t="s">
        <v>614</v>
      </c>
      <c r="C51" s="702" t="s">
        <v>551</v>
      </c>
      <c r="D51" s="699">
        <v>1600600316</v>
      </c>
      <c r="E51" s="697">
        <v>3985789</v>
      </c>
      <c r="F51" s="697">
        <v>0</v>
      </c>
      <c r="G51" s="697">
        <v>3128843.96</v>
      </c>
      <c r="H51" s="700">
        <f t="shared" si="0"/>
        <v>856945.04</v>
      </c>
      <c r="I51" s="705">
        <f t="shared" si="1"/>
        <v>78.4999898389001</v>
      </c>
      <c r="J51" s="132">
        <f t="shared" si="2"/>
        <v>78.4999898389001</v>
      </c>
      <c r="K51" s="685">
        <f t="shared" si="3"/>
        <v>3128843.96</v>
      </c>
      <c r="L51" s="706"/>
      <c r="M51" s="706"/>
      <c r="N51" s="706"/>
      <c r="Y51" s="707"/>
      <c r="Z51" s="707"/>
      <c r="AA51" s="707"/>
      <c r="AB51" s="707">
        <f t="shared" si="4"/>
        <v>0</v>
      </c>
      <c r="AF51" s="707">
        <f t="shared" si="5"/>
        <v>0</v>
      </c>
      <c r="AG51" s="685">
        <f t="shared" si="6"/>
        <v>0</v>
      </c>
    </row>
    <row r="52" ht="26.25" customHeight="1" spans="1:33">
      <c r="A52" s="696">
        <v>45</v>
      </c>
      <c r="B52" s="701" t="s">
        <v>614</v>
      </c>
      <c r="C52" s="702" t="s">
        <v>552</v>
      </c>
      <c r="D52" s="699">
        <v>1600600324</v>
      </c>
      <c r="E52" s="697">
        <v>5136237</v>
      </c>
      <c r="F52" s="697">
        <v>59539</v>
      </c>
      <c r="G52" s="697">
        <v>4084024.31</v>
      </c>
      <c r="H52" s="700">
        <f t="shared" si="0"/>
        <v>992673.69</v>
      </c>
      <c r="I52" s="705">
        <f t="shared" si="1"/>
        <v>79.5139381224036</v>
      </c>
      <c r="J52" s="132">
        <f t="shared" si="2"/>
        <v>80.6731330738827</v>
      </c>
      <c r="K52" s="685">
        <f t="shared" si="3"/>
        <v>4143563.31</v>
      </c>
      <c r="L52" s="706"/>
      <c r="M52" s="706"/>
      <c r="N52" s="706"/>
      <c r="Y52" s="707"/>
      <c r="Z52" s="707"/>
      <c r="AA52" s="707"/>
      <c r="AB52" s="707">
        <f t="shared" si="4"/>
        <v>0</v>
      </c>
      <c r="AF52" s="707">
        <f t="shared" si="5"/>
        <v>0</v>
      </c>
      <c r="AG52" s="685">
        <f t="shared" si="6"/>
        <v>0</v>
      </c>
    </row>
    <row r="53" ht="26.25" customHeight="1" spans="1:33">
      <c r="A53" s="696">
        <v>46</v>
      </c>
      <c r="B53" s="701" t="s">
        <v>614</v>
      </c>
      <c r="C53" s="702" t="s">
        <v>553</v>
      </c>
      <c r="D53" s="699">
        <v>1600600332</v>
      </c>
      <c r="E53" s="697">
        <v>7816189</v>
      </c>
      <c r="F53" s="697">
        <v>0</v>
      </c>
      <c r="G53" s="697">
        <v>6098129.42</v>
      </c>
      <c r="H53" s="700">
        <f t="shared" si="0"/>
        <v>1718059.58</v>
      </c>
      <c r="I53" s="705">
        <f t="shared" si="1"/>
        <v>78.0192165261101</v>
      </c>
      <c r="J53" s="132">
        <f t="shared" si="2"/>
        <v>78.0192165261101</v>
      </c>
      <c r="K53" s="685">
        <f t="shared" si="3"/>
        <v>6098129.42</v>
      </c>
      <c r="L53" s="706"/>
      <c r="M53" s="706"/>
      <c r="N53" s="706"/>
      <c r="Y53" s="707"/>
      <c r="Z53" s="707"/>
      <c r="AA53" s="707"/>
      <c r="AB53" s="707">
        <f t="shared" si="4"/>
        <v>0</v>
      </c>
      <c r="AF53" s="707">
        <f t="shared" si="5"/>
        <v>0</v>
      </c>
      <c r="AG53" s="685">
        <f t="shared" si="6"/>
        <v>0</v>
      </c>
    </row>
    <row r="54" ht="26.25" customHeight="1" spans="1:33">
      <c r="A54" s="696">
        <v>47</v>
      </c>
      <c r="B54" s="701" t="s">
        <v>614</v>
      </c>
      <c r="C54" s="702" t="s">
        <v>554</v>
      </c>
      <c r="D54" s="699">
        <v>1600600340</v>
      </c>
      <c r="E54" s="697">
        <v>2860129</v>
      </c>
      <c r="F54" s="697">
        <v>112904.96</v>
      </c>
      <c r="G54" s="697">
        <v>2300750.37</v>
      </c>
      <c r="H54" s="700">
        <f t="shared" si="0"/>
        <v>446473.67</v>
      </c>
      <c r="I54" s="705">
        <f t="shared" si="1"/>
        <v>80.4421887963795</v>
      </c>
      <c r="J54" s="132">
        <f t="shared" si="2"/>
        <v>84.389736616775</v>
      </c>
      <c r="K54" s="685">
        <f t="shared" si="3"/>
        <v>2413655.33</v>
      </c>
      <c r="L54" s="706"/>
      <c r="M54" s="706"/>
      <c r="N54" s="706"/>
      <c r="Y54" s="707"/>
      <c r="Z54" s="707"/>
      <c r="AA54" s="707"/>
      <c r="AB54" s="707">
        <f t="shared" si="4"/>
        <v>0</v>
      </c>
      <c r="AF54" s="707">
        <f t="shared" si="5"/>
        <v>0</v>
      </c>
      <c r="AG54" s="685">
        <f t="shared" si="6"/>
        <v>0</v>
      </c>
    </row>
    <row r="55" ht="26.25" customHeight="1" spans="1:33">
      <c r="A55" s="696">
        <v>48</v>
      </c>
      <c r="B55" s="701" t="s">
        <v>614</v>
      </c>
      <c r="C55" s="702" t="s">
        <v>555</v>
      </c>
      <c r="D55" s="699">
        <v>1600600348</v>
      </c>
      <c r="E55" s="697">
        <v>6182889</v>
      </c>
      <c r="F55" s="697">
        <v>83961.6</v>
      </c>
      <c r="G55" s="697">
        <v>4930500.54</v>
      </c>
      <c r="H55" s="700">
        <f t="shared" si="0"/>
        <v>1168426.86</v>
      </c>
      <c r="I55" s="705">
        <f t="shared" si="1"/>
        <v>79.7442836188714</v>
      </c>
      <c r="J55" s="132">
        <f t="shared" si="2"/>
        <v>81.1022507439483</v>
      </c>
      <c r="K55" s="685">
        <f t="shared" si="3"/>
        <v>5014462.14</v>
      </c>
      <c r="L55" s="706"/>
      <c r="M55" s="706"/>
      <c r="N55" s="706"/>
      <c r="Y55" s="707"/>
      <c r="Z55" s="707"/>
      <c r="AA55" s="707"/>
      <c r="AB55" s="707">
        <f t="shared" si="4"/>
        <v>0</v>
      </c>
      <c r="AF55" s="707">
        <f t="shared" si="5"/>
        <v>0</v>
      </c>
      <c r="AG55" s="685">
        <f t="shared" si="6"/>
        <v>0</v>
      </c>
    </row>
    <row r="56" ht="26.25" customHeight="1" spans="1:33">
      <c r="A56" s="696">
        <v>49</v>
      </c>
      <c r="B56" s="701" t="s">
        <v>614</v>
      </c>
      <c r="C56" s="702" t="s">
        <v>556</v>
      </c>
      <c r="D56" s="699">
        <v>1600600356</v>
      </c>
      <c r="E56" s="697">
        <v>2772731</v>
      </c>
      <c r="F56" s="697">
        <v>0</v>
      </c>
      <c r="G56" s="697">
        <v>2033244.15</v>
      </c>
      <c r="H56" s="700">
        <f t="shared" si="0"/>
        <v>739486.85</v>
      </c>
      <c r="I56" s="705">
        <f t="shared" si="1"/>
        <v>73.3300183104672</v>
      </c>
      <c r="J56" s="132">
        <f t="shared" si="2"/>
        <v>73.3300183104672</v>
      </c>
      <c r="K56" s="685">
        <f t="shared" si="3"/>
        <v>2033244.15</v>
      </c>
      <c r="L56" s="706"/>
      <c r="M56" s="706"/>
      <c r="N56" s="706"/>
      <c r="Y56" s="707"/>
      <c r="Z56" s="707"/>
      <c r="AA56" s="707"/>
      <c r="AB56" s="707">
        <f t="shared" si="4"/>
        <v>0</v>
      </c>
      <c r="AF56" s="707">
        <f t="shared" si="5"/>
        <v>0</v>
      </c>
      <c r="AG56" s="685">
        <f t="shared" si="6"/>
        <v>0</v>
      </c>
    </row>
    <row r="57" ht="26.25" customHeight="1" spans="1:33">
      <c r="A57" s="696">
        <v>50</v>
      </c>
      <c r="B57" s="701" t="s">
        <v>614</v>
      </c>
      <c r="C57" s="702" t="s">
        <v>557</v>
      </c>
      <c r="D57" s="699">
        <v>1600600364</v>
      </c>
      <c r="E57" s="697">
        <v>2541669</v>
      </c>
      <c r="F57" s="697">
        <v>30500</v>
      </c>
      <c r="G57" s="697">
        <v>1947445.33</v>
      </c>
      <c r="H57" s="700">
        <f t="shared" si="0"/>
        <v>563723.67</v>
      </c>
      <c r="I57" s="705">
        <f t="shared" si="1"/>
        <v>76.6207295285106</v>
      </c>
      <c r="J57" s="132">
        <f t="shared" si="2"/>
        <v>77.8207284268723</v>
      </c>
      <c r="K57" s="685">
        <f t="shared" si="3"/>
        <v>1977945.33</v>
      </c>
      <c r="L57" s="706"/>
      <c r="M57" s="706"/>
      <c r="N57" s="706"/>
      <c r="Y57" s="707"/>
      <c r="Z57" s="707"/>
      <c r="AA57" s="707"/>
      <c r="AB57" s="707">
        <f t="shared" si="4"/>
        <v>0</v>
      </c>
      <c r="AF57" s="707">
        <f t="shared" si="5"/>
        <v>0</v>
      </c>
      <c r="AG57" s="685">
        <f t="shared" si="6"/>
        <v>0</v>
      </c>
    </row>
    <row r="58" ht="26.25" customHeight="1" spans="1:33">
      <c r="A58" s="696">
        <v>51</v>
      </c>
      <c r="B58" s="701" t="s">
        <v>614</v>
      </c>
      <c r="C58" s="702" t="s">
        <v>558</v>
      </c>
      <c r="D58" s="699">
        <v>1600600372</v>
      </c>
      <c r="E58" s="697">
        <v>9888885.24</v>
      </c>
      <c r="F58" s="697">
        <v>1144484</v>
      </c>
      <c r="G58" s="697">
        <v>7323118.46</v>
      </c>
      <c r="H58" s="700">
        <f t="shared" si="0"/>
        <v>1421282.78</v>
      </c>
      <c r="I58" s="705">
        <f t="shared" si="1"/>
        <v>74.054034223983</v>
      </c>
      <c r="J58" s="132">
        <f t="shared" si="2"/>
        <v>85.6274722023167</v>
      </c>
      <c r="K58" s="685">
        <f t="shared" si="3"/>
        <v>8467602.46</v>
      </c>
      <c r="L58" s="706"/>
      <c r="M58" s="706"/>
      <c r="N58" s="706"/>
      <c r="Y58" s="707"/>
      <c r="Z58" s="707"/>
      <c r="AA58" s="707"/>
      <c r="AB58" s="707">
        <f t="shared" si="4"/>
        <v>0</v>
      </c>
      <c r="AF58" s="707">
        <f t="shared" si="5"/>
        <v>0</v>
      </c>
      <c r="AG58" s="685">
        <f t="shared" si="6"/>
        <v>0</v>
      </c>
    </row>
    <row r="59" ht="26.25" customHeight="1" spans="1:33">
      <c r="A59" s="696">
        <v>52</v>
      </c>
      <c r="B59" s="701" t="s">
        <v>614</v>
      </c>
      <c r="C59" s="702" t="s">
        <v>559</v>
      </c>
      <c r="D59" s="699">
        <v>1600600380</v>
      </c>
      <c r="E59" s="697">
        <v>6133200</v>
      </c>
      <c r="F59" s="697">
        <v>96345.24</v>
      </c>
      <c r="G59" s="697">
        <v>4999322.9</v>
      </c>
      <c r="H59" s="700">
        <f t="shared" si="0"/>
        <v>1037531.86</v>
      </c>
      <c r="I59" s="705">
        <f t="shared" si="1"/>
        <v>81.512471466771</v>
      </c>
      <c r="J59" s="132">
        <f t="shared" si="2"/>
        <v>83.0833519206939</v>
      </c>
      <c r="K59" s="685">
        <f t="shared" si="3"/>
        <v>5095668.14</v>
      </c>
      <c r="L59" s="706"/>
      <c r="M59" s="706"/>
      <c r="N59" s="706"/>
      <c r="Y59" s="707"/>
      <c r="Z59" s="707"/>
      <c r="AA59" s="707"/>
      <c r="AB59" s="707">
        <f t="shared" si="4"/>
        <v>0</v>
      </c>
      <c r="AF59" s="707">
        <f t="shared" si="5"/>
        <v>0</v>
      </c>
      <c r="AG59" s="685">
        <f t="shared" si="6"/>
        <v>0</v>
      </c>
    </row>
    <row r="60" ht="26.25" customHeight="1" spans="1:33">
      <c r="A60" s="696">
        <v>53</v>
      </c>
      <c r="B60" s="701" t="s">
        <v>614</v>
      </c>
      <c r="C60" s="702" t="s">
        <v>560</v>
      </c>
      <c r="D60" s="699">
        <v>1600600388</v>
      </c>
      <c r="E60" s="697">
        <v>7800029</v>
      </c>
      <c r="F60" s="697">
        <v>201993.9</v>
      </c>
      <c r="G60" s="697">
        <v>5896876.31</v>
      </c>
      <c r="H60" s="700">
        <f t="shared" si="0"/>
        <v>1701158.79</v>
      </c>
      <c r="I60" s="705">
        <f t="shared" si="1"/>
        <v>75.6006972538179</v>
      </c>
      <c r="J60" s="132">
        <f t="shared" si="2"/>
        <v>78.190353010226</v>
      </c>
      <c r="K60" s="685">
        <f t="shared" si="3"/>
        <v>6098870.21</v>
      </c>
      <c r="L60" s="706"/>
      <c r="M60" s="706"/>
      <c r="N60" s="706"/>
      <c r="Y60" s="707"/>
      <c r="Z60" s="707"/>
      <c r="AA60" s="707"/>
      <c r="AB60" s="707">
        <f t="shared" si="4"/>
        <v>0</v>
      </c>
      <c r="AF60" s="707">
        <f t="shared" si="5"/>
        <v>0</v>
      </c>
      <c r="AG60" s="685">
        <f t="shared" si="6"/>
        <v>0</v>
      </c>
    </row>
    <row r="61" ht="26.25" customHeight="1" spans="1:33">
      <c r="A61" s="696">
        <v>54</v>
      </c>
      <c r="B61" s="701" t="s">
        <v>614</v>
      </c>
      <c r="C61" s="702" t="s">
        <v>561</v>
      </c>
      <c r="D61" s="699">
        <v>1600600396</v>
      </c>
      <c r="E61" s="697">
        <v>8183682</v>
      </c>
      <c r="F61" s="697">
        <v>244393</v>
      </c>
      <c r="G61" s="697">
        <v>6584359.31</v>
      </c>
      <c r="H61" s="700">
        <f t="shared" si="0"/>
        <v>1354929.69</v>
      </c>
      <c r="I61" s="705">
        <f t="shared" si="1"/>
        <v>80.4571745334191</v>
      </c>
      <c r="J61" s="132">
        <f t="shared" si="2"/>
        <v>83.443519799523</v>
      </c>
      <c r="K61" s="685">
        <f t="shared" si="3"/>
        <v>6828752.31</v>
      </c>
      <c r="L61" s="706"/>
      <c r="M61" s="706"/>
      <c r="N61" s="706"/>
      <c r="Y61" s="707"/>
      <c r="Z61" s="707"/>
      <c r="AA61" s="707"/>
      <c r="AB61" s="707">
        <f t="shared" si="4"/>
        <v>0</v>
      </c>
      <c r="AF61" s="707">
        <f t="shared" si="5"/>
        <v>0</v>
      </c>
      <c r="AG61" s="685">
        <f t="shared" si="6"/>
        <v>0</v>
      </c>
    </row>
    <row r="62" ht="26.25" customHeight="1" spans="1:33">
      <c r="A62" s="696">
        <v>55</v>
      </c>
      <c r="B62" s="701" t="s">
        <v>614</v>
      </c>
      <c r="C62" s="702" t="s">
        <v>562</v>
      </c>
      <c r="D62" s="699">
        <v>1600600404</v>
      </c>
      <c r="E62" s="697">
        <v>6309061</v>
      </c>
      <c r="F62" s="697">
        <v>75125</v>
      </c>
      <c r="G62" s="697">
        <v>5098675.8</v>
      </c>
      <c r="H62" s="700">
        <f t="shared" si="0"/>
        <v>1135260.2</v>
      </c>
      <c r="I62" s="705">
        <f t="shared" si="1"/>
        <v>80.8151292244599</v>
      </c>
      <c r="J62" s="132">
        <f t="shared" si="2"/>
        <v>82.005876944287</v>
      </c>
      <c r="K62" s="685">
        <f t="shared" si="3"/>
        <v>5173800.8</v>
      </c>
      <c r="L62" s="706"/>
      <c r="M62" s="706"/>
      <c r="N62" s="706"/>
      <c r="Y62" s="707"/>
      <c r="Z62" s="707"/>
      <c r="AA62" s="707"/>
      <c r="AB62" s="707">
        <f t="shared" si="4"/>
        <v>0</v>
      </c>
      <c r="AF62" s="707">
        <f t="shared" si="5"/>
        <v>0</v>
      </c>
      <c r="AG62" s="685">
        <f t="shared" si="6"/>
        <v>0</v>
      </c>
    </row>
    <row r="63" ht="26.25" customHeight="1" spans="1:33">
      <c r="A63" s="696">
        <v>56</v>
      </c>
      <c r="B63" s="701" t="s">
        <v>614</v>
      </c>
      <c r="C63" s="702" t="s">
        <v>563</v>
      </c>
      <c r="D63" s="699">
        <v>1600600412</v>
      </c>
      <c r="E63" s="697">
        <v>4188218</v>
      </c>
      <c r="F63" s="697">
        <v>166712.53</v>
      </c>
      <c r="G63" s="697">
        <v>3298267.17</v>
      </c>
      <c r="H63" s="700">
        <f t="shared" si="0"/>
        <v>723238.3</v>
      </c>
      <c r="I63" s="705">
        <f t="shared" si="1"/>
        <v>78.7510862615079</v>
      </c>
      <c r="J63" s="132">
        <f t="shared" si="2"/>
        <v>82.7315984984545</v>
      </c>
      <c r="K63" s="685">
        <f t="shared" si="3"/>
        <v>3464979.7</v>
      </c>
      <c r="L63" s="706"/>
      <c r="M63" s="706"/>
      <c r="N63" s="706"/>
      <c r="Y63" s="707"/>
      <c r="Z63" s="707"/>
      <c r="AA63" s="707"/>
      <c r="AB63" s="707">
        <f t="shared" si="4"/>
        <v>0</v>
      </c>
      <c r="AF63" s="707">
        <f t="shared" si="5"/>
        <v>0</v>
      </c>
      <c r="AG63" s="685">
        <f t="shared" si="6"/>
        <v>0</v>
      </c>
    </row>
    <row r="64" ht="26.25" customHeight="1" spans="1:33">
      <c r="A64" s="696">
        <v>57</v>
      </c>
      <c r="B64" s="701" t="s">
        <v>614</v>
      </c>
      <c r="C64" s="702" t="s">
        <v>564</v>
      </c>
      <c r="D64" s="699">
        <v>1600600420</v>
      </c>
      <c r="E64" s="697">
        <v>9517748.03</v>
      </c>
      <c r="F64" s="697">
        <v>0</v>
      </c>
      <c r="G64" s="697">
        <v>7310133.45</v>
      </c>
      <c r="H64" s="700">
        <f t="shared" si="0"/>
        <v>2207614.58</v>
      </c>
      <c r="I64" s="705">
        <f t="shared" si="1"/>
        <v>76.8052844744199</v>
      </c>
      <c r="J64" s="132">
        <f t="shared" si="2"/>
        <v>76.8052844744199</v>
      </c>
      <c r="K64" s="685">
        <f t="shared" si="3"/>
        <v>7310133.45</v>
      </c>
      <c r="L64" s="706"/>
      <c r="M64" s="706"/>
      <c r="N64" s="706"/>
      <c r="Y64" s="707"/>
      <c r="Z64" s="707"/>
      <c r="AA64" s="707"/>
      <c r="AB64" s="707">
        <f t="shared" si="4"/>
        <v>0</v>
      </c>
      <c r="AF64" s="707">
        <f t="shared" si="5"/>
        <v>0</v>
      </c>
      <c r="AG64" s="685">
        <f t="shared" si="6"/>
        <v>0</v>
      </c>
    </row>
    <row r="65" ht="26.25" customHeight="1" spans="1:33">
      <c r="A65" s="696">
        <v>58</v>
      </c>
      <c r="B65" s="701" t="s">
        <v>614</v>
      </c>
      <c r="C65" s="702" t="s">
        <v>565</v>
      </c>
      <c r="D65" s="699">
        <v>1600600428</v>
      </c>
      <c r="E65" s="697">
        <v>4230184</v>
      </c>
      <c r="F65" s="697">
        <v>0</v>
      </c>
      <c r="G65" s="697">
        <v>3209356.88</v>
      </c>
      <c r="H65" s="700">
        <f t="shared" si="0"/>
        <v>1020827.12</v>
      </c>
      <c r="I65" s="705">
        <f t="shared" si="1"/>
        <v>75.8680208709598</v>
      </c>
      <c r="J65" s="132">
        <f t="shared" si="2"/>
        <v>75.8680208709598</v>
      </c>
      <c r="K65" s="685">
        <f t="shared" si="3"/>
        <v>3209356.88</v>
      </c>
      <c r="L65" s="706"/>
      <c r="M65" s="706"/>
      <c r="N65" s="706"/>
      <c r="Y65" s="707"/>
      <c r="Z65" s="707"/>
      <c r="AA65" s="707"/>
      <c r="AB65" s="707">
        <f t="shared" si="4"/>
        <v>0</v>
      </c>
      <c r="AF65" s="707">
        <f t="shared" si="5"/>
        <v>0</v>
      </c>
      <c r="AG65" s="685">
        <f t="shared" si="6"/>
        <v>0</v>
      </c>
    </row>
    <row r="66" ht="26.25" customHeight="1" spans="1:33">
      <c r="A66" s="696">
        <v>59</v>
      </c>
      <c r="B66" s="701" t="s">
        <v>614</v>
      </c>
      <c r="C66" s="702" t="s">
        <v>566</v>
      </c>
      <c r="D66" s="699">
        <v>1600600436</v>
      </c>
      <c r="E66" s="697">
        <v>10635450</v>
      </c>
      <c r="F66" s="697">
        <v>43800</v>
      </c>
      <c r="G66" s="697">
        <v>7782855.12</v>
      </c>
      <c r="H66" s="700">
        <f t="shared" si="0"/>
        <v>2808794.88</v>
      </c>
      <c r="I66" s="705">
        <f t="shared" si="1"/>
        <v>73.1784279931738</v>
      </c>
      <c r="J66" s="132">
        <f t="shared" si="2"/>
        <v>73.5902582401309</v>
      </c>
      <c r="K66" s="685">
        <f t="shared" si="3"/>
        <v>7826655.12</v>
      </c>
      <c r="L66" s="706"/>
      <c r="M66" s="706"/>
      <c r="N66" s="706"/>
      <c r="Y66" s="707"/>
      <c r="Z66" s="707"/>
      <c r="AA66" s="707"/>
      <c r="AB66" s="707">
        <f t="shared" si="4"/>
        <v>0</v>
      </c>
      <c r="AF66" s="707">
        <f t="shared" si="5"/>
        <v>0</v>
      </c>
      <c r="AG66" s="685">
        <f t="shared" si="6"/>
        <v>0</v>
      </c>
    </row>
    <row r="67" ht="26.25" customHeight="1" spans="1:33">
      <c r="A67" s="696">
        <v>60</v>
      </c>
      <c r="B67" s="701" t="s">
        <v>614</v>
      </c>
      <c r="C67" s="702" t="s">
        <v>567</v>
      </c>
      <c r="D67" s="699">
        <v>1600600444</v>
      </c>
      <c r="E67" s="697">
        <v>3489939</v>
      </c>
      <c r="F67" s="697">
        <v>0</v>
      </c>
      <c r="G67" s="697">
        <v>2718449.88</v>
      </c>
      <c r="H67" s="700">
        <f t="shared" si="0"/>
        <v>771489.12</v>
      </c>
      <c r="I67" s="705">
        <f t="shared" si="1"/>
        <v>77.8939081743263</v>
      </c>
      <c r="J67" s="132">
        <f t="shared" si="2"/>
        <v>77.8939081743263</v>
      </c>
      <c r="K67" s="685">
        <f t="shared" si="3"/>
        <v>2718449.88</v>
      </c>
      <c r="L67" s="706"/>
      <c r="M67" s="706"/>
      <c r="N67" s="706"/>
      <c r="Y67" s="707"/>
      <c r="Z67" s="707"/>
      <c r="AA67" s="707"/>
      <c r="AB67" s="707">
        <f t="shared" si="4"/>
        <v>0</v>
      </c>
      <c r="AF67" s="707">
        <f t="shared" si="5"/>
        <v>0</v>
      </c>
      <c r="AG67" s="685">
        <f t="shared" si="6"/>
        <v>0</v>
      </c>
    </row>
    <row r="68" ht="26.25" customHeight="1" spans="1:33">
      <c r="A68" s="696">
        <v>61</v>
      </c>
      <c r="B68" s="701" t="s">
        <v>614</v>
      </c>
      <c r="C68" s="702" t="s">
        <v>568</v>
      </c>
      <c r="D68" s="699">
        <v>1600600445</v>
      </c>
      <c r="E68" s="697">
        <v>3520557</v>
      </c>
      <c r="F68" s="697">
        <v>0</v>
      </c>
      <c r="G68" s="697">
        <v>2629973.21</v>
      </c>
      <c r="H68" s="700">
        <f t="shared" si="0"/>
        <v>890583.79</v>
      </c>
      <c r="I68" s="705">
        <f t="shared" si="1"/>
        <v>74.703327058758</v>
      </c>
      <c r="J68" s="132">
        <f t="shared" si="2"/>
        <v>74.703327058758</v>
      </c>
      <c r="K68" s="685">
        <f t="shared" si="3"/>
        <v>2629973.21</v>
      </c>
      <c r="L68" s="706"/>
      <c r="M68" s="706"/>
      <c r="N68" s="706"/>
      <c r="Y68" s="707"/>
      <c r="Z68" s="707"/>
      <c r="AA68" s="707"/>
      <c r="AB68" s="707">
        <f t="shared" si="4"/>
        <v>0</v>
      </c>
      <c r="AF68" s="707">
        <f t="shared" si="5"/>
        <v>0</v>
      </c>
      <c r="AG68" s="685">
        <f t="shared" si="6"/>
        <v>0</v>
      </c>
    </row>
    <row r="69" ht="26.25" customHeight="1" spans="1:33">
      <c r="A69" s="696">
        <v>62</v>
      </c>
      <c r="B69" s="701" t="s">
        <v>614</v>
      </c>
      <c r="C69" s="702" t="s">
        <v>569</v>
      </c>
      <c r="D69" s="699">
        <v>1600600446</v>
      </c>
      <c r="E69" s="697">
        <v>3311295</v>
      </c>
      <c r="F69" s="697">
        <v>0</v>
      </c>
      <c r="G69" s="697">
        <v>2480911.32</v>
      </c>
      <c r="H69" s="700">
        <f t="shared" si="0"/>
        <v>830383.68</v>
      </c>
      <c r="I69" s="705">
        <f t="shared" si="1"/>
        <v>74.9226909713571</v>
      </c>
      <c r="J69" s="132">
        <f t="shared" si="2"/>
        <v>74.9226909713571</v>
      </c>
      <c r="K69" s="685">
        <f t="shared" si="3"/>
        <v>2480911.32</v>
      </c>
      <c r="L69" s="706"/>
      <c r="M69" s="706"/>
      <c r="N69" s="706"/>
      <c r="Y69" s="707"/>
      <c r="Z69" s="707"/>
      <c r="AA69" s="707"/>
      <c r="AB69" s="707">
        <f t="shared" si="4"/>
        <v>0</v>
      </c>
      <c r="AF69" s="707">
        <f t="shared" si="5"/>
        <v>0</v>
      </c>
      <c r="AG69" s="685">
        <f t="shared" si="6"/>
        <v>0</v>
      </c>
    </row>
    <row r="70" ht="26.25" customHeight="1" spans="1:33">
      <c r="A70" s="696">
        <v>63</v>
      </c>
      <c r="B70" s="701" t="s">
        <v>614</v>
      </c>
      <c r="C70" s="702" t="s">
        <v>570</v>
      </c>
      <c r="D70" s="699">
        <v>1600600447</v>
      </c>
      <c r="E70" s="697">
        <v>3223898</v>
      </c>
      <c r="F70" s="697">
        <v>9173.18</v>
      </c>
      <c r="G70" s="697">
        <v>2765953.74</v>
      </c>
      <c r="H70" s="700">
        <f t="shared" si="0"/>
        <v>448771.08</v>
      </c>
      <c r="I70" s="705">
        <f t="shared" si="1"/>
        <v>85.7953241696853</v>
      </c>
      <c r="J70" s="132">
        <f t="shared" si="2"/>
        <v>86.0798610874166</v>
      </c>
      <c r="K70" s="685">
        <f t="shared" si="3"/>
        <v>2775126.92</v>
      </c>
      <c r="L70" s="706"/>
      <c r="M70" s="706"/>
      <c r="N70" s="706"/>
      <c r="Y70" s="707"/>
      <c r="Z70" s="707"/>
      <c r="AA70" s="707"/>
      <c r="AB70" s="707">
        <f t="shared" si="4"/>
        <v>0</v>
      </c>
      <c r="AF70" s="707">
        <f t="shared" si="5"/>
        <v>0</v>
      </c>
      <c r="AG70" s="685">
        <f t="shared" si="6"/>
        <v>0</v>
      </c>
    </row>
    <row r="71" ht="26.25" customHeight="1" spans="1:33">
      <c r="A71" s="696">
        <v>64</v>
      </c>
      <c r="B71" s="701" t="s">
        <v>614</v>
      </c>
      <c r="C71" s="702" t="s">
        <v>571</v>
      </c>
      <c r="D71" s="699">
        <v>1600600448</v>
      </c>
      <c r="E71" s="697">
        <v>3187997</v>
      </c>
      <c r="F71" s="697">
        <v>0</v>
      </c>
      <c r="G71" s="697">
        <v>2529133.48</v>
      </c>
      <c r="H71" s="700">
        <f t="shared" si="0"/>
        <v>658863.52</v>
      </c>
      <c r="I71" s="705">
        <f t="shared" si="1"/>
        <v>79.3329943535079</v>
      </c>
      <c r="J71" s="132">
        <f t="shared" si="2"/>
        <v>79.3329943535079</v>
      </c>
      <c r="K71" s="685">
        <f t="shared" si="3"/>
        <v>2529133.48</v>
      </c>
      <c r="L71" s="706"/>
      <c r="M71" s="706"/>
      <c r="N71" s="706"/>
      <c r="Y71" s="707"/>
      <c r="Z71" s="707"/>
      <c r="AA71" s="707"/>
      <c r="AB71" s="707">
        <f t="shared" si="4"/>
        <v>0</v>
      </c>
      <c r="AF71" s="707">
        <f t="shared" si="5"/>
        <v>0</v>
      </c>
      <c r="AG71" s="685">
        <f t="shared" si="6"/>
        <v>0</v>
      </c>
    </row>
    <row r="72" ht="26.25" customHeight="1" spans="1:33">
      <c r="A72" s="696">
        <v>65</v>
      </c>
      <c r="B72" s="701" t="s">
        <v>614</v>
      </c>
      <c r="C72" s="702" t="s">
        <v>572</v>
      </c>
      <c r="D72" s="699">
        <v>1600600449</v>
      </c>
      <c r="E72" s="697">
        <v>3209144</v>
      </c>
      <c r="F72" s="697">
        <v>45000</v>
      </c>
      <c r="G72" s="697">
        <v>2513373.7</v>
      </c>
      <c r="H72" s="700">
        <f t="shared" si="0"/>
        <v>650770.3</v>
      </c>
      <c r="I72" s="705">
        <f t="shared" si="1"/>
        <v>78.3191312075744</v>
      </c>
      <c r="J72" s="132">
        <f t="shared" si="2"/>
        <v>79.7213742979436</v>
      </c>
      <c r="K72" s="685">
        <f t="shared" si="3"/>
        <v>2558373.7</v>
      </c>
      <c r="L72" s="706"/>
      <c r="M72" s="706"/>
      <c r="N72" s="706"/>
      <c r="Y72" s="707"/>
      <c r="Z72" s="707"/>
      <c r="AA72" s="707"/>
      <c r="AB72" s="707">
        <f t="shared" si="4"/>
        <v>0</v>
      </c>
      <c r="AF72" s="707">
        <f t="shared" si="5"/>
        <v>0</v>
      </c>
      <c r="AG72" s="685">
        <f t="shared" si="6"/>
        <v>0</v>
      </c>
    </row>
    <row r="73" ht="26.25" customHeight="1" spans="1:33">
      <c r="A73" s="696">
        <v>66</v>
      </c>
      <c r="B73" s="701" t="s">
        <v>614</v>
      </c>
      <c r="C73" s="702" t="s">
        <v>573</v>
      </c>
      <c r="D73" s="699">
        <v>1600600450</v>
      </c>
      <c r="E73" s="697">
        <v>3555081</v>
      </c>
      <c r="F73" s="697">
        <v>4800</v>
      </c>
      <c r="G73" s="697">
        <v>2791389.51</v>
      </c>
      <c r="H73" s="700">
        <f t="shared" ref="H73:H103" si="7">+E73-F73-G73</f>
        <v>758891.49</v>
      </c>
      <c r="I73" s="705">
        <f t="shared" ref="I73:I104" si="8">G73*100/E73</f>
        <v>78.518309709399</v>
      </c>
      <c r="J73" s="132">
        <f t="shared" ref="J73:J103" si="9">+K73*100/E73</f>
        <v>78.6533277300855</v>
      </c>
      <c r="K73" s="685">
        <f t="shared" ref="K73:K104" si="10">+F73+G73</f>
        <v>2796189.51</v>
      </c>
      <c r="L73" s="706"/>
      <c r="M73" s="706"/>
      <c r="N73" s="706"/>
      <c r="Y73" s="707"/>
      <c r="Z73" s="707"/>
      <c r="AA73" s="707"/>
      <c r="AB73" s="707">
        <f t="shared" si="4"/>
        <v>0</v>
      </c>
      <c r="AF73" s="707">
        <f t="shared" si="5"/>
        <v>0</v>
      </c>
      <c r="AG73" s="685">
        <f t="shared" si="6"/>
        <v>0</v>
      </c>
    </row>
    <row r="74" ht="26.25" customHeight="1" spans="1:33">
      <c r="A74" s="696">
        <v>67</v>
      </c>
      <c r="B74" s="701" t="s">
        <v>614</v>
      </c>
      <c r="C74" s="702" t="s">
        <v>574</v>
      </c>
      <c r="D74" s="699">
        <v>1600600451</v>
      </c>
      <c r="E74" s="697">
        <v>9009984.58</v>
      </c>
      <c r="F74" s="697">
        <v>5580</v>
      </c>
      <c r="G74" s="697">
        <v>7229810.38</v>
      </c>
      <c r="H74" s="700">
        <f t="shared" si="7"/>
        <v>1774594.2</v>
      </c>
      <c r="I74" s="705">
        <f t="shared" si="8"/>
        <v>80.2422059195134</v>
      </c>
      <c r="J74" s="132">
        <f t="shared" si="9"/>
        <v>80.3041372130739</v>
      </c>
      <c r="K74" s="685">
        <f t="shared" si="10"/>
        <v>7235390.38</v>
      </c>
      <c r="L74" s="706"/>
      <c r="M74" s="706"/>
      <c r="N74" s="706"/>
      <c r="Y74" s="707"/>
      <c r="Z74" s="707"/>
      <c r="AA74" s="707"/>
      <c r="AB74" s="707">
        <f t="shared" si="4"/>
        <v>0</v>
      </c>
      <c r="AF74" s="707">
        <f t="shared" si="5"/>
        <v>0</v>
      </c>
      <c r="AG74" s="685">
        <f t="shared" si="6"/>
        <v>0</v>
      </c>
    </row>
    <row r="75" ht="26.25" customHeight="1" spans="1:33">
      <c r="A75" s="696">
        <v>68</v>
      </c>
      <c r="B75" s="701" t="s">
        <v>614</v>
      </c>
      <c r="C75" s="702" t="s">
        <v>575</v>
      </c>
      <c r="D75" s="699">
        <v>1600600453</v>
      </c>
      <c r="E75" s="697">
        <v>4009403</v>
      </c>
      <c r="F75" s="697">
        <v>33500</v>
      </c>
      <c r="G75" s="697">
        <v>3074705.58</v>
      </c>
      <c r="H75" s="700">
        <f t="shared" si="7"/>
        <v>901197.42</v>
      </c>
      <c r="I75" s="705">
        <f t="shared" si="8"/>
        <v>76.6873666727939</v>
      </c>
      <c r="J75" s="132">
        <f t="shared" si="9"/>
        <v>77.5229025368615</v>
      </c>
      <c r="K75" s="685">
        <f t="shared" si="10"/>
        <v>3108205.58</v>
      </c>
      <c r="L75" s="706"/>
      <c r="M75" s="706"/>
      <c r="N75" s="706"/>
      <c r="Y75" s="707"/>
      <c r="Z75" s="707"/>
      <c r="AA75" s="707"/>
      <c r="AB75" s="707">
        <f t="shared" si="4"/>
        <v>0</v>
      </c>
      <c r="AF75" s="707">
        <f t="shared" si="5"/>
        <v>0</v>
      </c>
      <c r="AG75" s="685">
        <f t="shared" si="6"/>
        <v>0</v>
      </c>
    </row>
    <row r="76" ht="26.25" customHeight="1" spans="1:33">
      <c r="A76" s="696">
        <v>69</v>
      </c>
      <c r="B76" s="701" t="s">
        <v>614</v>
      </c>
      <c r="C76" s="702" t="s">
        <v>576</v>
      </c>
      <c r="D76" s="699">
        <v>1600600454</v>
      </c>
      <c r="E76" s="697">
        <v>4586737.01</v>
      </c>
      <c r="F76" s="697">
        <v>58500</v>
      </c>
      <c r="G76" s="697">
        <v>3320673.47</v>
      </c>
      <c r="H76" s="700">
        <f t="shared" si="7"/>
        <v>1207563.54</v>
      </c>
      <c r="I76" s="705">
        <f t="shared" si="8"/>
        <v>72.3972938226079</v>
      </c>
      <c r="J76" s="132">
        <f t="shared" si="9"/>
        <v>73.6727103087168</v>
      </c>
      <c r="K76" s="685">
        <f t="shared" si="10"/>
        <v>3379173.47</v>
      </c>
      <c r="L76" s="706"/>
      <c r="M76" s="706"/>
      <c r="N76" s="706"/>
      <c r="Y76" s="707"/>
      <c r="Z76" s="707"/>
      <c r="AA76" s="707"/>
      <c r="AB76" s="707">
        <f t="shared" si="4"/>
        <v>0</v>
      </c>
      <c r="AF76" s="707">
        <f t="shared" si="5"/>
        <v>0</v>
      </c>
      <c r="AG76" s="685">
        <f t="shared" si="6"/>
        <v>0</v>
      </c>
    </row>
    <row r="77" ht="26.25" customHeight="1" spans="1:33">
      <c r="A77" s="696">
        <v>70</v>
      </c>
      <c r="B77" s="701" t="s">
        <v>614</v>
      </c>
      <c r="C77" s="702" t="s">
        <v>577</v>
      </c>
      <c r="D77" s="699">
        <v>1600600455</v>
      </c>
      <c r="E77" s="697">
        <v>4422288</v>
      </c>
      <c r="F77" s="697">
        <v>0</v>
      </c>
      <c r="G77" s="697">
        <v>3428058.67</v>
      </c>
      <c r="H77" s="700">
        <f t="shared" si="7"/>
        <v>994229.33</v>
      </c>
      <c r="I77" s="705">
        <f t="shared" si="8"/>
        <v>77.5177616202292</v>
      </c>
      <c r="J77" s="132">
        <f t="shared" si="9"/>
        <v>77.5177616202292</v>
      </c>
      <c r="K77" s="685">
        <f t="shared" si="10"/>
        <v>3428058.67</v>
      </c>
      <c r="L77" s="706"/>
      <c r="M77" s="706"/>
      <c r="N77" s="706"/>
      <c r="Y77" s="707"/>
      <c r="Z77" s="707"/>
      <c r="AA77" s="707"/>
      <c r="AB77" s="707">
        <f t="shared" si="4"/>
        <v>0</v>
      </c>
      <c r="AF77" s="707">
        <f t="shared" si="5"/>
        <v>0</v>
      </c>
      <c r="AG77" s="685">
        <f t="shared" si="6"/>
        <v>0</v>
      </c>
    </row>
    <row r="78" ht="26.25" customHeight="1" spans="1:33">
      <c r="A78" s="696">
        <v>71</v>
      </c>
      <c r="B78" s="701" t="s">
        <v>614</v>
      </c>
      <c r="C78" s="702" t="s">
        <v>578</v>
      </c>
      <c r="D78" s="699">
        <v>1600600456</v>
      </c>
      <c r="E78" s="697">
        <v>5692612</v>
      </c>
      <c r="F78" s="697">
        <v>0</v>
      </c>
      <c r="G78" s="697">
        <v>4699545.21</v>
      </c>
      <c r="H78" s="700">
        <f t="shared" si="7"/>
        <v>993066.79</v>
      </c>
      <c r="I78" s="705">
        <f t="shared" si="8"/>
        <v>82.5551646590353</v>
      </c>
      <c r="J78" s="132">
        <f t="shared" si="9"/>
        <v>82.5551646590353</v>
      </c>
      <c r="K78" s="685">
        <f t="shared" si="10"/>
        <v>4699545.21</v>
      </c>
      <c r="L78" s="706"/>
      <c r="M78" s="706"/>
      <c r="N78" s="706"/>
      <c r="Y78" s="707"/>
      <c r="Z78" s="707"/>
      <c r="AA78" s="707"/>
      <c r="AB78" s="707">
        <f t="shared" si="4"/>
        <v>0</v>
      </c>
      <c r="AF78" s="707">
        <f t="shared" si="5"/>
        <v>0</v>
      </c>
      <c r="AG78" s="685">
        <f t="shared" si="6"/>
        <v>0</v>
      </c>
    </row>
    <row r="79" ht="26.25" customHeight="1" spans="1:33">
      <c r="A79" s="696">
        <v>72</v>
      </c>
      <c r="B79" s="701" t="s">
        <v>614</v>
      </c>
      <c r="C79" s="702" t="s">
        <v>579</v>
      </c>
      <c r="D79" s="699">
        <v>1600600457</v>
      </c>
      <c r="E79" s="697">
        <v>4308495</v>
      </c>
      <c r="F79" s="697">
        <v>77790</v>
      </c>
      <c r="G79" s="697">
        <v>3283659.44</v>
      </c>
      <c r="H79" s="700">
        <f t="shared" si="7"/>
        <v>947045.56</v>
      </c>
      <c r="I79" s="705">
        <f t="shared" si="8"/>
        <v>76.2136068395112</v>
      </c>
      <c r="J79" s="132">
        <f t="shared" si="9"/>
        <v>78.0191096891142</v>
      </c>
      <c r="K79" s="685">
        <f t="shared" si="10"/>
        <v>3361449.44</v>
      </c>
      <c r="L79" s="706"/>
      <c r="M79" s="706"/>
      <c r="N79" s="706"/>
      <c r="Y79" s="707"/>
      <c r="Z79" s="707"/>
      <c r="AA79" s="707"/>
      <c r="AB79" s="707">
        <f t="shared" ref="AB79:AB103" si="11">SUM(Y79:AA79)</f>
        <v>0</v>
      </c>
      <c r="AF79" s="707">
        <f t="shared" ref="AF79:AF103" si="12">SUM(N79:AE79)</f>
        <v>0</v>
      </c>
      <c r="AG79" s="685">
        <f t="shared" ref="AG79:AG103" si="13">SUM(Y79:AA79)</f>
        <v>0</v>
      </c>
    </row>
    <row r="80" ht="26.25" customHeight="1" spans="1:33">
      <c r="A80" s="696">
        <v>73</v>
      </c>
      <c r="B80" s="701" t="s">
        <v>614</v>
      </c>
      <c r="C80" s="702" t="s">
        <v>580</v>
      </c>
      <c r="D80" s="699">
        <v>1600600458</v>
      </c>
      <c r="E80" s="697">
        <v>2919798</v>
      </c>
      <c r="F80" s="697">
        <v>6599.76</v>
      </c>
      <c r="G80" s="697">
        <v>2140887.58</v>
      </c>
      <c r="H80" s="700">
        <f t="shared" si="7"/>
        <v>772310.66</v>
      </c>
      <c r="I80" s="705">
        <f t="shared" si="8"/>
        <v>73.3231401624359</v>
      </c>
      <c r="J80" s="132">
        <f t="shared" si="9"/>
        <v>73.5491749771731</v>
      </c>
      <c r="K80" s="685">
        <f t="shared" si="10"/>
        <v>2147487.34</v>
      </c>
      <c r="L80" s="706"/>
      <c r="M80" s="706"/>
      <c r="N80" s="706"/>
      <c r="Y80" s="707"/>
      <c r="Z80" s="707"/>
      <c r="AA80" s="707"/>
      <c r="AB80" s="707">
        <f t="shared" si="11"/>
        <v>0</v>
      </c>
      <c r="AF80" s="707">
        <f t="shared" si="12"/>
        <v>0</v>
      </c>
      <c r="AG80" s="685">
        <f t="shared" si="13"/>
        <v>0</v>
      </c>
    </row>
    <row r="81" ht="26.25" customHeight="1" spans="1:33">
      <c r="A81" s="696">
        <v>74</v>
      </c>
      <c r="B81" s="701" t="s">
        <v>614</v>
      </c>
      <c r="C81" s="702" t="s">
        <v>581</v>
      </c>
      <c r="D81" s="699">
        <v>1600600459</v>
      </c>
      <c r="E81" s="697">
        <v>3343341</v>
      </c>
      <c r="F81" s="697">
        <v>1680</v>
      </c>
      <c r="G81" s="697">
        <v>2579451.57</v>
      </c>
      <c r="H81" s="700">
        <f t="shared" si="7"/>
        <v>762209.43</v>
      </c>
      <c r="I81" s="705">
        <f t="shared" si="8"/>
        <v>77.1519139088714</v>
      </c>
      <c r="J81" s="132">
        <f t="shared" si="9"/>
        <v>77.2021630458873</v>
      </c>
      <c r="K81" s="685">
        <f t="shared" si="10"/>
        <v>2581131.57</v>
      </c>
      <c r="L81" s="706"/>
      <c r="M81" s="706"/>
      <c r="N81" s="706"/>
      <c r="Y81" s="707"/>
      <c r="Z81" s="707"/>
      <c r="AA81" s="707"/>
      <c r="AB81" s="707">
        <f t="shared" si="11"/>
        <v>0</v>
      </c>
      <c r="AF81" s="707">
        <f t="shared" si="12"/>
        <v>0</v>
      </c>
      <c r="AG81" s="685">
        <f t="shared" si="13"/>
        <v>0</v>
      </c>
    </row>
    <row r="82" ht="26.25" customHeight="1" spans="1:33">
      <c r="A82" s="696">
        <v>75</v>
      </c>
      <c r="B82" s="701" t="s">
        <v>614</v>
      </c>
      <c r="C82" s="702" t="s">
        <v>582</v>
      </c>
      <c r="D82" s="699">
        <v>1600600460</v>
      </c>
      <c r="E82" s="697">
        <v>2789975</v>
      </c>
      <c r="F82" s="697">
        <v>0</v>
      </c>
      <c r="G82" s="697">
        <v>2130266.61</v>
      </c>
      <c r="H82" s="700">
        <f t="shared" si="7"/>
        <v>659708.39</v>
      </c>
      <c r="I82" s="705">
        <f t="shared" si="8"/>
        <v>76.3543261140333</v>
      </c>
      <c r="J82" s="132">
        <f t="shared" si="9"/>
        <v>76.3543261140333</v>
      </c>
      <c r="K82" s="685">
        <f t="shared" si="10"/>
        <v>2130266.61</v>
      </c>
      <c r="L82" s="706"/>
      <c r="M82" s="706"/>
      <c r="N82" s="706"/>
      <c r="Y82" s="707"/>
      <c r="Z82" s="707"/>
      <c r="AA82" s="707"/>
      <c r="AB82" s="707">
        <f t="shared" si="11"/>
        <v>0</v>
      </c>
      <c r="AF82" s="707">
        <f t="shared" si="12"/>
        <v>0</v>
      </c>
      <c r="AG82" s="685">
        <f t="shared" si="13"/>
        <v>0</v>
      </c>
    </row>
    <row r="83" ht="26.25" customHeight="1" spans="1:33">
      <c r="A83" s="696">
        <v>76</v>
      </c>
      <c r="B83" s="701" t="s">
        <v>614</v>
      </c>
      <c r="C83" s="702" t="s">
        <v>583</v>
      </c>
      <c r="D83" s="699">
        <v>1600600461</v>
      </c>
      <c r="E83" s="697">
        <v>2399628.2</v>
      </c>
      <c r="F83" s="697">
        <v>0</v>
      </c>
      <c r="G83" s="697">
        <v>1821536.69</v>
      </c>
      <c r="H83" s="700">
        <f t="shared" si="7"/>
        <v>578091.51</v>
      </c>
      <c r="I83" s="705">
        <f t="shared" si="8"/>
        <v>75.9091216714323</v>
      </c>
      <c r="J83" s="132">
        <f t="shared" si="9"/>
        <v>75.9091216714323</v>
      </c>
      <c r="K83" s="685">
        <f t="shared" si="10"/>
        <v>1821536.69</v>
      </c>
      <c r="L83" s="706"/>
      <c r="M83" s="706"/>
      <c r="N83" s="706"/>
      <c r="Y83" s="707"/>
      <c r="Z83" s="707"/>
      <c r="AA83" s="707"/>
      <c r="AB83" s="707">
        <f t="shared" si="11"/>
        <v>0</v>
      </c>
      <c r="AF83" s="707">
        <f t="shared" si="12"/>
        <v>0</v>
      </c>
      <c r="AG83" s="685">
        <f t="shared" si="13"/>
        <v>0</v>
      </c>
    </row>
    <row r="84" ht="26.25" customHeight="1" spans="1:33">
      <c r="A84" s="696">
        <v>77</v>
      </c>
      <c r="B84" s="701" t="s">
        <v>614</v>
      </c>
      <c r="C84" s="702" t="s">
        <v>626</v>
      </c>
      <c r="D84" s="699">
        <v>1600600462</v>
      </c>
      <c r="E84" s="697">
        <v>3931257</v>
      </c>
      <c r="F84" s="697">
        <v>10000</v>
      </c>
      <c r="G84" s="697">
        <v>2881187.65</v>
      </c>
      <c r="H84" s="700">
        <f t="shared" si="7"/>
        <v>1040069.35</v>
      </c>
      <c r="I84" s="705">
        <f t="shared" si="8"/>
        <v>73.2892214881907</v>
      </c>
      <c r="J84" s="132">
        <f t="shared" si="9"/>
        <v>73.5435930543335</v>
      </c>
      <c r="K84" s="685">
        <f t="shared" si="10"/>
        <v>2891187.65</v>
      </c>
      <c r="L84" s="706"/>
      <c r="M84" s="706"/>
      <c r="N84" s="706"/>
      <c r="Y84" s="707"/>
      <c r="Z84" s="707"/>
      <c r="AA84" s="707"/>
      <c r="AB84" s="707">
        <f t="shared" si="11"/>
        <v>0</v>
      </c>
      <c r="AF84" s="707">
        <f t="shared" si="12"/>
        <v>0</v>
      </c>
      <c r="AG84" s="685">
        <f t="shared" si="13"/>
        <v>0</v>
      </c>
    </row>
    <row r="85" ht="26.25" customHeight="1" spans="1:33">
      <c r="A85" s="696">
        <v>78</v>
      </c>
      <c r="B85" s="701" t="s">
        <v>614</v>
      </c>
      <c r="C85" s="702" t="s">
        <v>585</v>
      </c>
      <c r="D85" s="699">
        <v>1600600463</v>
      </c>
      <c r="E85" s="697">
        <v>3635204</v>
      </c>
      <c r="F85" s="697">
        <v>0</v>
      </c>
      <c r="G85" s="697">
        <v>2649807.37</v>
      </c>
      <c r="H85" s="700">
        <f t="shared" si="7"/>
        <v>985396.63</v>
      </c>
      <c r="I85" s="705">
        <f t="shared" si="8"/>
        <v>72.8929482361925</v>
      </c>
      <c r="J85" s="132">
        <f t="shared" si="9"/>
        <v>72.8929482361925</v>
      </c>
      <c r="K85" s="685">
        <f t="shared" si="10"/>
        <v>2649807.37</v>
      </c>
      <c r="L85" s="706"/>
      <c r="M85" s="706"/>
      <c r="N85" s="706"/>
      <c r="Y85" s="707"/>
      <c r="Z85" s="707"/>
      <c r="AA85" s="707"/>
      <c r="AB85" s="707">
        <f t="shared" si="11"/>
        <v>0</v>
      </c>
      <c r="AF85" s="707">
        <f t="shared" si="12"/>
        <v>0</v>
      </c>
      <c r="AG85" s="685">
        <f t="shared" si="13"/>
        <v>0</v>
      </c>
    </row>
    <row r="86" ht="26.25" customHeight="1" spans="1:33">
      <c r="A86" s="696">
        <v>79</v>
      </c>
      <c r="B86" s="701" t="s">
        <v>614</v>
      </c>
      <c r="C86" s="702" t="s">
        <v>586</v>
      </c>
      <c r="D86" s="699">
        <v>1600600464</v>
      </c>
      <c r="E86" s="697">
        <v>3263935</v>
      </c>
      <c r="F86" s="697">
        <v>0</v>
      </c>
      <c r="G86" s="697">
        <v>2486346.49</v>
      </c>
      <c r="H86" s="700">
        <f t="shared" si="7"/>
        <v>777588.51</v>
      </c>
      <c r="I86" s="705">
        <f t="shared" si="8"/>
        <v>76.1763481809534</v>
      </c>
      <c r="J86" s="132">
        <f t="shared" si="9"/>
        <v>76.1763481809534</v>
      </c>
      <c r="K86" s="685">
        <f t="shared" si="10"/>
        <v>2486346.49</v>
      </c>
      <c r="L86" s="706"/>
      <c r="M86" s="706"/>
      <c r="N86" s="706"/>
      <c r="Y86" s="707"/>
      <c r="Z86" s="707"/>
      <c r="AA86" s="707"/>
      <c r="AB86" s="707">
        <f t="shared" si="11"/>
        <v>0</v>
      </c>
      <c r="AF86" s="707">
        <f t="shared" si="12"/>
        <v>0</v>
      </c>
      <c r="AG86" s="685">
        <f t="shared" si="13"/>
        <v>0</v>
      </c>
    </row>
    <row r="87" ht="26.25" customHeight="1" spans="1:33">
      <c r="A87" s="696">
        <v>80</v>
      </c>
      <c r="B87" s="701" t="s">
        <v>614</v>
      </c>
      <c r="C87" s="702" t="s">
        <v>587</v>
      </c>
      <c r="D87" s="699">
        <v>1600600472</v>
      </c>
      <c r="E87" s="697">
        <v>2528516</v>
      </c>
      <c r="F87" s="697">
        <v>0</v>
      </c>
      <c r="G87" s="697">
        <v>1945112.74</v>
      </c>
      <c r="H87" s="700">
        <f t="shared" si="7"/>
        <v>583403.26</v>
      </c>
      <c r="I87" s="705">
        <f t="shared" si="8"/>
        <v>76.9270489093207</v>
      </c>
      <c r="J87" s="132">
        <f t="shared" si="9"/>
        <v>76.9270489093207</v>
      </c>
      <c r="K87" s="685">
        <f t="shared" si="10"/>
        <v>1945112.74</v>
      </c>
      <c r="L87" s="706"/>
      <c r="M87" s="706"/>
      <c r="N87" s="706"/>
      <c r="Y87" s="707"/>
      <c r="Z87" s="707"/>
      <c r="AA87" s="707"/>
      <c r="AB87" s="707">
        <f t="shared" si="11"/>
        <v>0</v>
      </c>
      <c r="AF87" s="707">
        <f t="shared" si="12"/>
        <v>0</v>
      </c>
      <c r="AG87" s="685">
        <f t="shared" si="13"/>
        <v>0</v>
      </c>
    </row>
    <row r="88" ht="26.25" customHeight="1" spans="1:33">
      <c r="A88" s="696">
        <v>81</v>
      </c>
      <c r="B88" s="701" t="s">
        <v>614</v>
      </c>
      <c r="C88" s="702" t="s">
        <v>588</v>
      </c>
      <c r="D88" s="699">
        <v>1600600480</v>
      </c>
      <c r="E88" s="697">
        <v>3739688</v>
      </c>
      <c r="F88" s="697">
        <v>0</v>
      </c>
      <c r="G88" s="697">
        <v>2721753.37</v>
      </c>
      <c r="H88" s="700">
        <f t="shared" si="7"/>
        <v>1017934.63</v>
      </c>
      <c r="I88" s="705">
        <f t="shared" si="8"/>
        <v>72.7802257835413</v>
      </c>
      <c r="J88" s="132">
        <f t="shared" si="9"/>
        <v>72.7802257835413</v>
      </c>
      <c r="K88" s="685">
        <f t="shared" si="10"/>
        <v>2721753.37</v>
      </c>
      <c r="L88" s="706"/>
      <c r="M88" s="706"/>
      <c r="N88" s="706"/>
      <c r="Y88" s="707"/>
      <c r="Z88" s="707"/>
      <c r="AA88" s="707"/>
      <c r="AB88" s="707">
        <f t="shared" si="11"/>
        <v>0</v>
      </c>
      <c r="AF88" s="707">
        <f t="shared" si="12"/>
        <v>0</v>
      </c>
      <c r="AG88" s="685">
        <f t="shared" si="13"/>
        <v>0</v>
      </c>
    </row>
    <row r="89" ht="26.25" customHeight="1" spans="1:33">
      <c r="A89" s="696">
        <v>82</v>
      </c>
      <c r="B89" s="701" t="s">
        <v>614</v>
      </c>
      <c r="C89" s="702" t="s">
        <v>589</v>
      </c>
      <c r="D89" s="699">
        <v>1600600488</v>
      </c>
      <c r="E89" s="697">
        <v>3140309</v>
      </c>
      <c r="F89" s="697">
        <v>0</v>
      </c>
      <c r="G89" s="697">
        <v>2179249.06</v>
      </c>
      <c r="H89" s="700">
        <f t="shared" si="7"/>
        <v>961059.94</v>
      </c>
      <c r="I89" s="705">
        <f t="shared" si="8"/>
        <v>69.3960072082078</v>
      </c>
      <c r="J89" s="132">
        <f t="shared" si="9"/>
        <v>69.3960072082078</v>
      </c>
      <c r="K89" s="685">
        <f t="shared" si="10"/>
        <v>2179249.06</v>
      </c>
      <c r="L89" s="706"/>
      <c r="M89" s="706"/>
      <c r="N89" s="706"/>
      <c r="Y89" s="707"/>
      <c r="Z89" s="707"/>
      <c r="AA89" s="707"/>
      <c r="AB89" s="707">
        <f t="shared" si="11"/>
        <v>0</v>
      </c>
      <c r="AF89" s="707">
        <f t="shared" si="12"/>
        <v>0</v>
      </c>
      <c r="AG89" s="685">
        <f t="shared" si="13"/>
        <v>0</v>
      </c>
    </row>
    <row r="90" ht="26.25" customHeight="1" spans="1:33">
      <c r="A90" s="696">
        <v>83</v>
      </c>
      <c r="B90" s="701" t="s">
        <v>614</v>
      </c>
      <c r="C90" s="702" t="s">
        <v>590</v>
      </c>
      <c r="D90" s="699">
        <v>1600600496</v>
      </c>
      <c r="E90" s="697">
        <v>2884720.74</v>
      </c>
      <c r="F90" s="697">
        <v>0</v>
      </c>
      <c r="G90" s="697">
        <v>2154935.99</v>
      </c>
      <c r="H90" s="700">
        <f t="shared" si="7"/>
        <v>729784.75</v>
      </c>
      <c r="I90" s="705">
        <f t="shared" si="8"/>
        <v>74.7017193074987</v>
      </c>
      <c r="J90" s="132">
        <f t="shared" si="9"/>
        <v>74.7017193074987</v>
      </c>
      <c r="K90" s="685">
        <f t="shared" si="10"/>
        <v>2154935.99</v>
      </c>
      <c r="L90" s="706"/>
      <c r="M90" s="706"/>
      <c r="N90" s="706"/>
      <c r="Y90" s="707"/>
      <c r="Z90" s="707"/>
      <c r="AA90" s="707"/>
      <c r="AB90" s="707">
        <f t="shared" si="11"/>
        <v>0</v>
      </c>
      <c r="AF90" s="707">
        <f t="shared" si="12"/>
        <v>0</v>
      </c>
      <c r="AG90" s="685">
        <f t="shared" si="13"/>
        <v>0</v>
      </c>
    </row>
    <row r="91" ht="26.25" customHeight="1" spans="1:33">
      <c r="A91" s="696">
        <v>84</v>
      </c>
      <c r="B91" s="701" t="s">
        <v>614</v>
      </c>
      <c r="C91" s="702" t="s">
        <v>591</v>
      </c>
      <c r="D91" s="699">
        <v>1600600504</v>
      </c>
      <c r="E91" s="697">
        <v>3651240</v>
      </c>
      <c r="F91" s="697">
        <v>30000</v>
      </c>
      <c r="G91" s="697">
        <v>2732180.33</v>
      </c>
      <c r="H91" s="700">
        <f t="shared" si="7"/>
        <v>889059.67</v>
      </c>
      <c r="I91" s="705">
        <f t="shared" si="8"/>
        <v>74.8288343138222</v>
      </c>
      <c r="J91" s="132">
        <f t="shared" si="9"/>
        <v>75.6504729899979</v>
      </c>
      <c r="K91" s="685">
        <f t="shared" si="10"/>
        <v>2762180.33</v>
      </c>
      <c r="L91" s="706"/>
      <c r="M91" s="706"/>
      <c r="N91" s="706"/>
      <c r="Y91" s="707"/>
      <c r="Z91" s="707"/>
      <c r="AA91" s="707"/>
      <c r="AB91" s="707">
        <f t="shared" si="11"/>
        <v>0</v>
      </c>
      <c r="AF91" s="707">
        <f t="shared" si="12"/>
        <v>0</v>
      </c>
      <c r="AG91" s="685">
        <f t="shared" si="13"/>
        <v>0</v>
      </c>
    </row>
    <row r="92" ht="26.25" customHeight="1" spans="1:33">
      <c r="A92" s="696">
        <v>85</v>
      </c>
      <c r="B92" s="701" t="s">
        <v>614</v>
      </c>
      <c r="C92" s="702" t="s">
        <v>592</v>
      </c>
      <c r="D92" s="699">
        <v>1600600512</v>
      </c>
      <c r="E92" s="697">
        <v>4096614</v>
      </c>
      <c r="F92" s="697">
        <v>0</v>
      </c>
      <c r="G92" s="697">
        <v>3264586.85</v>
      </c>
      <c r="H92" s="700">
        <f t="shared" si="7"/>
        <v>832027.15</v>
      </c>
      <c r="I92" s="705">
        <f t="shared" si="8"/>
        <v>79.6898816925393</v>
      </c>
      <c r="J92" s="132">
        <f t="shared" si="9"/>
        <v>79.6898816925393</v>
      </c>
      <c r="K92" s="685">
        <f t="shared" si="10"/>
        <v>3264586.85</v>
      </c>
      <c r="L92" s="706"/>
      <c r="M92" s="706"/>
      <c r="N92" s="706"/>
      <c r="Y92" s="707"/>
      <c r="Z92" s="707"/>
      <c r="AA92" s="707"/>
      <c r="AB92" s="707">
        <f t="shared" si="11"/>
        <v>0</v>
      </c>
      <c r="AF92" s="707">
        <f t="shared" si="12"/>
        <v>0</v>
      </c>
      <c r="AG92" s="685">
        <f t="shared" si="13"/>
        <v>0</v>
      </c>
    </row>
    <row r="93" ht="26.25" customHeight="1" spans="1:33">
      <c r="A93" s="696">
        <v>86</v>
      </c>
      <c r="B93" s="701" t="s">
        <v>614</v>
      </c>
      <c r="C93" s="702" t="s">
        <v>593</v>
      </c>
      <c r="D93" s="699">
        <v>1600600520</v>
      </c>
      <c r="E93" s="697">
        <v>4163786</v>
      </c>
      <c r="F93" s="697">
        <v>0</v>
      </c>
      <c r="G93" s="697">
        <v>3350347.46</v>
      </c>
      <c r="H93" s="700">
        <f t="shared" si="7"/>
        <v>813438.54</v>
      </c>
      <c r="I93" s="705">
        <f t="shared" si="8"/>
        <v>80.4639686093378</v>
      </c>
      <c r="J93" s="132">
        <f t="shared" si="9"/>
        <v>80.4639686093378</v>
      </c>
      <c r="K93" s="685">
        <f t="shared" si="10"/>
        <v>3350347.46</v>
      </c>
      <c r="L93" s="706"/>
      <c r="M93" s="706"/>
      <c r="N93" s="706"/>
      <c r="Y93" s="707"/>
      <c r="Z93" s="707"/>
      <c r="AA93" s="707"/>
      <c r="AB93" s="707">
        <f t="shared" si="11"/>
        <v>0</v>
      </c>
      <c r="AF93" s="707">
        <f t="shared" si="12"/>
        <v>0</v>
      </c>
      <c r="AG93" s="685">
        <f t="shared" si="13"/>
        <v>0</v>
      </c>
    </row>
    <row r="94" ht="26.25" customHeight="1" spans="1:33">
      <c r="A94" s="696">
        <v>87</v>
      </c>
      <c r="B94" s="701" t="s">
        <v>614</v>
      </c>
      <c r="C94" s="702" t="s">
        <v>594</v>
      </c>
      <c r="D94" s="699">
        <v>1600600528</v>
      </c>
      <c r="E94" s="697">
        <v>5404576</v>
      </c>
      <c r="F94" s="697">
        <v>59759.57</v>
      </c>
      <c r="G94" s="697">
        <v>4126405.42</v>
      </c>
      <c r="H94" s="700">
        <f t="shared" si="7"/>
        <v>1218411.01</v>
      </c>
      <c r="I94" s="705">
        <f t="shared" si="8"/>
        <v>76.3502154470582</v>
      </c>
      <c r="J94" s="132">
        <f t="shared" si="9"/>
        <v>77.4559371539969</v>
      </c>
      <c r="K94" s="685">
        <f t="shared" si="10"/>
        <v>4186164.99</v>
      </c>
      <c r="L94" s="706"/>
      <c r="M94" s="706"/>
      <c r="N94" s="706"/>
      <c r="Y94" s="707"/>
      <c r="Z94" s="707"/>
      <c r="AA94" s="707"/>
      <c r="AB94" s="707">
        <f t="shared" si="11"/>
        <v>0</v>
      </c>
      <c r="AF94" s="707">
        <f t="shared" si="12"/>
        <v>0</v>
      </c>
      <c r="AG94" s="685">
        <f t="shared" si="13"/>
        <v>0</v>
      </c>
    </row>
    <row r="95" ht="26.25" customHeight="1" spans="1:33">
      <c r="A95" s="696">
        <v>88</v>
      </c>
      <c r="B95" s="701" t="s">
        <v>614</v>
      </c>
      <c r="C95" s="702" t="s">
        <v>595</v>
      </c>
      <c r="D95" s="699">
        <v>1600600536</v>
      </c>
      <c r="E95" s="697">
        <v>3772423</v>
      </c>
      <c r="F95" s="697">
        <v>0</v>
      </c>
      <c r="G95" s="697">
        <v>2929598.72</v>
      </c>
      <c r="H95" s="700">
        <f t="shared" si="7"/>
        <v>842824.28</v>
      </c>
      <c r="I95" s="705">
        <f t="shared" si="8"/>
        <v>77.6582774519188</v>
      </c>
      <c r="J95" s="132">
        <f t="shared" si="9"/>
        <v>77.6582774519188</v>
      </c>
      <c r="K95" s="685">
        <f t="shared" si="10"/>
        <v>2929598.72</v>
      </c>
      <c r="L95" s="706"/>
      <c r="M95" s="706"/>
      <c r="N95" s="706"/>
      <c r="Y95" s="707"/>
      <c r="Z95" s="707"/>
      <c r="AA95" s="707"/>
      <c r="AB95" s="707">
        <f t="shared" si="11"/>
        <v>0</v>
      </c>
      <c r="AF95" s="707">
        <f t="shared" si="12"/>
        <v>0</v>
      </c>
      <c r="AG95" s="685">
        <f t="shared" si="13"/>
        <v>0</v>
      </c>
    </row>
    <row r="96" ht="26.25" customHeight="1" spans="1:33">
      <c r="A96" s="696">
        <v>89</v>
      </c>
      <c r="B96" s="701" t="s">
        <v>614</v>
      </c>
      <c r="C96" s="702" t="s">
        <v>596</v>
      </c>
      <c r="D96" s="699">
        <v>1600600544</v>
      </c>
      <c r="E96" s="697">
        <v>8843173</v>
      </c>
      <c r="F96" s="697">
        <v>263730</v>
      </c>
      <c r="G96" s="697">
        <v>6633298.73</v>
      </c>
      <c r="H96" s="700">
        <f t="shared" si="7"/>
        <v>1946144.27</v>
      </c>
      <c r="I96" s="705">
        <f t="shared" si="8"/>
        <v>75.0103919712981</v>
      </c>
      <c r="J96" s="132">
        <f t="shared" si="9"/>
        <v>77.9926925550365</v>
      </c>
      <c r="K96" s="685">
        <f t="shared" si="10"/>
        <v>6897028.73</v>
      </c>
      <c r="L96" s="706"/>
      <c r="M96" s="706"/>
      <c r="N96" s="706"/>
      <c r="Y96" s="707"/>
      <c r="Z96" s="707"/>
      <c r="AA96" s="707"/>
      <c r="AB96" s="707">
        <f t="shared" si="11"/>
        <v>0</v>
      </c>
      <c r="AF96" s="707">
        <f t="shared" si="12"/>
        <v>0</v>
      </c>
      <c r="AG96" s="685">
        <f t="shared" si="13"/>
        <v>0</v>
      </c>
    </row>
    <row r="97" ht="26.25" customHeight="1" spans="1:33">
      <c r="A97" s="696">
        <v>90</v>
      </c>
      <c r="B97" s="701" t="s">
        <v>614</v>
      </c>
      <c r="C97" s="702" t="s">
        <v>597</v>
      </c>
      <c r="D97" s="699">
        <v>1600600552</v>
      </c>
      <c r="E97" s="697">
        <v>4788047</v>
      </c>
      <c r="F97" s="697">
        <v>0</v>
      </c>
      <c r="G97" s="697">
        <v>3620715.16</v>
      </c>
      <c r="H97" s="700">
        <f t="shared" si="7"/>
        <v>1167331.84</v>
      </c>
      <c r="I97" s="705">
        <f t="shared" si="8"/>
        <v>75.6198750764142</v>
      </c>
      <c r="J97" s="132">
        <f t="shared" si="9"/>
        <v>75.6198750764142</v>
      </c>
      <c r="K97" s="685">
        <f t="shared" si="10"/>
        <v>3620715.16</v>
      </c>
      <c r="L97" s="706"/>
      <c r="M97" s="706"/>
      <c r="N97" s="706"/>
      <c r="Y97" s="707"/>
      <c r="Z97" s="707"/>
      <c r="AA97" s="707"/>
      <c r="AB97" s="707">
        <f t="shared" si="11"/>
        <v>0</v>
      </c>
      <c r="AF97" s="707">
        <f t="shared" si="12"/>
        <v>0</v>
      </c>
      <c r="AG97" s="685">
        <f t="shared" si="13"/>
        <v>0</v>
      </c>
    </row>
    <row r="98" ht="26.25" customHeight="1" spans="1:33">
      <c r="A98" s="696">
        <v>91</v>
      </c>
      <c r="B98" s="701" t="s">
        <v>614</v>
      </c>
      <c r="C98" s="702" t="s">
        <v>598</v>
      </c>
      <c r="D98" s="699">
        <v>1600600560</v>
      </c>
      <c r="E98" s="697">
        <v>4942340</v>
      </c>
      <c r="F98" s="697">
        <v>144000</v>
      </c>
      <c r="G98" s="697">
        <v>3595975.33</v>
      </c>
      <c r="H98" s="700">
        <f t="shared" si="7"/>
        <v>1202364.67</v>
      </c>
      <c r="I98" s="705">
        <f t="shared" si="8"/>
        <v>72.7585582942493</v>
      </c>
      <c r="J98" s="132">
        <f t="shared" si="9"/>
        <v>75.6721579251933</v>
      </c>
      <c r="K98" s="685">
        <f t="shared" si="10"/>
        <v>3739975.33</v>
      </c>
      <c r="L98" s="706"/>
      <c r="M98" s="706"/>
      <c r="N98" s="706"/>
      <c r="Y98" s="707"/>
      <c r="Z98" s="707"/>
      <c r="AA98" s="707"/>
      <c r="AB98" s="707">
        <f t="shared" si="11"/>
        <v>0</v>
      </c>
      <c r="AF98" s="707">
        <f t="shared" si="12"/>
        <v>0</v>
      </c>
      <c r="AG98" s="685">
        <f t="shared" si="13"/>
        <v>0</v>
      </c>
    </row>
    <row r="99" ht="26.25" customHeight="1" spans="1:33">
      <c r="A99" s="696">
        <v>92</v>
      </c>
      <c r="B99" s="701" t="s">
        <v>616</v>
      </c>
      <c r="C99" s="702" t="s">
        <v>527</v>
      </c>
      <c r="D99" s="699">
        <v>1600600711</v>
      </c>
      <c r="E99" s="697">
        <v>10651623</v>
      </c>
      <c r="F99" s="697">
        <v>50354</v>
      </c>
      <c r="G99" s="697">
        <v>7833373.93</v>
      </c>
      <c r="H99" s="700">
        <f t="shared" si="7"/>
        <v>2767895.07</v>
      </c>
      <c r="I99" s="705">
        <f t="shared" si="8"/>
        <v>73.5415995290107</v>
      </c>
      <c r="J99" s="132">
        <f t="shared" si="9"/>
        <v>74.0143349985256</v>
      </c>
      <c r="K99" s="685">
        <f t="shared" si="10"/>
        <v>7883727.93</v>
      </c>
      <c r="L99" s="706"/>
      <c r="M99" s="706"/>
      <c r="N99" s="706"/>
      <c r="Y99" s="707"/>
      <c r="Z99" s="707"/>
      <c r="AA99" s="707"/>
      <c r="AB99" s="707">
        <f t="shared" si="11"/>
        <v>0</v>
      </c>
      <c r="AF99" s="707">
        <f t="shared" si="12"/>
        <v>0</v>
      </c>
      <c r="AG99" s="685">
        <f t="shared" si="13"/>
        <v>0</v>
      </c>
    </row>
    <row r="100" ht="26.25" customHeight="1" spans="1:33">
      <c r="A100" s="696">
        <v>93</v>
      </c>
      <c r="B100" s="701" t="s">
        <v>616</v>
      </c>
      <c r="C100" s="702" t="s">
        <v>599</v>
      </c>
      <c r="D100" s="699">
        <v>1600600717</v>
      </c>
      <c r="E100" s="697">
        <v>13993794</v>
      </c>
      <c r="F100" s="697">
        <v>76863.04</v>
      </c>
      <c r="G100" s="697">
        <v>9624821.39</v>
      </c>
      <c r="H100" s="700">
        <f t="shared" si="7"/>
        <v>4292109.57</v>
      </c>
      <c r="I100" s="705">
        <f t="shared" si="8"/>
        <v>68.7792130568736</v>
      </c>
      <c r="J100" s="132">
        <f t="shared" si="9"/>
        <v>69.328478252574</v>
      </c>
      <c r="K100" s="685">
        <f t="shared" si="10"/>
        <v>9701684.43</v>
      </c>
      <c r="L100" s="706"/>
      <c r="M100" s="706"/>
      <c r="N100" s="706"/>
      <c r="Y100" s="707"/>
      <c r="Z100" s="707"/>
      <c r="AA100" s="707"/>
      <c r="AB100" s="707">
        <f t="shared" si="11"/>
        <v>0</v>
      </c>
      <c r="AF100" s="707">
        <f t="shared" si="12"/>
        <v>0</v>
      </c>
      <c r="AG100" s="685">
        <f t="shared" si="13"/>
        <v>0</v>
      </c>
    </row>
    <row r="101" ht="26.25" customHeight="1" spans="1:33">
      <c r="A101" s="696">
        <v>94</v>
      </c>
      <c r="B101" s="701" t="s">
        <v>614</v>
      </c>
      <c r="C101" s="702" t="s">
        <v>600</v>
      </c>
      <c r="D101" s="699">
        <v>1600600723</v>
      </c>
      <c r="E101" s="697">
        <v>3764233</v>
      </c>
      <c r="F101" s="697">
        <v>0</v>
      </c>
      <c r="G101" s="697">
        <v>3154089.92</v>
      </c>
      <c r="H101" s="700">
        <f t="shared" si="7"/>
        <v>610143.08</v>
      </c>
      <c r="I101" s="705">
        <f t="shared" si="8"/>
        <v>83.791038439969</v>
      </c>
      <c r="J101" s="132">
        <f t="shared" si="9"/>
        <v>83.791038439969</v>
      </c>
      <c r="K101" s="685">
        <f t="shared" si="10"/>
        <v>3154089.92</v>
      </c>
      <c r="L101" s="706"/>
      <c r="M101" s="706"/>
      <c r="N101" s="706"/>
      <c r="Y101" s="707"/>
      <c r="Z101" s="707"/>
      <c r="AA101" s="707"/>
      <c r="AB101" s="707">
        <f t="shared" si="11"/>
        <v>0</v>
      </c>
      <c r="AF101" s="707">
        <f t="shared" si="12"/>
        <v>0</v>
      </c>
      <c r="AG101" s="685">
        <f t="shared" si="13"/>
        <v>0</v>
      </c>
    </row>
    <row r="102" ht="26.25" customHeight="1" spans="1:33">
      <c r="A102" s="696">
        <v>95</v>
      </c>
      <c r="B102" s="701" t="s">
        <v>616</v>
      </c>
      <c r="C102" s="702" t="s">
        <v>573</v>
      </c>
      <c r="D102" s="699">
        <v>1600600724</v>
      </c>
      <c r="E102" s="697">
        <v>13183634</v>
      </c>
      <c r="F102" s="697">
        <v>26827.2</v>
      </c>
      <c r="G102" s="697">
        <v>9659910.52</v>
      </c>
      <c r="H102" s="700">
        <f t="shared" si="7"/>
        <v>3496896.28</v>
      </c>
      <c r="I102" s="705">
        <f t="shared" si="8"/>
        <v>73.2719864644301</v>
      </c>
      <c r="J102" s="132">
        <f t="shared" si="9"/>
        <v>73.4754751231716</v>
      </c>
      <c r="K102" s="685">
        <f t="shared" si="10"/>
        <v>9686737.72</v>
      </c>
      <c r="L102" s="706"/>
      <c r="M102" s="706"/>
      <c r="N102" s="706"/>
      <c r="Y102" s="707"/>
      <c r="Z102" s="707"/>
      <c r="AA102" s="707"/>
      <c r="AB102" s="707">
        <f t="shared" si="11"/>
        <v>0</v>
      </c>
      <c r="AF102" s="707">
        <f t="shared" si="12"/>
        <v>0</v>
      </c>
      <c r="AG102" s="685">
        <f t="shared" si="13"/>
        <v>0</v>
      </c>
    </row>
    <row r="103" ht="26.25" customHeight="1" spans="1:35">
      <c r="A103" s="708">
        <v>96</v>
      </c>
      <c r="B103" s="709" t="s">
        <v>616</v>
      </c>
      <c r="C103" s="710" t="s">
        <v>602</v>
      </c>
      <c r="D103" s="699">
        <v>1600600725</v>
      </c>
      <c r="E103" s="711">
        <f>9305219+47000</f>
        <v>9352219</v>
      </c>
      <c r="F103" s="711">
        <v>400025.8</v>
      </c>
      <c r="G103" s="711">
        <v>7099693.8</v>
      </c>
      <c r="H103" s="712">
        <f t="shared" si="7"/>
        <v>1852499.4</v>
      </c>
      <c r="I103" s="720">
        <f t="shared" si="8"/>
        <v>75.9145375017416</v>
      </c>
      <c r="J103" s="721">
        <f t="shared" si="9"/>
        <v>80.1918731800442</v>
      </c>
      <c r="K103" s="685">
        <f t="shared" si="10"/>
        <v>7499719.6</v>
      </c>
      <c r="L103" s="706"/>
      <c r="M103" s="706"/>
      <c r="N103" s="706">
        <v>4133632</v>
      </c>
      <c r="O103" s="685">
        <v>2419853</v>
      </c>
      <c r="P103" s="685">
        <v>35000</v>
      </c>
      <c r="Q103" s="685">
        <v>17000</v>
      </c>
      <c r="R103" s="685">
        <v>-35000</v>
      </c>
      <c r="S103" s="685">
        <v>35000</v>
      </c>
      <c r="T103" s="685">
        <v>5410</v>
      </c>
      <c r="U103" s="685">
        <v>0</v>
      </c>
      <c r="V103" s="685">
        <v>-54064</v>
      </c>
      <c r="W103" s="685">
        <v>2066816</v>
      </c>
      <c r="X103" s="685">
        <v>493812</v>
      </c>
      <c r="Y103" s="707">
        <v>5000</v>
      </c>
      <c r="Z103" s="707">
        <v>12000</v>
      </c>
      <c r="AA103" s="707">
        <v>30000</v>
      </c>
      <c r="AB103" s="707">
        <f t="shared" si="11"/>
        <v>47000</v>
      </c>
      <c r="AC103" s="685">
        <v>185300</v>
      </c>
      <c r="AD103" s="685">
        <v>-12540</v>
      </c>
      <c r="AE103" s="685">
        <v>15000</v>
      </c>
      <c r="AF103" s="707">
        <f t="shared" si="12"/>
        <v>9399219</v>
      </c>
      <c r="AG103" s="685">
        <f t="shared" si="13"/>
        <v>47000</v>
      </c>
      <c r="AI103" s="685">
        <f>+E14+E103</f>
        <v>19470310</v>
      </c>
    </row>
    <row r="104" s="683" customFormat="1" ht="29.25" customHeight="1" spans="1:35">
      <c r="A104" s="713" t="s">
        <v>627</v>
      </c>
      <c r="B104" s="714"/>
      <c r="C104" s="715"/>
      <c r="D104" s="715"/>
      <c r="E104" s="716">
        <f>SUM(E8:E103)</f>
        <v>1474414000</v>
      </c>
      <c r="F104" s="716">
        <f>SUM(F8:F103)</f>
        <v>77218547.87</v>
      </c>
      <c r="G104" s="716">
        <f>SUM(G8:G103)</f>
        <v>1230208801.26</v>
      </c>
      <c r="H104" s="716">
        <f>SUM(H8:H103)</f>
        <v>166986650.87</v>
      </c>
      <c r="I104" s="722">
        <f t="shared" si="8"/>
        <v>83.4371351099488</v>
      </c>
      <c r="J104" s="723">
        <f t="shared" ref="J104" si="14">+K104*100/E104</f>
        <v>88.6743715896621</v>
      </c>
      <c r="K104" s="685">
        <f t="shared" si="10"/>
        <v>1307427349.13</v>
      </c>
      <c r="AG104" s="683">
        <f>SUM(AG14:AG103)</f>
        <v>187600</v>
      </c>
      <c r="AI104" s="683">
        <v>19482910</v>
      </c>
    </row>
    <row r="105" ht="26.25" customHeight="1" spans="1:35">
      <c r="A105" s="717" t="s">
        <v>165</v>
      </c>
      <c r="B105" s="718"/>
      <c r="C105" s="718" t="s">
        <v>628</v>
      </c>
      <c r="D105" s="718"/>
      <c r="E105" s="718"/>
      <c r="F105" s="718"/>
      <c r="AI105" s="685">
        <f>+AI104-AI103</f>
        <v>12600</v>
      </c>
    </row>
    <row r="106" ht="21.75" spans="3:10">
      <c r="C106" s="719" t="s">
        <v>629</v>
      </c>
      <c r="D106" s="719"/>
      <c r="E106" s="719"/>
      <c r="F106" s="719"/>
      <c r="G106" s="719"/>
      <c r="H106" s="719"/>
      <c r="I106" s="719"/>
      <c r="J106" s="719"/>
    </row>
    <row r="107" ht="21.75" spans="3:10">
      <c r="C107" s="719"/>
      <c r="D107" s="719"/>
      <c r="E107" s="719"/>
      <c r="F107" s="719"/>
      <c r="G107" s="719"/>
      <c r="H107" s="719"/>
      <c r="I107" s="719"/>
      <c r="J107" s="719"/>
    </row>
  </sheetData>
  <mergeCells count="10">
    <mergeCell ref="A1:J1"/>
    <mergeCell ref="A2:J2"/>
    <mergeCell ref="A3:I3"/>
    <mergeCell ref="A4:J4"/>
    <mergeCell ref="A5:J5"/>
    <mergeCell ref="A104:C104"/>
    <mergeCell ref="C106:J106"/>
    <mergeCell ref="C107:J107"/>
    <mergeCell ref="A6:A7"/>
    <mergeCell ref="B6:C7"/>
  </mergeCells>
  <pageMargins left="0.47244094488189" right="0.354330708661417" top="0.748031496062992" bottom="0.748031496062992" header="0.31496062992126" footer="0.31496062992126"/>
  <pageSetup paperSize="9" scale="80" orientation="portrait"/>
  <headerFooter>
    <oddFooter>&amp;Lกลุ่มงานบัญชีและงบประมาณ&amp;Rหน้าที่ &amp;P จาก &amp;N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R193"/>
  <sheetViews>
    <sheetView zoomScale="80" zoomScaleNormal="80" workbookViewId="0">
      <selection activeCell="G10" sqref="G10"/>
    </sheetView>
  </sheetViews>
  <sheetFormatPr defaultColWidth="9" defaultRowHeight="23.25"/>
  <cols>
    <col min="1" max="1" width="8" style="297" customWidth="1"/>
    <col min="2" max="2" width="27.2857142857143" style="298" customWidth="1"/>
    <col min="3" max="3" width="13.4285714285714" style="297" customWidth="1"/>
    <col min="4" max="4" width="14.4285714285714" style="297" customWidth="1"/>
    <col min="5" max="5" width="19.5714285714286" style="299" customWidth="1"/>
    <col min="6" max="6" width="12.4285714285714" style="297" customWidth="1"/>
    <col min="7" max="7" width="33.4285714285714" style="300" customWidth="1"/>
    <col min="8" max="8" width="18.8571428571429" style="298" customWidth="1"/>
    <col min="9" max="9" width="17.8571428571429" style="298" customWidth="1"/>
    <col min="10" max="10" width="17.7142857142857" style="301" customWidth="1"/>
    <col min="11" max="11" width="8.71428571428571" style="296" customWidth="1"/>
    <col min="12" max="12" width="30.2857142857143" style="302" customWidth="1"/>
    <col min="13" max="13" width="25" style="298" hidden="1" customWidth="1"/>
    <col min="14" max="15" width="12.2857142857143" style="298" hidden="1" customWidth="1"/>
    <col min="16" max="16" width="24.7142857142857" style="298" hidden="1" customWidth="1"/>
    <col min="17" max="17" width="14.1428571428571" style="298" hidden="1" customWidth="1"/>
    <col min="18" max="64" width="9" style="298" hidden="1" customWidth="1"/>
    <col min="65" max="261" width="9.14285714285714" style="298"/>
    <col min="262" max="262" width="6.42857142857143" style="298" customWidth="1"/>
    <col min="263" max="263" width="32" style="298" customWidth="1"/>
    <col min="264" max="264" width="14.5714285714286" style="298" customWidth="1"/>
    <col min="265" max="265" width="12.4285714285714" style="298" customWidth="1"/>
    <col min="266" max="266" width="51.2857142857143" style="298" customWidth="1"/>
    <col min="267" max="267" width="14.8571428571429" style="298" customWidth="1"/>
    <col min="268" max="268" width="25" style="298" customWidth="1"/>
    <col min="269" max="270" width="12.2857142857143" style="298" customWidth="1"/>
    <col min="271" max="271" width="24.7142857142857" style="298" customWidth="1"/>
    <col min="272" max="272" width="15" style="298" customWidth="1"/>
    <col min="273" max="517" width="9.14285714285714" style="298"/>
    <col min="518" max="518" width="6.42857142857143" style="298" customWidth="1"/>
    <col min="519" max="519" width="32" style="298" customWidth="1"/>
    <col min="520" max="520" width="14.5714285714286" style="298" customWidth="1"/>
    <col min="521" max="521" width="12.4285714285714" style="298" customWidth="1"/>
    <col min="522" max="522" width="51.2857142857143" style="298" customWidth="1"/>
    <col min="523" max="523" width="14.8571428571429" style="298" customWidth="1"/>
    <col min="524" max="524" width="25" style="298" customWidth="1"/>
    <col min="525" max="526" width="12.2857142857143" style="298" customWidth="1"/>
    <col min="527" max="527" width="24.7142857142857" style="298" customWidth="1"/>
    <col min="528" max="528" width="15" style="298" customWidth="1"/>
    <col min="529" max="773" width="9.14285714285714" style="298"/>
    <col min="774" max="774" width="6.42857142857143" style="298" customWidth="1"/>
    <col min="775" max="775" width="32" style="298" customWidth="1"/>
    <col min="776" max="776" width="14.5714285714286" style="298" customWidth="1"/>
    <col min="777" max="777" width="12.4285714285714" style="298" customWidth="1"/>
    <col min="778" max="778" width="51.2857142857143" style="298" customWidth="1"/>
    <col min="779" max="779" width="14.8571428571429" style="298" customWidth="1"/>
    <col min="780" max="780" width="25" style="298" customWidth="1"/>
    <col min="781" max="782" width="12.2857142857143" style="298" customWidth="1"/>
    <col min="783" max="783" width="24.7142857142857" style="298" customWidth="1"/>
    <col min="784" max="784" width="15" style="298" customWidth="1"/>
    <col min="785" max="1029" width="9.14285714285714" style="298"/>
    <col min="1030" max="1030" width="6.42857142857143" style="298" customWidth="1"/>
    <col min="1031" max="1031" width="32" style="298" customWidth="1"/>
    <col min="1032" max="1032" width="14.5714285714286" style="298" customWidth="1"/>
    <col min="1033" max="1033" width="12.4285714285714" style="298" customWidth="1"/>
    <col min="1034" max="1034" width="51.2857142857143" style="298" customWidth="1"/>
    <col min="1035" max="1035" width="14.8571428571429" style="298" customWidth="1"/>
    <col min="1036" max="1036" width="25" style="298" customWidth="1"/>
    <col min="1037" max="1038" width="12.2857142857143" style="298" customWidth="1"/>
    <col min="1039" max="1039" width="24.7142857142857" style="298" customWidth="1"/>
    <col min="1040" max="1040" width="15" style="298" customWidth="1"/>
    <col min="1041" max="1285" width="9.14285714285714" style="298"/>
    <col min="1286" max="1286" width="6.42857142857143" style="298" customWidth="1"/>
    <col min="1287" max="1287" width="32" style="298" customWidth="1"/>
    <col min="1288" max="1288" width="14.5714285714286" style="298" customWidth="1"/>
    <col min="1289" max="1289" width="12.4285714285714" style="298" customWidth="1"/>
    <col min="1290" max="1290" width="51.2857142857143" style="298" customWidth="1"/>
    <col min="1291" max="1291" width="14.8571428571429" style="298" customWidth="1"/>
    <col min="1292" max="1292" width="25" style="298" customWidth="1"/>
    <col min="1293" max="1294" width="12.2857142857143" style="298" customWidth="1"/>
    <col min="1295" max="1295" width="24.7142857142857" style="298" customWidth="1"/>
    <col min="1296" max="1296" width="15" style="298" customWidth="1"/>
    <col min="1297" max="1541" width="9.14285714285714" style="298"/>
    <col min="1542" max="1542" width="6.42857142857143" style="298" customWidth="1"/>
    <col min="1543" max="1543" width="32" style="298" customWidth="1"/>
    <col min="1544" max="1544" width="14.5714285714286" style="298" customWidth="1"/>
    <col min="1545" max="1545" width="12.4285714285714" style="298" customWidth="1"/>
    <col min="1546" max="1546" width="51.2857142857143" style="298" customWidth="1"/>
    <col min="1547" max="1547" width="14.8571428571429" style="298" customWidth="1"/>
    <col min="1548" max="1548" width="25" style="298" customWidth="1"/>
    <col min="1549" max="1550" width="12.2857142857143" style="298" customWidth="1"/>
    <col min="1551" max="1551" width="24.7142857142857" style="298" customWidth="1"/>
    <col min="1552" max="1552" width="15" style="298" customWidth="1"/>
    <col min="1553" max="1797" width="9.14285714285714" style="298"/>
    <col min="1798" max="1798" width="6.42857142857143" style="298" customWidth="1"/>
    <col min="1799" max="1799" width="32" style="298" customWidth="1"/>
    <col min="1800" max="1800" width="14.5714285714286" style="298" customWidth="1"/>
    <col min="1801" max="1801" width="12.4285714285714" style="298" customWidth="1"/>
    <col min="1802" max="1802" width="51.2857142857143" style="298" customWidth="1"/>
    <col min="1803" max="1803" width="14.8571428571429" style="298" customWidth="1"/>
    <col min="1804" max="1804" width="25" style="298" customWidth="1"/>
    <col min="1805" max="1806" width="12.2857142857143" style="298" customWidth="1"/>
    <col min="1807" max="1807" width="24.7142857142857" style="298" customWidth="1"/>
    <col min="1808" max="1808" width="15" style="298" customWidth="1"/>
    <col min="1809" max="2053" width="9.14285714285714" style="298"/>
    <col min="2054" max="2054" width="6.42857142857143" style="298" customWidth="1"/>
    <col min="2055" max="2055" width="32" style="298" customWidth="1"/>
    <col min="2056" max="2056" width="14.5714285714286" style="298" customWidth="1"/>
    <col min="2057" max="2057" width="12.4285714285714" style="298" customWidth="1"/>
    <col min="2058" max="2058" width="51.2857142857143" style="298" customWidth="1"/>
    <col min="2059" max="2059" width="14.8571428571429" style="298" customWidth="1"/>
    <col min="2060" max="2060" width="25" style="298" customWidth="1"/>
    <col min="2061" max="2062" width="12.2857142857143" style="298" customWidth="1"/>
    <col min="2063" max="2063" width="24.7142857142857" style="298" customWidth="1"/>
    <col min="2064" max="2064" width="15" style="298" customWidth="1"/>
    <col min="2065" max="2309" width="9.14285714285714" style="298"/>
    <col min="2310" max="2310" width="6.42857142857143" style="298" customWidth="1"/>
    <col min="2311" max="2311" width="32" style="298" customWidth="1"/>
    <col min="2312" max="2312" width="14.5714285714286" style="298" customWidth="1"/>
    <col min="2313" max="2313" width="12.4285714285714" style="298" customWidth="1"/>
    <col min="2314" max="2314" width="51.2857142857143" style="298" customWidth="1"/>
    <col min="2315" max="2315" width="14.8571428571429" style="298" customWidth="1"/>
    <col min="2316" max="2316" width="25" style="298" customWidth="1"/>
    <col min="2317" max="2318" width="12.2857142857143" style="298" customWidth="1"/>
    <col min="2319" max="2319" width="24.7142857142857" style="298" customWidth="1"/>
    <col min="2320" max="2320" width="15" style="298" customWidth="1"/>
    <col min="2321" max="2565" width="9.14285714285714" style="298"/>
    <col min="2566" max="2566" width="6.42857142857143" style="298" customWidth="1"/>
    <col min="2567" max="2567" width="32" style="298" customWidth="1"/>
    <col min="2568" max="2568" width="14.5714285714286" style="298" customWidth="1"/>
    <col min="2569" max="2569" width="12.4285714285714" style="298" customWidth="1"/>
    <col min="2570" max="2570" width="51.2857142857143" style="298" customWidth="1"/>
    <col min="2571" max="2571" width="14.8571428571429" style="298" customWidth="1"/>
    <col min="2572" max="2572" width="25" style="298" customWidth="1"/>
    <col min="2573" max="2574" width="12.2857142857143" style="298" customWidth="1"/>
    <col min="2575" max="2575" width="24.7142857142857" style="298" customWidth="1"/>
    <col min="2576" max="2576" width="15" style="298" customWidth="1"/>
    <col min="2577" max="2821" width="9.14285714285714" style="298"/>
    <col min="2822" max="2822" width="6.42857142857143" style="298" customWidth="1"/>
    <col min="2823" max="2823" width="32" style="298" customWidth="1"/>
    <col min="2824" max="2824" width="14.5714285714286" style="298" customWidth="1"/>
    <col min="2825" max="2825" width="12.4285714285714" style="298" customWidth="1"/>
    <col min="2826" max="2826" width="51.2857142857143" style="298" customWidth="1"/>
    <col min="2827" max="2827" width="14.8571428571429" style="298" customWidth="1"/>
    <col min="2828" max="2828" width="25" style="298" customWidth="1"/>
    <col min="2829" max="2830" width="12.2857142857143" style="298" customWidth="1"/>
    <col min="2831" max="2831" width="24.7142857142857" style="298" customWidth="1"/>
    <col min="2832" max="2832" width="15" style="298" customWidth="1"/>
    <col min="2833" max="3077" width="9.14285714285714" style="298"/>
    <col min="3078" max="3078" width="6.42857142857143" style="298" customWidth="1"/>
    <col min="3079" max="3079" width="32" style="298" customWidth="1"/>
    <col min="3080" max="3080" width="14.5714285714286" style="298" customWidth="1"/>
    <col min="3081" max="3081" width="12.4285714285714" style="298" customWidth="1"/>
    <col min="3082" max="3082" width="51.2857142857143" style="298" customWidth="1"/>
    <col min="3083" max="3083" width="14.8571428571429" style="298" customWidth="1"/>
    <col min="3084" max="3084" width="25" style="298" customWidth="1"/>
    <col min="3085" max="3086" width="12.2857142857143" style="298" customWidth="1"/>
    <col min="3087" max="3087" width="24.7142857142857" style="298" customWidth="1"/>
    <col min="3088" max="3088" width="15" style="298" customWidth="1"/>
    <col min="3089" max="3333" width="9.14285714285714" style="298"/>
    <col min="3334" max="3334" width="6.42857142857143" style="298" customWidth="1"/>
    <col min="3335" max="3335" width="32" style="298" customWidth="1"/>
    <col min="3336" max="3336" width="14.5714285714286" style="298" customWidth="1"/>
    <col min="3337" max="3337" width="12.4285714285714" style="298" customWidth="1"/>
    <col min="3338" max="3338" width="51.2857142857143" style="298" customWidth="1"/>
    <col min="3339" max="3339" width="14.8571428571429" style="298" customWidth="1"/>
    <col min="3340" max="3340" width="25" style="298" customWidth="1"/>
    <col min="3341" max="3342" width="12.2857142857143" style="298" customWidth="1"/>
    <col min="3343" max="3343" width="24.7142857142857" style="298" customWidth="1"/>
    <col min="3344" max="3344" width="15" style="298" customWidth="1"/>
    <col min="3345" max="3589" width="9.14285714285714" style="298"/>
    <col min="3590" max="3590" width="6.42857142857143" style="298" customWidth="1"/>
    <col min="3591" max="3591" width="32" style="298" customWidth="1"/>
    <col min="3592" max="3592" width="14.5714285714286" style="298" customWidth="1"/>
    <col min="3593" max="3593" width="12.4285714285714" style="298" customWidth="1"/>
    <col min="3594" max="3594" width="51.2857142857143" style="298" customWidth="1"/>
    <col min="3595" max="3595" width="14.8571428571429" style="298" customWidth="1"/>
    <col min="3596" max="3596" width="25" style="298" customWidth="1"/>
    <col min="3597" max="3598" width="12.2857142857143" style="298" customWidth="1"/>
    <col min="3599" max="3599" width="24.7142857142857" style="298" customWidth="1"/>
    <col min="3600" max="3600" width="15" style="298" customWidth="1"/>
    <col min="3601" max="3845" width="9.14285714285714" style="298"/>
    <col min="3846" max="3846" width="6.42857142857143" style="298" customWidth="1"/>
    <col min="3847" max="3847" width="32" style="298" customWidth="1"/>
    <col min="3848" max="3848" width="14.5714285714286" style="298" customWidth="1"/>
    <col min="3849" max="3849" width="12.4285714285714" style="298" customWidth="1"/>
    <col min="3850" max="3850" width="51.2857142857143" style="298" customWidth="1"/>
    <col min="3851" max="3851" width="14.8571428571429" style="298" customWidth="1"/>
    <col min="3852" max="3852" width="25" style="298" customWidth="1"/>
    <col min="3853" max="3854" width="12.2857142857143" style="298" customWidth="1"/>
    <col min="3855" max="3855" width="24.7142857142857" style="298" customWidth="1"/>
    <col min="3856" max="3856" width="15" style="298" customWidth="1"/>
    <col min="3857" max="4101" width="9.14285714285714" style="298"/>
    <col min="4102" max="4102" width="6.42857142857143" style="298" customWidth="1"/>
    <col min="4103" max="4103" width="32" style="298" customWidth="1"/>
    <col min="4104" max="4104" width="14.5714285714286" style="298" customWidth="1"/>
    <col min="4105" max="4105" width="12.4285714285714" style="298" customWidth="1"/>
    <col min="4106" max="4106" width="51.2857142857143" style="298" customWidth="1"/>
    <col min="4107" max="4107" width="14.8571428571429" style="298" customWidth="1"/>
    <col min="4108" max="4108" width="25" style="298" customWidth="1"/>
    <col min="4109" max="4110" width="12.2857142857143" style="298" customWidth="1"/>
    <col min="4111" max="4111" width="24.7142857142857" style="298" customWidth="1"/>
    <col min="4112" max="4112" width="15" style="298" customWidth="1"/>
    <col min="4113" max="4357" width="9.14285714285714" style="298"/>
    <col min="4358" max="4358" width="6.42857142857143" style="298" customWidth="1"/>
    <col min="4359" max="4359" width="32" style="298" customWidth="1"/>
    <col min="4360" max="4360" width="14.5714285714286" style="298" customWidth="1"/>
    <col min="4361" max="4361" width="12.4285714285714" style="298" customWidth="1"/>
    <col min="4362" max="4362" width="51.2857142857143" style="298" customWidth="1"/>
    <col min="4363" max="4363" width="14.8571428571429" style="298" customWidth="1"/>
    <col min="4364" max="4364" width="25" style="298" customWidth="1"/>
    <col min="4365" max="4366" width="12.2857142857143" style="298" customWidth="1"/>
    <col min="4367" max="4367" width="24.7142857142857" style="298" customWidth="1"/>
    <col min="4368" max="4368" width="15" style="298" customWidth="1"/>
    <col min="4369" max="4613" width="9.14285714285714" style="298"/>
    <col min="4614" max="4614" width="6.42857142857143" style="298" customWidth="1"/>
    <col min="4615" max="4615" width="32" style="298" customWidth="1"/>
    <col min="4616" max="4616" width="14.5714285714286" style="298" customWidth="1"/>
    <col min="4617" max="4617" width="12.4285714285714" style="298" customWidth="1"/>
    <col min="4618" max="4618" width="51.2857142857143" style="298" customWidth="1"/>
    <col min="4619" max="4619" width="14.8571428571429" style="298" customWidth="1"/>
    <col min="4620" max="4620" width="25" style="298" customWidth="1"/>
    <col min="4621" max="4622" width="12.2857142857143" style="298" customWidth="1"/>
    <col min="4623" max="4623" width="24.7142857142857" style="298" customWidth="1"/>
    <col min="4624" max="4624" width="15" style="298" customWidth="1"/>
    <col min="4625" max="4869" width="9.14285714285714" style="298"/>
    <col min="4870" max="4870" width="6.42857142857143" style="298" customWidth="1"/>
    <col min="4871" max="4871" width="32" style="298" customWidth="1"/>
    <col min="4872" max="4872" width="14.5714285714286" style="298" customWidth="1"/>
    <col min="4873" max="4873" width="12.4285714285714" style="298" customWidth="1"/>
    <col min="4874" max="4874" width="51.2857142857143" style="298" customWidth="1"/>
    <col min="4875" max="4875" width="14.8571428571429" style="298" customWidth="1"/>
    <col min="4876" max="4876" width="25" style="298" customWidth="1"/>
    <col min="4877" max="4878" width="12.2857142857143" style="298" customWidth="1"/>
    <col min="4879" max="4879" width="24.7142857142857" style="298" customWidth="1"/>
    <col min="4880" max="4880" width="15" style="298" customWidth="1"/>
    <col min="4881" max="5125" width="9.14285714285714" style="298"/>
    <col min="5126" max="5126" width="6.42857142857143" style="298" customWidth="1"/>
    <col min="5127" max="5127" width="32" style="298" customWidth="1"/>
    <col min="5128" max="5128" width="14.5714285714286" style="298" customWidth="1"/>
    <col min="5129" max="5129" width="12.4285714285714" style="298" customWidth="1"/>
    <col min="5130" max="5130" width="51.2857142857143" style="298" customWidth="1"/>
    <col min="5131" max="5131" width="14.8571428571429" style="298" customWidth="1"/>
    <col min="5132" max="5132" width="25" style="298" customWidth="1"/>
    <col min="5133" max="5134" width="12.2857142857143" style="298" customWidth="1"/>
    <col min="5135" max="5135" width="24.7142857142857" style="298" customWidth="1"/>
    <col min="5136" max="5136" width="15" style="298" customWidth="1"/>
    <col min="5137" max="5381" width="9.14285714285714" style="298"/>
    <col min="5382" max="5382" width="6.42857142857143" style="298" customWidth="1"/>
    <col min="5383" max="5383" width="32" style="298" customWidth="1"/>
    <col min="5384" max="5384" width="14.5714285714286" style="298" customWidth="1"/>
    <col min="5385" max="5385" width="12.4285714285714" style="298" customWidth="1"/>
    <col min="5386" max="5386" width="51.2857142857143" style="298" customWidth="1"/>
    <col min="5387" max="5387" width="14.8571428571429" style="298" customWidth="1"/>
    <col min="5388" max="5388" width="25" style="298" customWidth="1"/>
    <col min="5389" max="5390" width="12.2857142857143" style="298" customWidth="1"/>
    <col min="5391" max="5391" width="24.7142857142857" style="298" customWidth="1"/>
    <col min="5392" max="5392" width="15" style="298" customWidth="1"/>
    <col min="5393" max="5637" width="9.14285714285714" style="298"/>
    <col min="5638" max="5638" width="6.42857142857143" style="298" customWidth="1"/>
    <col min="5639" max="5639" width="32" style="298" customWidth="1"/>
    <col min="5640" max="5640" width="14.5714285714286" style="298" customWidth="1"/>
    <col min="5641" max="5641" width="12.4285714285714" style="298" customWidth="1"/>
    <col min="5642" max="5642" width="51.2857142857143" style="298" customWidth="1"/>
    <col min="5643" max="5643" width="14.8571428571429" style="298" customWidth="1"/>
    <col min="5644" max="5644" width="25" style="298" customWidth="1"/>
    <col min="5645" max="5646" width="12.2857142857143" style="298" customWidth="1"/>
    <col min="5647" max="5647" width="24.7142857142857" style="298" customWidth="1"/>
    <col min="5648" max="5648" width="15" style="298" customWidth="1"/>
    <col min="5649" max="5893" width="9.14285714285714" style="298"/>
    <col min="5894" max="5894" width="6.42857142857143" style="298" customWidth="1"/>
    <col min="5895" max="5895" width="32" style="298" customWidth="1"/>
    <col min="5896" max="5896" width="14.5714285714286" style="298" customWidth="1"/>
    <col min="5897" max="5897" width="12.4285714285714" style="298" customWidth="1"/>
    <col min="5898" max="5898" width="51.2857142857143" style="298" customWidth="1"/>
    <col min="5899" max="5899" width="14.8571428571429" style="298" customWidth="1"/>
    <col min="5900" max="5900" width="25" style="298" customWidth="1"/>
    <col min="5901" max="5902" width="12.2857142857143" style="298" customWidth="1"/>
    <col min="5903" max="5903" width="24.7142857142857" style="298" customWidth="1"/>
    <col min="5904" max="5904" width="15" style="298" customWidth="1"/>
    <col min="5905" max="6149" width="9.14285714285714" style="298"/>
    <col min="6150" max="6150" width="6.42857142857143" style="298" customWidth="1"/>
    <col min="6151" max="6151" width="32" style="298" customWidth="1"/>
    <col min="6152" max="6152" width="14.5714285714286" style="298" customWidth="1"/>
    <col min="6153" max="6153" width="12.4285714285714" style="298" customWidth="1"/>
    <col min="6154" max="6154" width="51.2857142857143" style="298" customWidth="1"/>
    <col min="6155" max="6155" width="14.8571428571429" style="298" customWidth="1"/>
    <col min="6156" max="6156" width="25" style="298" customWidth="1"/>
    <col min="6157" max="6158" width="12.2857142857143" style="298" customWidth="1"/>
    <col min="6159" max="6159" width="24.7142857142857" style="298" customWidth="1"/>
    <col min="6160" max="6160" width="15" style="298" customWidth="1"/>
    <col min="6161" max="6405" width="9.14285714285714" style="298"/>
    <col min="6406" max="6406" width="6.42857142857143" style="298" customWidth="1"/>
    <col min="6407" max="6407" width="32" style="298" customWidth="1"/>
    <col min="6408" max="6408" width="14.5714285714286" style="298" customWidth="1"/>
    <col min="6409" max="6409" width="12.4285714285714" style="298" customWidth="1"/>
    <col min="6410" max="6410" width="51.2857142857143" style="298" customWidth="1"/>
    <col min="6411" max="6411" width="14.8571428571429" style="298" customWidth="1"/>
    <col min="6412" max="6412" width="25" style="298" customWidth="1"/>
    <col min="6413" max="6414" width="12.2857142857143" style="298" customWidth="1"/>
    <col min="6415" max="6415" width="24.7142857142857" style="298" customWidth="1"/>
    <col min="6416" max="6416" width="15" style="298" customWidth="1"/>
    <col min="6417" max="6661" width="9.14285714285714" style="298"/>
    <col min="6662" max="6662" width="6.42857142857143" style="298" customWidth="1"/>
    <col min="6663" max="6663" width="32" style="298" customWidth="1"/>
    <col min="6664" max="6664" width="14.5714285714286" style="298" customWidth="1"/>
    <col min="6665" max="6665" width="12.4285714285714" style="298" customWidth="1"/>
    <col min="6666" max="6666" width="51.2857142857143" style="298" customWidth="1"/>
    <col min="6667" max="6667" width="14.8571428571429" style="298" customWidth="1"/>
    <col min="6668" max="6668" width="25" style="298" customWidth="1"/>
    <col min="6669" max="6670" width="12.2857142857143" style="298" customWidth="1"/>
    <col min="6671" max="6671" width="24.7142857142857" style="298" customWidth="1"/>
    <col min="6672" max="6672" width="15" style="298" customWidth="1"/>
    <col min="6673" max="6917" width="9.14285714285714" style="298"/>
    <col min="6918" max="6918" width="6.42857142857143" style="298" customWidth="1"/>
    <col min="6919" max="6919" width="32" style="298" customWidth="1"/>
    <col min="6920" max="6920" width="14.5714285714286" style="298" customWidth="1"/>
    <col min="6921" max="6921" width="12.4285714285714" style="298" customWidth="1"/>
    <col min="6922" max="6922" width="51.2857142857143" style="298" customWidth="1"/>
    <col min="6923" max="6923" width="14.8571428571429" style="298" customWidth="1"/>
    <col min="6924" max="6924" width="25" style="298" customWidth="1"/>
    <col min="6925" max="6926" width="12.2857142857143" style="298" customWidth="1"/>
    <col min="6927" max="6927" width="24.7142857142857" style="298" customWidth="1"/>
    <col min="6928" max="6928" width="15" style="298" customWidth="1"/>
    <col min="6929" max="7173" width="9.14285714285714" style="298"/>
    <col min="7174" max="7174" width="6.42857142857143" style="298" customWidth="1"/>
    <col min="7175" max="7175" width="32" style="298" customWidth="1"/>
    <col min="7176" max="7176" width="14.5714285714286" style="298" customWidth="1"/>
    <col min="7177" max="7177" width="12.4285714285714" style="298" customWidth="1"/>
    <col min="7178" max="7178" width="51.2857142857143" style="298" customWidth="1"/>
    <col min="7179" max="7179" width="14.8571428571429" style="298" customWidth="1"/>
    <col min="7180" max="7180" width="25" style="298" customWidth="1"/>
    <col min="7181" max="7182" width="12.2857142857143" style="298" customWidth="1"/>
    <col min="7183" max="7183" width="24.7142857142857" style="298" customWidth="1"/>
    <col min="7184" max="7184" width="15" style="298" customWidth="1"/>
    <col min="7185" max="7429" width="9.14285714285714" style="298"/>
    <col min="7430" max="7430" width="6.42857142857143" style="298" customWidth="1"/>
    <col min="7431" max="7431" width="32" style="298" customWidth="1"/>
    <col min="7432" max="7432" width="14.5714285714286" style="298" customWidth="1"/>
    <col min="7433" max="7433" width="12.4285714285714" style="298" customWidth="1"/>
    <col min="7434" max="7434" width="51.2857142857143" style="298" customWidth="1"/>
    <col min="7435" max="7435" width="14.8571428571429" style="298" customWidth="1"/>
    <col min="7436" max="7436" width="25" style="298" customWidth="1"/>
    <col min="7437" max="7438" width="12.2857142857143" style="298" customWidth="1"/>
    <col min="7439" max="7439" width="24.7142857142857" style="298" customWidth="1"/>
    <col min="7440" max="7440" width="15" style="298" customWidth="1"/>
    <col min="7441" max="7685" width="9.14285714285714" style="298"/>
    <col min="7686" max="7686" width="6.42857142857143" style="298" customWidth="1"/>
    <col min="7687" max="7687" width="32" style="298" customWidth="1"/>
    <col min="7688" max="7688" width="14.5714285714286" style="298" customWidth="1"/>
    <col min="7689" max="7689" width="12.4285714285714" style="298" customWidth="1"/>
    <col min="7690" max="7690" width="51.2857142857143" style="298" customWidth="1"/>
    <col min="7691" max="7691" width="14.8571428571429" style="298" customWidth="1"/>
    <col min="7692" max="7692" width="25" style="298" customWidth="1"/>
    <col min="7693" max="7694" width="12.2857142857143" style="298" customWidth="1"/>
    <col min="7695" max="7695" width="24.7142857142857" style="298" customWidth="1"/>
    <col min="7696" max="7696" width="15" style="298" customWidth="1"/>
    <col min="7697" max="7941" width="9.14285714285714" style="298"/>
    <col min="7942" max="7942" width="6.42857142857143" style="298" customWidth="1"/>
    <col min="7943" max="7943" width="32" style="298" customWidth="1"/>
    <col min="7944" max="7944" width="14.5714285714286" style="298" customWidth="1"/>
    <col min="7945" max="7945" width="12.4285714285714" style="298" customWidth="1"/>
    <col min="7946" max="7946" width="51.2857142857143" style="298" customWidth="1"/>
    <col min="7947" max="7947" width="14.8571428571429" style="298" customWidth="1"/>
    <col min="7948" max="7948" width="25" style="298" customWidth="1"/>
    <col min="7949" max="7950" width="12.2857142857143" style="298" customWidth="1"/>
    <col min="7951" max="7951" width="24.7142857142857" style="298" customWidth="1"/>
    <col min="7952" max="7952" width="15" style="298" customWidth="1"/>
    <col min="7953" max="8197" width="9.14285714285714" style="298"/>
    <col min="8198" max="8198" width="6.42857142857143" style="298" customWidth="1"/>
    <col min="8199" max="8199" width="32" style="298" customWidth="1"/>
    <col min="8200" max="8200" width="14.5714285714286" style="298" customWidth="1"/>
    <col min="8201" max="8201" width="12.4285714285714" style="298" customWidth="1"/>
    <col min="8202" max="8202" width="51.2857142857143" style="298" customWidth="1"/>
    <col min="8203" max="8203" width="14.8571428571429" style="298" customWidth="1"/>
    <col min="8204" max="8204" width="25" style="298" customWidth="1"/>
    <col min="8205" max="8206" width="12.2857142857143" style="298" customWidth="1"/>
    <col min="8207" max="8207" width="24.7142857142857" style="298" customWidth="1"/>
    <col min="8208" max="8208" width="15" style="298" customWidth="1"/>
    <col min="8209" max="8453" width="9.14285714285714" style="298"/>
    <col min="8454" max="8454" width="6.42857142857143" style="298" customWidth="1"/>
    <col min="8455" max="8455" width="32" style="298" customWidth="1"/>
    <col min="8456" max="8456" width="14.5714285714286" style="298" customWidth="1"/>
    <col min="8457" max="8457" width="12.4285714285714" style="298" customWidth="1"/>
    <col min="8458" max="8458" width="51.2857142857143" style="298" customWidth="1"/>
    <col min="8459" max="8459" width="14.8571428571429" style="298" customWidth="1"/>
    <col min="8460" max="8460" width="25" style="298" customWidth="1"/>
    <col min="8461" max="8462" width="12.2857142857143" style="298" customWidth="1"/>
    <col min="8463" max="8463" width="24.7142857142857" style="298" customWidth="1"/>
    <col min="8464" max="8464" width="15" style="298" customWidth="1"/>
    <col min="8465" max="8709" width="9.14285714285714" style="298"/>
    <col min="8710" max="8710" width="6.42857142857143" style="298" customWidth="1"/>
    <col min="8711" max="8711" width="32" style="298" customWidth="1"/>
    <col min="8712" max="8712" width="14.5714285714286" style="298" customWidth="1"/>
    <col min="8713" max="8713" width="12.4285714285714" style="298" customWidth="1"/>
    <col min="8714" max="8714" width="51.2857142857143" style="298" customWidth="1"/>
    <col min="8715" max="8715" width="14.8571428571429" style="298" customWidth="1"/>
    <col min="8716" max="8716" width="25" style="298" customWidth="1"/>
    <col min="8717" max="8718" width="12.2857142857143" style="298" customWidth="1"/>
    <col min="8719" max="8719" width="24.7142857142857" style="298" customWidth="1"/>
    <col min="8720" max="8720" width="15" style="298" customWidth="1"/>
    <col min="8721" max="8965" width="9.14285714285714" style="298"/>
    <col min="8966" max="8966" width="6.42857142857143" style="298" customWidth="1"/>
    <col min="8967" max="8967" width="32" style="298" customWidth="1"/>
    <col min="8968" max="8968" width="14.5714285714286" style="298" customWidth="1"/>
    <col min="8969" max="8969" width="12.4285714285714" style="298" customWidth="1"/>
    <col min="8970" max="8970" width="51.2857142857143" style="298" customWidth="1"/>
    <col min="8971" max="8971" width="14.8571428571429" style="298" customWidth="1"/>
    <col min="8972" max="8972" width="25" style="298" customWidth="1"/>
    <col min="8973" max="8974" width="12.2857142857143" style="298" customWidth="1"/>
    <col min="8975" max="8975" width="24.7142857142857" style="298" customWidth="1"/>
    <col min="8976" max="8976" width="15" style="298" customWidth="1"/>
    <col min="8977" max="9221" width="9.14285714285714" style="298"/>
    <col min="9222" max="9222" width="6.42857142857143" style="298" customWidth="1"/>
    <col min="9223" max="9223" width="32" style="298" customWidth="1"/>
    <col min="9224" max="9224" width="14.5714285714286" style="298" customWidth="1"/>
    <col min="9225" max="9225" width="12.4285714285714" style="298" customWidth="1"/>
    <col min="9226" max="9226" width="51.2857142857143" style="298" customWidth="1"/>
    <col min="9227" max="9227" width="14.8571428571429" style="298" customWidth="1"/>
    <col min="9228" max="9228" width="25" style="298" customWidth="1"/>
    <col min="9229" max="9230" width="12.2857142857143" style="298" customWidth="1"/>
    <col min="9231" max="9231" width="24.7142857142857" style="298" customWidth="1"/>
    <col min="9232" max="9232" width="15" style="298" customWidth="1"/>
    <col min="9233" max="9477" width="9.14285714285714" style="298"/>
    <col min="9478" max="9478" width="6.42857142857143" style="298" customWidth="1"/>
    <col min="9479" max="9479" width="32" style="298" customWidth="1"/>
    <col min="9480" max="9480" width="14.5714285714286" style="298" customWidth="1"/>
    <col min="9481" max="9481" width="12.4285714285714" style="298" customWidth="1"/>
    <col min="9482" max="9482" width="51.2857142857143" style="298" customWidth="1"/>
    <col min="9483" max="9483" width="14.8571428571429" style="298" customWidth="1"/>
    <col min="9484" max="9484" width="25" style="298" customWidth="1"/>
    <col min="9485" max="9486" width="12.2857142857143" style="298" customWidth="1"/>
    <col min="9487" max="9487" width="24.7142857142857" style="298" customWidth="1"/>
    <col min="9488" max="9488" width="15" style="298" customWidth="1"/>
    <col min="9489" max="9733" width="9.14285714285714" style="298"/>
    <col min="9734" max="9734" width="6.42857142857143" style="298" customWidth="1"/>
    <col min="9735" max="9735" width="32" style="298" customWidth="1"/>
    <col min="9736" max="9736" width="14.5714285714286" style="298" customWidth="1"/>
    <col min="9737" max="9737" width="12.4285714285714" style="298" customWidth="1"/>
    <col min="9738" max="9738" width="51.2857142857143" style="298" customWidth="1"/>
    <col min="9739" max="9739" width="14.8571428571429" style="298" customWidth="1"/>
    <col min="9740" max="9740" width="25" style="298" customWidth="1"/>
    <col min="9741" max="9742" width="12.2857142857143" style="298" customWidth="1"/>
    <col min="9743" max="9743" width="24.7142857142857" style="298" customWidth="1"/>
    <col min="9744" max="9744" width="15" style="298" customWidth="1"/>
    <col min="9745" max="9989" width="9.14285714285714" style="298"/>
    <col min="9990" max="9990" width="6.42857142857143" style="298" customWidth="1"/>
    <col min="9991" max="9991" width="32" style="298" customWidth="1"/>
    <col min="9992" max="9992" width="14.5714285714286" style="298" customWidth="1"/>
    <col min="9993" max="9993" width="12.4285714285714" style="298" customWidth="1"/>
    <col min="9994" max="9994" width="51.2857142857143" style="298" customWidth="1"/>
    <col min="9995" max="9995" width="14.8571428571429" style="298" customWidth="1"/>
    <col min="9996" max="9996" width="25" style="298" customWidth="1"/>
    <col min="9997" max="9998" width="12.2857142857143" style="298" customWidth="1"/>
    <col min="9999" max="9999" width="24.7142857142857" style="298" customWidth="1"/>
    <col min="10000" max="10000" width="15" style="298" customWidth="1"/>
    <col min="10001" max="10245" width="9.14285714285714" style="298"/>
    <col min="10246" max="10246" width="6.42857142857143" style="298" customWidth="1"/>
    <col min="10247" max="10247" width="32" style="298" customWidth="1"/>
    <col min="10248" max="10248" width="14.5714285714286" style="298" customWidth="1"/>
    <col min="10249" max="10249" width="12.4285714285714" style="298" customWidth="1"/>
    <col min="10250" max="10250" width="51.2857142857143" style="298" customWidth="1"/>
    <col min="10251" max="10251" width="14.8571428571429" style="298" customWidth="1"/>
    <col min="10252" max="10252" width="25" style="298" customWidth="1"/>
    <col min="10253" max="10254" width="12.2857142857143" style="298" customWidth="1"/>
    <col min="10255" max="10255" width="24.7142857142857" style="298" customWidth="1"/>
    <col min="10256" max="10256" width="15" style="298" customWidth="1"/>
    <col min="10257" max="10501" width="9.14285714285714" style="298"/>
    <col min="10502" max="10502" width="6.42857142857143" style="298" customWidth="1"/>
    <col min="10503" max="10503" width="32" style="298" customWidth="1"/>
    <col min="10504" max="10504" width="14.5714285714286" style="298" customWidth="1"/>
    <col min="10505" max="10505" width="12.4285714285714" style="298" customWidth="1"/>
    <col min="10506" max="10506" width="51.2857142857143" style="298" customWidth="1"/>
    <col min="10507" max="10507" width="14.8571428571429" style="298" customWidth="1"/>
    <col min="10508" max="10508" width="25" style="298" customWidth="1"/>
    <col min="10509" max="10510" width="12.2857142857143" style="298" customWidth="1"/>
    <col min="10511" max="10511" width="24.7142857142857" style="298" customWidth="1"/>
    <col min="10512" max="10512" width="15" style="298" customWidth="1"/>
    <col min="10513" max="10757" width="9.14285714285714" style="298"/>
    <col min="10758" max="10758" width="6.42857142857143" style="298" customWidth="1"/>
    <col min="10759" max="10759" width="32" style="298" customWidth="1"/>
    <col min="10760" max="10760" width="14.5714285714286" style="298" customWidth="1"/>
    <col min="10761" max="10761" width="12.4285714285714" style="298" customWidth="1"/>
    <col min="10762" max="10762" width="51.2857142857143" style="298" customWidth="1"/>
    <col min="10763" max="10763" width="14.8571428571429" style="298" customWidth="1"/>
    <col min="10764" max="10764" width="25" style="298" customWidth="1"/>
    <col min="10765" max="10766" width="12.2857142857143" style="298" customWidth="1"/>
    <col min="10767" max="10767" width="24.7142857142857" style="298" customWidth="1"/>
    <col min="10768" max="10768" width="15" style="298" customWidth="1"/>
    <col min="10769" max="11013" width="9.14285714285714" style="298"/>
    <col min="11014" max="11014" width="6.42857142857143" style="298" customWidth="1"/>
    <col min="11015" max="11015" width="32" style="298" customWidth="1"/>
    <col min="11016" max="11016" width="14.5714285714286" style="298" customWidth="1"/>
    <col min="11017" max="11017" width="12.4285714285714" style="298" customWidth="1"/>
    <col min="11018" max="11018" width="51.2857142857143" style="298" customWidth="1"/>
    <col min="11019" max="11019" width="14.8571428571429" style="298" customWidth="1"/>
    <col min="11020" max="11020" width="25" style="298" customWidth="1"/>
    <col min="11021" max="11022" width="12.2857142857143" style="298" customWidth="1"/>
    <col min="11023" max="11023" width="24.7142857142857" style="298" customWidth="1"/>
    <col min="11024" max="11024" width="15" style="298" customWidth="1"/>
    <col min="11025" max="11269" width="9.14285714285714" style="298"/>
    <col min="11270" max="11270" width="6.42857142857143" style="298" customWidth="1"/>
    <col min="11271" max="11271" width="32" style="298" customWidth="1"/>
    <col min="11272" max="11272" width="14.5714285714286" style="298" customWidth="1"/>
    <col min="11273" max="11273" width="12.4285714285714" style="298" customWidth="1"/>
    <col min="11274" max="11274" width="51.2857142857143" style="298" customWidth="1"/>
    <col min="11275" max="11275" width="14.8571428571429" style="298" customWidth="1"/>
    <col min="11276" max="11276" width="25" style="298" customWidth="1"/>
    <col min="11277" max="11278" width="12.2857142857143" style="298" customWidth="1"/>
    <col min="11279" max="11279" width="24.7142857142857" style="298" customWidth="1"/>
    <col min="11280" max="11280" width="15" style="298" customWidth="1"/>
    <col min="11281" max="11525" width="9.14285714285714" style="298"/>
    <col min="11526" max="11526" width="6.42857142857143" style="298" customWidth="1"/>
    <col min="11527" max="11527" width="32" style="298" customWidth="1"/>
    <col min="11528" max="11528" width="14.5714285714286" style="298" customWidth="1"/>
    <col min="11529" max="11529" width="12.4285714285714" style="298" customWidth="1"/>
    <col min="11530" max="11530" width="51.2857142857143" style="298" customWidth="1"/>
    <col min="11531" max="11531" width="14.8571428571429" style="298" customWidth="1"/>
    <col min="11532" max="11532" width="25" style="298" customWidth="1"/>
    <col min="11533" max="11534" width="12.2857142857143" style="298" customWidth="1"/>
    <col min="11535" max="11535" width="24.7142857142857" style="298" customWidth="1"/>
    <col min="11536" max="11536" width="15" style="298" customWidth="1"/>
    <col min="11537" max="11781" width="9.14285714285714" style="298"/>
    <col min="11782" max="11782" width="6.42857142857143" style="298" customWidth="1"/>
    <col min="11783" max="11783" width="32" style="298" customWidth="1"/>
    <col min="11784" max="11784" width="14.5714285714286" style="298" customWidth="1"/>
    <col min="11785" max="11785" width="12.4285714285714" style="298" customWidth="1"/>
    <col min="11786" max="11786" width="51.2857142857143" style="298" customWidth="1"/>
    <col min="11787" max="11787" width="14.8571428571429" style="298" customWidth="1"/>
    <col min="11788" max="11788" width="25" style="298" customWidth="1"/>
    <col min="11789" max="11790" width="12.2857142857143" style="298" customWidth="1"/>
    <col min="11791" max="11791" width="24.7142857142857" style="298" customWidth="1"/>
    <col min="11792" max="11792" width="15" style="298" customWidth="1"/>
    <col min="11793" max="12037" width="9.14285714285714" style="298"/>
    <col min="12038" max="12038" width="6.42857142857143" style="298" customWidth="1"/>
    <col min="12039" max="12039" width="32" style="298" customWidth="1"/>
    <col min="12040" max="12040" width="14.5714285714286" style="298" customWidth="1"/>
    <col min="12041" max="12041" width="12.4285714285714" style="298" customWidth="1"/>
    <col min="12042" max="12042" width="51.2857142857143" style="298" customWidth="1"/>
    <col min="12043" max="12043" width="14.8571428571429" style="298" customWidth="1"/>
    <col min="12044" max="12044" width="25" style="298" customWidth="1"/>
    <col min="12045" max="12046" width="12.2857142857143" style="298" customWidth="1"/>
    <col min="12047" max="12047" width="24.7142857142857" style="298" customWidth="1"/>
    <col min="12048" max="12048" width="15" style="298" customWidth="1"/>
    <col min="12049" max="12293" width="9.14285714285714" style="298"/>
    <col min="12294" max="12294" width="6.42857142857143" style="298" customWidth="1"/>
    <col min="12295" max="12295" width="32" style="298" customWidth="1"/>
    <col min="12296" max="12296" width="14.5714285714286" style="298" customWidth="1"/>
    <col min="12297" max="12297" width="12.4285714285714" style="298" customWidth="1"/>
    <col min="12298" max="12298" width="51.2857142857143" style="298" customWidth="1"/>
    <col min="12299" max="12299" width="14.8571428571429" style="298" customWidth="1"/>
    <col min="12300" max="12300" width="25" style="298" customWidth="1"/>
    <col min="12301" max="12302" width="12.2857142857143" style="298" customWidth="1"/>
    <col min="12303" max="12303" width="24.7142857142857" style="298" customWidth="1"/>
    <col min="12304" max="12304" width="15" style="298" customWidth="1"/>
    <col min="12305" max="12549" width="9.14285714285714" style="298"/>
    <col min="12550" max="12550" width="6.42857142857143" style="298" customWidth="1"/>
    <col min="12551" max="12551" width="32" style="298" customWidth="1"/>
    <col min="12552" max="12552" width="14.5714285714286" style="298" customWidth="1"/>
    <col min="12553" max="12553" width="12.4285714285714" style="298" customWidth="1"/>
    <col min="12554" max="12554" width="51.2857142857143" style="298" customWidth="1"/>
    <col min="12555" max="12555" width="14.8571428571429" style="298" customWidth="1"/>
    <col min="12556" max="12556" width="25" style="298" customWidth="1"/>
    <col min="12557" max="12558" width="12.2857142857143" style="298" customWidth="1"/>
    <col min="12559" max="12559" width="24.7142857142857" style="298" customWidth="1"/>
    <col min="12560" max="12560" width="15" style="298" customWidth="1"/>
    <col min="12561" max="12805" width="9.14285714285714" style="298"/>
    <col min="12806" max="12806" width="6.42857142857143" style="298" customWidth="1"/>
    <col min="12807" max="12807" width="32" style="298" customWidth="1"/>
    <col min="12808" max="12808" width="14.5714285714286" style="298" customWidth="1"/>
    <col min="12809" max="12809" width="12.4285714285714" style="298" customWidth="1"/>
    <col min="12810" max="12810" width="51.2857142857143" style="298" customWidth="1"/>
    <col min="12811" max="12811" width="14.8571428571429" style="298" customWidth="1"/>
    <col min="12812" max="12812" width="25" style="298" customWidth="1"/>
    <col min="12813" max="12814" width="12.2857142857143" style="298" customWidth="1"/>
    <col min="12815" max="12815" width="24.7142857142857" style="298" customWidth="1"/>
    <col min="12816" max="12816" width="15" style="298" customWidth="1"/>
    <col min="12817" max="13061" width="9.14285714285714" style="298"/>
    <col min="13062" max="13062" width="6.42857142857143" style="298" customWidth="1"/>
    <col min="13063" max="13063" width="32" style="298" customWidth="1"/>
    <col min="13064" max="13064" width="14.5714285714286" style="298" customWidth="1"/>
    <col min="13065" max="13065" width="12.4285714285714" style="298" customWidth="1"/>
    <col min="13066" max="13066" width="51.2857142857143" style="298" customWidth="1"/>
    <col min="13067" max="13067" width="14.8571428571429" style="298" customWidth="1"/>
    <col min="13068" max="13068" width="25" style="298" customWidth="1"/>
    <col min="13069" max="13070" width="12.2857142857143" style="298" customWidth="1"/>
    <col min="13071" max="13071" width="24.7142857142857" style="298" customWidth="1"/>
    <col min="13072" max="13072" width="15" style="298" customWidth="1"/>
    <col min="13073" max="13317" width="9.14285714285714" style="298"/>
    <col min="13318" max="13318" width="6.42857142857143" style="298" customWidth="1"/>
    <col min="13319" max="13319" width="32" style="298" customWidth="1"/>
    <col min="13320" max="13320" width="14.5714285714286" style="298" customWidth="1"/>
    <col min="13321" max="13321" width="12.4285714285714" style="298" customWidth="1"/>
    <col min="13322" max="13322" width="51.2857142857143" style="298" customWidth="1"/>
    <col min="13323" max="13323" width="14.8571428571429" style="298" customWidth="1"/>
    <col min="13324" max="13324" width="25" style="298" customWidth="1"/>
    <col min="13325" max="13326" width="12.2857142857143" style="298" customWidth="1"/>
    <col min="13327" max="13327" width="24.7142857142857" style="298" customWidth="1"/>
    <col min="13328" max="13328" width="15" style="298" customWidth="1"/>
    <col min="13329" max="13573" width="9.14285714285714" style="298"/>
    <col min="13574" max="13574" width="6.42857142857143" style="298" customWidth="1"/>
    <col min="13575" max="13575" width="32" style="298" customWidth="1"/>
    <col min="13576" max="13576" width="14.5714285714286" style="298" customWidth="1"/>
    <col min="13577" max="13577" width="12.4285714285714" style="298" customWidth="1"/>
    <col min="13578" max="13578" width="51.2857142857143" style="298" customWidth="1"/>
    <col min="13579" max="13579" width="14.8571428571429" style="298" customWidth="1"/>
    <col min="13580" max="13580" width="25" style="298" customWidth="1"/>
    <col min="13581" max="13582" width="12.2857142857143" style="298" customWidth="1"/>
    <col min="13583" max="13583" width="24.7142857142857" style="298" customWidth="1"/>
    <col min="13584" max="13584" width="15" style="298" customWidth="1"/>
    <col min="13585" max="13829" width="9.14285714285714" style="298"/>
    <col min="13830" max="13830" width="6.42857142857143" style="298" customWidth="1"/>
    <col min="13831" max="13831" width="32" style="298" customWidth="1"/>
    <col min="13832" max="13832" width="14.5714285714286" style="298" customWidth="1"/>
    <col min="13833" max="13833" width="12.4285714285714" style="298" customWidth="1"/>
    <col min="13834" max="13834" width="51.2857142857143" style="298" customWidth="1"/>
    <col min="13835" max="13835" width="14.8571428571429" style="298" customWidth="1"/>
    <col min="13836" max="13836" width="25" style="298" customWidth="1"/>
    <col min="13837" max="13838" width="12.2857142857143" style="298" customWidth="1"/>
    <col min="13839" max="13839" width="24.7142857142857" style="298" customWidth="1"/>
    <col min="13840" max="13840" width="15" style="298" customWidth="1"/>
    <col min="13841" max="14085" width="9.14285714285714" style="298"/>
    <col min="14086" max="14086" width="6.42857142857143" style="298" customWidth="1"/>
    <col min="14087" max="14087" width="32" style="298" customWidth="1"/>
    <col min="14088" max="14088" width="14.5714285714286" style="298" customWidth="1"/>
    <col min="14089" max="14089" width="12.4285714285714" style="298" customWidth="1"/>
    <col min="14090" max="14090" width="51.2857142857143" style="298" customWidth="1"/>
    <col min="14091" max="14091" width="14.8571428571429" style="298" customWidth="1"/>
    <col min="14092" max="14092" width="25" style="298" customWidth="1"/>
    <col min="14093" max="14094" width="12.2857142857143" style="298" customWidth="1"/>
    <col min="14095" max="14095" width="24.7142857142857" style="298" customWidth="1"/>
    <col min="14096" max="14096" width="15" style="298" customWidth="1"/>
    <col min="14097" max="14341" width="9.14285714285714" style="298"/>
    <col min="14342" max="14342" width="6.42857142857143" style="298" customWidth="1"/>
    <col min="14343" max="14343" width="32" style="298" customWidth="1"/>
    <col min="14344" max="14344" width="14.5714285714286" style="298" customWidth="1"/>
    <col min="14345" max="14345" width="12.4285714285714" style="298" customWidth="1"/>
    <col min="14346" max="14346" width="51.2857142857143" style="298" customWidth="1"/>
    <col min="14347" max="14347" width="14.8571428571429" style="298" customWidth="1"/>
    <col min="14348" max="14348" width="25" style="298" customWidth="1"/>
    <col min="14349" max="14350" width="12.2857142857143" style="298" customWidth="1"/>
    <col min="14351" max="14351" width="24.7142857142857" style="298" customWidth="1"/>
    <col min="14352" max="14352" width="15" style="298" customWidth="1"/>
    <col min="14353" max="14597" width="9.14285714285714" style="298"/>
    <col min="14598" max="14598" width="6.42857142857143" style="298" customWidth="1"/>
    <col min="14599" max="14599" width="32" style="298" customWidth="1"/>
    <col min="14600" max="14600" width="14.5714285714286" style="298" customWidth="1"/>
    <col min="14601" max="14601" width="12.4285714285714" style="298" customWidth="1"/>
    <col min="14602" max="14602" width="51.2857142857143" style="298" customWidth="1"/>
    <col min="14603" max="14603" width="14.8571428571429" style="298" customWidth="1"/>
    <col min="14604" max="14604" width="25" style="298" customWidth="1"/>
    <col min="14605" max="14606" width="12.2857142857143" style="298" customWidth="1"/>
    <col min="14607" max="14607" width="24.7142857142857" style="298" customWidth="1"/>
    <col min="14608" max="14608" width="15" style="298" customWidth="1"/>
    <col min="14609" max="14853" width="9.14285714285714" style="298"/>
    <col min="14854" max="14854" width="6.42857142857143" style="298" customWidth="1"/>
    <col min="14855" max="14855" width="32" style="298" customWidth="1"/>
    <col min="14856" max="14856" width="14.5714285714286" style="298" customWidth="1"/>
    <col min="14857" max="14857" width="12.4285714285714" style="298" customWidth="1"/>
    <col min="14858" max="14858" width="51.2857142857143" style="298" customWidth="1"/>
    <col min="14859" max="14859" width="14.8571428571429" style="298" customWidth="1"/>
    <col min="14860" max="14860" width="25" style="298" customWidth="1"/>
    <col min="14861" max="14862" width="12.2857142857143" style="298" customWidth="1"/>
    <col min="14863" max="14863" width="24.7142857142857" style="298" customWidth="1"/>
    <col min="14864" max="14864" width="15" style="298" customWidth="1"/>
    <col min="14865" max="15109" width="9.14285714285714" style="298"/>
    <col min="15110" max="15110" width="6.42857142857143" style="298" customWidth="1"/>
    <col min="15111" max="15111" width="32" style="298" customWidth="1"/>
    <col min="15112" max="15112" width="14.5714285714286" style="298" customWidth="1"/>
    <col min="15113" max="15113" width="12.4285714285714" style="298" customWidth="1"/>
    <col min="15114" max="15114" width="51.2857142857143" style="298" customWidth="1"/>
    <col min="15115" max="15115" width="14.8571428571429" style="298" customWidth="1"/>
    <col min="15116" max="15116" width="25" style="298" customWidth="1"/>
    <col min="15117" max="15118" width="12.2857142857143" style="298" customWidth="1"/>
    <col min="15119" max="15119" width="24.7142857142857" style="298" customWidth="1"/>
    <col min="15120" max="15120" width="15" style="298" customWidth="1"/>
    <col min="15121" max="15365" width="9.14285714285714" style="298"/>
    <col min="15366" max="15366" width="6.42857142857143" style="298" customWidth="1"/>
    <col min="15367" max="15367" width="32" style="298" customWidth="1"/>
    <col min="15368" max="15368" width="14.5714285714286" style="298" customWidth="1"/>
    <col min="15369" max="15369" width="12.4285714285714" style="298" customWidth="1"/>
    <col min="15370" max="15370" width="51.2857142857143" style="298" customWidth="1"/>
    <col min="15371" max="15371" width="14.8571428571429" style="298" customWidth="1"/>
    <col min="15372" max="15372" width="25" style="298" customWidth="1"/>
    <col min="15373" max="15374" width="12.2857142857143" style="298" customWidth="1"/>
    <col min="15375" max="15375" width="24.7142857142857" style="298" customWidth="1"/>
    <col min="15376" max="15376" width="15" style="298" customWidth="1"/>
    <col min="15377" max="15621" width="9.14285714285714" style="298"/>
    <col min="15622" max="15622" width="6.42857142857143" style="298" customWidth="1"/>
    <col min="15623" max="15623" width="32" style="298" customWidth="1"/>
    <col min="15624" max="15624" width="14.5714285714286" style="298" customWidth="1"/>
    <col min="15625" max="15625" width="12.4285714285714" style="298" customWidth="1"/>
    <col min="15626" max="15626" width="51.2857142857143" style="298" customWidth="1"/>
    <col min="15627" max="15627" width="14.8571428571429" style="298" customWidth="1"/>
    <col min="15628" max="15628" width="25" style="298" customWidth="1"/>
    <col min="15629" max="15630" width="12.2857142857143" style="298" customWidth="1"/>
    <col min="15631" max="15631" width="24.7142857142857" style="298" customWidth="1"/>
    <col min="15632" max="15632" width="15" style="298" customWidth="1"/>
    <col min="15633" max="15877" width="9.14285714285714" style="298"/>
    <col min="15878" max="15878" width="6.42857142857143" style="298" customWidth="1"/>
    <col min="15879" max="15879" width="32" style="298" customWidth="1"/>
    <col min="15880" max="15880" width="14.5714285714286" style="298" customWidth="1"/>
    <col min="15881" max="15881" width="12.4285714285714" style="298" customWidth="1"/>
    <col min="15882" max="15882" width="51.2857142857143" style="298" customWidth="1"/>
    <col min="15883" max="15883" width="14.8571428571429" style="298" customWidth="1"/>
    <col min="15884" max="15884" width="25" style="298" customWidth="1"/>
    <col min="15885" max="15886" width="12.2857142857143" style="298" customWidth="1"/>
    <col min="15887" max="15887" width="24.7142857142857" style="298" customWidth="1"/>
    <col min="15888" max="15888" width="15" style="298" customWidth="1"/>
    <col min="15889" max="16133" width="9.14285714285714" style="298"/>
    <col min="16134" max="16134" width="6.42857142857143" style="298" customWidth="1"/>
    <col min="16135" max="16135" width="32" style="298" customWidth="1"/>
    <col min="16136" max="16136" width="14.5714285714286" style="298" customWidth="1"/>
    <col min="16137" max="16137" width="12.4285714285714" style="298" customWidth="1"/>
    <col min="16138" max="16138" width="51.2857142857143" style="298" customWidth="1"/>
    <col min="16139" max="16139" width="14.8571428571429" style="298" customWidth="1"/>
    <col min="16140" max="16140" width="25" style="298" customWidth="1"/>
    <col min="16141" max="16142" width="12.2857142857143" style="298" customWidth="1"/>
    <col min="16143" max="16143" width="24.7142857142857" style="298" customWidth="1"/>
    <col min="16144" max="16144" width="15" style="298" customWidth="1"/>
    <col min="16145" max="16384" width="9.14285714285714" style="298"/>
  </cols>
  <sheetData>
    <row r="1" spans="1:12">
      <c r="A1" s="303" t="s">
        <v>152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</row>
    <row r="2" spans="1:12">
      <c r="A2" s="303" t="s">
        <v>630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1:12">
      <c r="A3" s="304" t="str">
        <f>+รายจ่ายจริง!A3:P3</f>
        <v>ตั้งแต่วันที่ 1  ตุลาคม 2564 ถึงวันที่ 30 เมษายน 2565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</row>
    <row r="4" s="294" customFormat="1" ht="21" spans="1:16">
      <c r="A4" s="305" t="s">
        <v>155</v>
      </c>
      <c r="B4" s="163" t="s">
        <v>156</v>
      </c>
      <c r="C4" s="163" t="s">
        <v>157</v>
      </c>
      <c r="D4" s="163" t="s">
        <v>158</v>
      </c>
      <c r="E4" s="306" t="s">
        <v>159</v>
      </c>
      <c r="F4" s="163" t="s">
        <v>160</v>
      </c>
      <c r="G4" s="164" t="s">
        <v>161</v>
      </c>
      <c r="H4" s="305" t="s">
        <v>117</v>
      </c>
      <c r="I4" s="305" t="s">
        <v>26</v>
      </c>
      <c r="J4" s="326" t="s">
        <v>162</v>
      </c>
      <c r="K4" s="305" t="s">
        <v>163</v>
      </c>
      <c r="L4" s="327" t="s">
        <v>631</v>
      </c>
      <c r="M4" s="328" t="s">
        <v>632</v>
      </c>
      <c r="N4" s="328" t="s">
        <v>633</v>
      </c>
      <c r="O4" s="328" t="s">
        <v>634</v>
      </c>
      <c r="P4" s="294" t="s">
        <v>635</v>
      </c>
    </row>
    <row r="5" s="294" customFormat="1" ht="21" spans="1:15">
      <c r="A5" s="307" t="s">
        <v>105</v>
      </c>
      <c r="B5" s="163"/>
      <c r="C5" s="163"/>
      <c r="D5" s="163"/>
      <c r="E5" s="306"/>
      <c r="F5" s="163"/>
      <c r="G5" s="164"/>
      <c r="H5" s="307"/>
      <c r="I5" s="307" t="s">
        <v>166</v>
      </c>
      <c r="J5" s="329"/>
      <c r="K5" s="307" t="s">
        <v>118</v>
      </c>
      <c r="L5" s="330" t="s">
        <v>636</v>
      </c>
      <c r="M5" s="331"/>
      <c r="N5" s="331"/>
      <c r="O5" s="331"/>
    </row>
    <row r="6" s="295" customFormat="1" ht="38.25" customHeight="1" spans="1:16">
      <c r="A6" s="22">
        <v>1</v>
      </c>
      <c r="B6" s="23" t="s">
        <v>613</v>
      </c>
      <c r="C6" s="22">
        <v>1600699998</v>
      </c>
      <c r="D6" s="22" t="s">
        <v>5</v>
      </c>
      <c r="E6" s="308" t="s">
        <v>637</v>
      </c>
      <c r="F6" s="22">
        <v>7014096956</v>
      </c>
      <c r="G6" s="309" t="s">
        <v>638</v>
      </c>
      <c r="H6" s="38">
        <v>43000</v>
      </c>
      <c r="I6" s="332">
        <v>43000</v>
      </c>
      <c r="J6" s="333">
        <f t="shared" ref="J6:J14" si="0">+H6-I6</f>
        <v>0</v>
      </c>
      <c r="K6" s="333">
        <f t="shared" ref="K6:K14" si="1">+I6*100/H6</f>
        <v>100</v>
      </c>
      <c r="L6" s="334" t="s">
        <v>639</v>
      </c>
      <c r="M6" s="335" t="s">
        <v>640</v>
      </c>
      <c r="N6" s="336" t="s">
        <v>641</v>
      </c>
      <c r="O6" s="336" t="s">
        <v>642</v>
      </c>
      <c r="P6" s="336" t="s">
        <v>643</v>
      </c>
    </row>
    <row r="7" s="295" customFormat="1" ht="38.25" customHeight="1" spans="1:16">
      <c r="A7" s="22">
        <v>2</v>
      </c>
      <c r="B7" s="23" t="s">
        <v>613</v>
      </c>
      <c r="C7" s="22">
        <v>1600699998</v>
      </c>
      <c r="D7" s="22" t="s">
        <v>5</v>
      </c>
      <c r="E7" s="308" t="s">
        <v>644</v>
      </c>
      <c r="F7" s="22">
        <v>7014150012</v>
      </c>
      <c r="G7" s="309" t="s">
        <v>645</v>
      </c>
      <c r="H7" s="38">
        <f>123750*3</f>
        <v>371250</v>
      </c>
      <c r="I7" s="332">
        <v>371250</v>
      </c>
      <c r="J7" s="333">
        <f t="shared" si="0"/>
        <v>0</v>
      </c>
      <c r="K7" s="333">
        <f t="shared" si="1"/>
        <v>100</v>
      </c>
      <c r="L7" s="334" t="s">
        <v>639</v>
      </c>
      <c r="M7" s="335" t="s">
        <v>646</v>
      </c>
      <c r="N7" s="336" t="s">
        <v>647</v>
      </c>
      <c r="O7" s="336" t="s">
        <v>642</v>
      </c>
      <c r="P7" s="336" t="s">
        <v>648</v>
      </c>
    </row>
    <row r="8" s="295" customFormat="1" ht="38.25" customHeight="1" spans="1:16">
      <c r="A8" s="22">
        <v>3</v>
      </c>
      <c r="B8" s="23" t="s">
        <v>613</v>
      </c>
      <c r="C8" s="22">
        <v>1600699998</v>
      </c>
      <c r="D8" s="22" t="s">
        <v>5</v>
      </c>
      <c r="E8" s="308" t="s">
        <v>637</v>
      </c>
      <c r="F8" s="22">
        <v>7014665430</v>
      </c>
      <c r="G8" s="309" t="s">
        <v>638</v>
      </c>
      <c r="H8" s="38">
        <v>41810</v>
      </c>
      <c r="I8" s="332">
        <v>41810</v>
      </c>
      <c r="J8" s="333">
        <f t="shared" si="0"/>
        <v>0</v>
      </c>
      <c r="K8" s="333">
        <f t="shared" si="1"/>
        <v>100</v>
      </c>
      <c r="L8" s="334" t="s">
        <v>639</v>
      </c>
      <c r="M8" s="335" t="s">
        <v>640</v>
      </c>
      <c r="N8" s="336" t="s">
        <v>649</v>
      </c>
      <c r="O8" s="336" t="s">
        <v>642</v>
      </c>
      <c r="P8" s="336" t="s">
        <v>643</v>
      </c>
    </row>
    <row r="9" s="295" customFormat="1" ht="38.25" customHeight="1" spans="1:16">
      <c r="A9" s="22">
        <v>4</v>
      </c>
      <c r="B9" s="23" t="s">
        <v>613</v>
      </c>
      <c r="C9" s="22">
        <v>1600600004</v>
      </c>
      <c r="D9" s="22" t="s">
        <v>5</v>
      </c>
      <c r="E9" s="308" t="s">
        <v>637</v>
      </c>
      <c r="F9" s="22">
        <v>7014789388</v>
      </c>
      <c r="G9" s="309" t="s">
        <v>650</v>
      </c>
      <c r="H9" s="38">
        <v>280730</v>
      </c>
      <c r="I9" s="332">
        <v>280730</v>
      </c>
      <c r="J9" s="333">
        <f t="shared" si="0"/>
        <v>0</v>
      </c>
      <c r="K9" s="333">
        <f t="shared" si="1"/>
        <v>100</v>
      </c>
      <c r="L9" s="334" t="s">
        <v>639</v>
      </c>
      <c r="M9" s="335" t="s">
        <v>651</v>
      </c>
      <c r="N9" s="336" t="s">
        <v>652</v>
      </c>
      <c r="O9" s="336" t="s">
        <v>653</v>
      </c>
      <c r="P9" s="336" t="s">
        <v>654</v>
      </c>
    </row>
    <row r="10" s="295" customFormat="1" ht="38.25" customHeight="1" spans="1:16">
      <c r="A10" s="22">
        <v>5</v>
      </c>
      <c r="B10" s="23" t="s">
        <v>613</v>
      </c>
      <c r="C10" s="22">
        <v>1600600005</v>
      </c>
      <c r="D10" s="22" t="s">
        <v>5</v>
      </c>
      <c r="E10" s="308" t="s">
        <v>637</v>
      </c>
      <c r="F10" s="22">
        <v>7014934640</v>
      </c>
      <c r="G10" s="309" t="s">
        <v>655</v>
      </c>
      <c r="H10" s="38">
        <v>7500</v>
      </c>
      <c r="I10" s="332">
        <v>7500</v>
      </c>
      <c r="J10" s="333">
        <f t="shared" si="0"/>
        <v>0</v>
      </c>
      <c r="K10" s="333">
        <f t="shared" si="1"/>
        <v>100</v>
      </c>
      <c r="L10" s="334" t="s">
        <v>639</v>
      </c>
      <c r="M10" s="335" t="s">
        <v>656</v>
      </c>
      <c r="N10" s="336" t="s">
        <v>657</v>
      </c>
      <c r="O10" s="336" t="s">
        <v>658</v>
      </c>
      <c r="P10" s="336" t="s">
        <v>659</v>
      </c>
    </row>
    <row r="11" s="295" customFormat="1" ht="58.5" customHeight="1" spans="1:16">
      <c r="A11" s="22">
        <v>6</v>
      </c>
      <c r="B11" s="23" t="s">
        <v>613</v>
      </c>
      <c r="C11" s="22">
        <v>1600600006</v>
      </c>
      <c r="D11" s="22" t="s">
        <v>5</v>
      </c>
      <c r="E11" s="308" t="s">
        <v>637</v>
      </c>
      <c r="F11" s="22">
        <v>7015013787</v>
      </c>
      <c r="G11" s="33" t="s">
        <v>660</v>
      </c>
      <c r="H11" s="38">
        <v>799000</v>
      </c>
      <c r="I11" s="332">
        <f>799000</f>
        <v>799000</v>
      </c>
      <c r="J11" s="333">
        <f t="shared" si="0"/>
        <v>0</v>
      </c>
      <c r="K11" s="333">
        <f t="shared" si="1"/>
        <v>100</v>
      </c>
      <c r="L11" s="334" t="s">
        <v>661</v>
      </c>
      <c r="M11" s="335" t="s">
        <v>662</v>
      </c>
      <c r="N11" s="336" t="s">
        <v>663</v>
      </c>
      <c r="O11" s="336" t="s">
        <v>664</v>
      </c>
      <c r="P11" s="336" t="s">
        <v>665</v>
      </c>
    </row>
    <row r="12" s="295" customFormat="1" ht="222" customHeight="1" spans="1:17">
      <c r="A12" s="22">
        <v>7</v>
      </c>
      <c r="B12" s="23" t="s">
        <v>613</v>
      </c>
      <c r="C12" s="22">
        <v>1600699998</v>
      </c>
      <c r="D12" s="22" t="s">
        <v>5</v>
      </c>
      <c r="E12" s="308" t="s">
        <v>644</v>
      </c>
      <c r="F12" s="310" t="s">
        <v>666</v>
      </c>
      <c r="G12" s="33" t="s">
        <v>423</v>
      </c>
      <c r="H12" s="38">
        <v>5772752.96</v>
      </c>
      <c r="I12" s="337">
        <v>4784179.15</v>
      </c>
      <c r="J12" s="43">
        <f t="shared" si="0"/>
        <v>988573.81</v>
      </c>
      <c r="K12" s="333">
        <f t="shared" si="1"/>
        <v>82.8751755557543</v>
      </c>
      <c r="L12" s="338" t="s">
        <v>667</v>
      </c>
      <c r="M12" s="335" t="s">
        <v>668</v>
      </c>
      <c r="N12" s="336" t="s">
        <v>669</v>
      </c>
      <c r="O12" s="336" t="s">
        <v>670</v>
      </c>
      <c r="P12" s="336" t="s">
        <v>671</v>
      </c>
      <c r="Q12" s="350"/>
    </row>
    <row r="13" s="295" customFormat="1" ht="26.25" customHeight="1" spans="1:16">
      <c r="A13" s="22">
        <v>8</v>
      </c>
      <c r="B13" s="23" t="s">
        <v>672</v>
      </c>
      <c r="C13" s="22">
        <v>1600600453</v>
      </c>
      <c r="D13" s="22" t="s">
        <v>5</v>
      </c>
      <c r="E13" s="308" t="s">
        <v>644</v>
      </c>
      <c r="F13" s="22">
        <v>7015155496</v>
      </c>
      <c r="G13" s="309" t="s">
        <v>673</v>
      </c>
      <c r="H13" s="38">
        <v>17983</v>
      </c>
      <c r="I13" s="332">
        <v>17983</v>
      </c>
      <c r="J13" s="333">
        <f t="shared" si="0"/>
        <v>0</v>
      </c>
      <c r="K13" s="333">
        <f t="shared" si="1"/>
        <v>100</v>
      </c>
      <c r="L13" s="334" t="s">
        <v>639</v>
      </c>
      <c r="M13" s="335" t="s">
        <v>674</v>
      </c>
      <c r="N13" s="336" t="s">
        <v>675</v>
      </c>
      <c r="O13" s="336" t="s">
        <v>676</v>
      </c>
      <c r="P13" s="336" t="s">
        <v>677</v>
      </c>
    </row>
    <row r="14" s="295" customFormat="1" ht="26.25" customHeight="1" spans="1:16">
      <c r="A14" s="22">
        <v>9</v>
      </c>
      <c r="B14" s="23" t="s">
        <v>678</v>
      </c>
      <c r="C14" s="22">
        <v>1600600711</v>
      </c>
      <c r="D14" s="22" t="s">
        <v>5</v>
      </c>
      <c r="E14" s="308" t="s">
        <v>644</v>
      </c>
      <c r="F14" s="22">
        <v>7015264822</v>
      </c>
      <c r="G14" s="26" t="s">
        <v>679</v>
      </c>
      <c r="H14" s="38">
        <v>204000</v>
      </c>
      <c r="I14" s="332">
        <v>204000</v>
      </c>
      <c r="J14" s="333">
        <f t="shared" si="0"/>
        <v>0</v>
      </c>
      <c r="K14" s="333">
        <f t="shared" si="1"/>
        <v>100</v>
      </c>
      <c r="L14" s="334" t="s">
        <v>639</v>
      </c>
      <c r="M14" s="335" t="s">
        <v>680</v>
      </c>
      <c r="N14" s="336" t="s">
        <v>681</v>
      </c>
      <c r="O14" s="336" t="s">
        <v>642</v>
      </c>
      <c r="P14" s="336" t="s">
        <v>682</v>
      </c>
    </row>
    <row r="15" s="295" customFormat="1" ht="26.25" customHeight="1" spans="1:16">
      <c r="A15" s="22">
        <v>10</v>
      </c>
      <c r="B15" s="23" t="s">
        <v>678</v>
      </c>
      <c r="C15" s="22">
        <v>1600600711</v>
      </c>
      <c r="D15" s="22" t="s">
        <v>5</v>
      </c>
      <c r="E15" s="308" t="s">
        <v>644</v>
      </c>
      <c r="F15" s="22">
        <v>7015272951</v>
      </c>
      <c r="G15" s="26" t="s">
        <v>683</v>
      </c>
      <c r="H15" s="38">
        <v>154404.6</v>
      </c>
      <c r="I15" s="332">
        <v>154404.6</v>
      </c>
      <c r="J15" s="333">
        <f t="shared" ref="J15:J20" si="2">+H15-I15</f>
        <v>0</v>
      </c>
      <c r="K15" s="333">
        <f t="shared" ref="K15:K21" si="3">+I15*100/H15</f>
        <v>100</v>
      </c>
      <c r="L15" s="334" t="s">
        <v>639</v>
      </c>
      <c r="M15" s="335" t="s">
        <v>684</v>
      </c>
      <c r="N15" s="336" t="s">
        <v>669</v>
      </c>
      <c r="O15" s="336" t="s">
        <v>642</v>
      </c>
      <c r="P15" s="336" t="s">
        <v>685</v>
      </c>
    </row>
    <row r="16" s="295" customFormat="1" ht="26.25" customHeight="1" spans="1:16">
      <c r="A16" s="22">
        <v>11</v>
      </c>
      <c r="B16" s="23" t="s">
        <v>613</v>
      </c>
      <c r="C16" s="22">
        <v>1600600011</v>
      </c>
      <c r="D16" s="22" t="s">
        <v>5</v>
      </c>
      <c r="E16" s="308" t="s">
        <v>637</v>
      </c>
      <c r="F16" s="22">
        <v>7014733954</v>
      </c>
      <c r="G16" s="309" t="s">
        <v>686</v>
      </c>
      <c r="H16" s="38">
        <v>147660</v>
      </c>
      <c r="I16" s="332">
        <v>147660</v>
      </c>
      <c r="J16" s="333">
        <f t="shared" si="2"/>
        <v>0</v>
      </c>
      <c r="K16" s="333">
        <f t="shared" si="3"/>
        <v>100</v>
      </c>
      <c r="L16" s="334" t="s">
        <v>639</v>
      </c>
      <c r="M16" s="335" t="s">
        <v>687</v>
      </c>
      <c r="N16" s="336" t="s">
        <v>688</v>
      </c>
      <c r="O16" s="336" t="s">
        <v>689</v>
      </c>
      <c r="P16" s="336" t="s">
        <v>690</v>
      </c>
    </row>
    <row r="17" s="295" customFormat="1" ht="26.25" customHeight="1" spans="1:16">
      <c r="A17" s="22">
        <v>12</v>
      </c>
      <c r="B17" s="23" t="s">
        <v>613</v>
      </c>
      <c r="C17" s="22">
        <v>1600699998</v>
      </c>
      <c r="D17" s="22" t="s">
        <v>5</v>
      </c>
      <c r="E17" s="308" t="s">
        <v>637</v>
      </c>
      <c r="F17" s="22">
        <v>7015254174</v>
      </c>
      <c r="G17" s="309" t="s">
        <v>691</v>
      </c>
      <c r="H17" s="38">
        <v>5700000</v>
      </c>
      <c r="I17" s="332">
        <v>5700000</v>
      </c>
      <c r="J17" s="333">
        <f t="shared" si="2"/>
        <v>0</v>
      </c>
      <c r="K17" s="333">
        <f t="shared" si="3"/>
        <v>100</v>
      </c>
      <c r="L17" s="334" t="s">
        <v>639</v>
      </c>
      <c r="M17" s="335" t="s">
        <v>640</v>
      </c>
      <c r="N17" s="336" t="s">
        <v>692</v>
      </c>
      <c r="O17" s="336" t="s">
        <v>693</v>
      </c>
      <c r="P17" s="336" t="s">
        <v>694</v>
      </c>
    </row>
    <row r="18" s="295" customFormat="1" ht="61.5" customHeight="1" spans="1:16">
      <c r="A18" s="22">
        <v>13</v>
      </c>
      <c r="B18" s="23" t="s">
        <v>695</v>
      </c>
      <c r="C18" s="22">
        <v>1600600220</v>
      </c>
      <c r="D18" s="22" t="s">
        <v>5</v>
      </c>
      <c r="E18" s="308" t="s">
        <v>644</v>
      </c>
      <c r="F18" s="22">
        <v>2000459990</v>
      </c>
      <c r="G18" s="309" t="s">
        <v>696</v>
      </c>
      <c r="H18" s="38">
        <v>55800</v>
      </c>
      <c r="I18" s="332">
        <v>0</v>
      </c>
      <c r="J18" s="333">
        <f t="shared" si="2"/>
        <v>55800</v>
      </c>
      <c r="K18" s="333">
        <f t="shared" si="3"/>
        <v>0</v>
      </c>
      <c r="L18" s="339" t="s">
        <v>697</v>
      </c>
      <c r="M18" s="335" t="s">
        <v>698</v>
      </c>
      <c r="N18" s="336" t="s">
        <v>699</v>
      </c>
      <c r="O18" s="336" t="s">
        <v>642</v>
      </c>
      <c r="P18" s="336" t="s">
        <v>700</v>
      </c>
    </row>
    <row r="19" s="295" customFormat="1" ht="33.75" customHeight="1" spans="1:16">
      <c r="A19" s="22">
        <v>14</v>
      </c>
      <c r="B19" s="23" t="s">
        <v>613</v>
      </c>
      <c r="C19" s="22">
        <v>1600699998</v>
      </c>
      <c r="D19" s="22" t="s">
        <v>5</v>
      </c>
      <c r="E19" s="308" t="s">
        <v>644</v>
      </c>
      <c r="F19" s="22">
        <v>7014299345</v>
      </c>
      <c r="G19" s="309" t="s">
        <v>442</v>
      </c>
      <c r="H19" s="38">
        <v>141240</v>
      </c>
      <c r="I19" s="332">
        <v>141240</v>
      </c>
      <c r="J19" s="333">
        <f t="shared" si="2"/>
        <v>0</v>
      </c>
      <c r="K19" s="333">
        <f t="shared" si="3"/>
        <v>100</v>
      </c>
      <c r="L19" s="334" t="s">
        <v>639</v>
      </c>
      <c r="M19" s="335" t="s">
        <v>701</v>
      </c>
      <c r="N19" s="336" t="s">
        <v>702</v>
      </c>
      <c r="O19" s="336" t="s">
        <v>703</v>
      </c>
      <c r="P19" s="336" t="s">
        <v>704</v>
      </c>
    </row>
    <row r="20" s="295" customFormat="1" ht="33.75" customHeight="1" spans="1:16">
      <c r="A20" s="22">
        <v>15</v>
      </c>
      <c r="B20" s="23" t="s">
        <v>705</v>
      </c>
      <c r="C20" s="22">
        <v>1600600013</v>
      </c>
      <c r="D20" s="22" t="s">
        <v>5</v>
      </c>
      <c r="E20" s="308" t="s">
        <v>644</v>
      </c>
      <c r="F20" s="22">
        <v>7014896495</v>
      </c>
      <c r="G20" s="309" t="s">
        <v>706</v>
      </c>
      <c r="H20" s="38">
        <v>2782</v>
      </c>
      <c r="I20" s="332">
        <v>2782</v>
      </c>
      <c r="J20" s="333">
        <f t="shared" si="2"/>
        <v>0</v>
      </c>
      <c r="K20" s="333">
        <f t="shared" si="3"/>
        <v>100</v>
      </c>
      <c r="L20" s="334" t="s">
        <v>639</v>
      </c>
      <c r="M20" s="335" t="s">
        <v>707</v>
      </c>
      <c r="N20" s="336" t="s">
        <v>708</v>
      </c>
      <c r="O20" s="336" t="s">
        <v>709</v>
      </c>
      <c r="P20" s="336" t="s">
        <v>710</v>
      </c>
    </row>
    <row r="21" s="135" customFormat="1" ht="33.75" customHeight="1" spans="1:16">
      <c r="A21" s="311" t="s">
        <v>443</v>
      </c>
      <c r="B21" s="312"/>
      <c r="C21" s="312"/>
      <c r="D21" s="312"/>
      <c r="E21" s="312"/>
      <c r="F21" s="312"/>
      <c r="G21" s="313"/>
      <c r="H21" s="314">
        <f>SUM(H6:H20)</f>
        <v>13739912.56</v>
      </c>
      <c r="I21" s="314">
        <f>SUM(I6:I20)</f>
        <v>12695538.75</v>
      </c>
      <c r="J21" s="340">
        <f>SUM(J6:J20)</f>
        <v>1044373.81</v>
      </c>
      <c r="K21" s="341">
        <f t="shared" si="3"/>
        <v>92.39897775594</v>
      </c>
      <c r="L21" s="342"/>
      <c r="M21" s="343"/>
      <c r="N21" s="163"/>
      <c r="O21" s="163"/>
      <c r="P21" s="163"/>
    </row>
    <row r="22" s="295" customFormat="1" ht="33.75" customHeight="1" spans="1:16">
      <c r="A22" s="22">
        <v>16</v>
      </c>
      <c r="B22" s="23" t="s">
        <v>613</v>
      </c>
      <c r="C22" s="22">
        <v>1600699998</v>
      </c>
      <c r="D22" s="22" t="s">
        <v>6</v>
      </c>
      <c r="E22" s="308" t="s">
        <v>711</v>
      </c>
      <c r="F22" s="22">
        <v>7014716158</v>
      </c>
      <c r="G22" s="309" t="s">
        <v>712</v>
      </c>
      <c r="H22" s="38">
        <v>2274000</v>
      </c>
      <c r="I22" s="332">
        <v>2274000</v>
      </c>
      <c r="J22" s="333">
        <f t="shared" ref="J22:J31" si="4">+H22-I22</f>
        <v>0</v>
      </c>
      <c r="K22" s="333">
        <f t="shared" ref="K22:K31" si="5">+I22*100/H22</f>
        <v>100</v>
      </c>
      <c r="L22" s="334" t="s">
        <v>639</v>
      </c>
      <c r="M22" s="335" t="s">
        <v>713</v>
      </c>
      <c r="N22" s="336" t="s">
        <v>714</v>
      </c>
      <c r="O22" s="336" t="s">
        <v>715</v>
      </c>
      <c r="P22" s="336" t="s">
        <v>716</v>
      </c>
    </row>
    <row r="23" s="295" customFormat="1" ht="33.75" customHeight="1" spans="1:16">
      <c r="A23" s="22">
        <v>17</v>
      </c>
      <c r="B23" s="23" t="s">
        <v>613</v>
      </c>
      <c r="C23" s="22">
        <v>1600600011</v>
      </c>
      <c r="D23" s="22" t="s">
        <v>6</v>
      </c>
      <c r="E23" s="308" t="s">
        <v>717</v>
      </c>
      <c r="F23" s="22">
        <v>7015248976</v>
      </c>
      <c r="G23" s="309" t="s">
        <v>718</v>
      </c>
      <c r="H23" s="38">
        <v>500000</v>
      </c>
      <c r="I23" s="332">
        <v>500000</v>
      </c>
      <c r="J23" s="333">
        <f t="shared" si="4"/>
        <v>0</v>
      </c>
      <c r="K23" s="333">
        <f t="shared" si="5"/>
        <v>100</v>
      </c>
      <c r="L23" s="334" t="s">
        <v>639</v>
      </c>
      <c r="M23" s="335" t="s">
        <v>719</v>
      </c>
      <c r="N23" s="336" t="s">
        <v>692</v>
      </c>
      <c r="O23" s="336" t="s">
        <v>720</v>
      </c>
      <c r="P23" s="336" t="s">
        <v>721</v>
      </c>
    </row>
    <row r="24" s="295" customFormat="1" ht="33.75" customHeight="1" spans="1:16">
      <c r="A24" s="22">
        <v>18</v>
      </c>
      <c r="B24" s="23" t="s">
        <v>613</v>
      </c>
      <c r="C24" s="22">
        <v>1600600006</v>
      </c>
      <c r="D24" s="22" t="s">
        <v>6</v>
      </c>
      <c r="E24" s="308" t="s">
        <v>722</v>
      </c>
      <c r="F24" s="22">
        <v>7015254679</v>
      </c>
      <c r="G24" s="309" t="s">
        <v>723</v>
      </c>
      <c r="H24" s="38">
        <v>497015</v>
      </c>
      <c r="I24" s="332">
        <v>497015</v>
      </c>
      <c r="J24" s="333">
        <f t="shared" si="4"/>
        <v>0</v>
      </c>
      <c r="K24" s="333">
        <f t="shared" si="5"/>
        <v>100</v>
      </c>
      <c r="L24" s="334" t="s">
        <v>639</v>
      </c>
      <c r="M24" s="335" t="s">
        <v>724</v>
      </c>
      <c r="N24" s="336" t="s">
        <v>669</v>
      </c>
      <c r="O24" s="336" t="s">
        <v>670</v>
      </c>
      <c r="P24" s="336" t="s">
        <v>725</v>
      </c>
    </row>
    <row r="25" s="295" customFormat="1" ht="42" spans="1:16">
      <c r="A25" s="22">
        <v>19</v>
      </c>
      <c r="B25" s="23" t="s">
        <v>613</v>
      </c>
      <c r="C25" s="22">
        <v>1600600001</v>
      </c>
      <c r="D25" s="22" t="s">
        <v>6</v>
      </c>
      <c r="E25" s="308" t="s">
        <v>726</v>
      </c>
      <c r="F25" s="22">
        <v>2000397264</v>
      </c>
      <c r="G25" s="678" t="s">
        <v>727</v>
      </c>
      <c r="H25" s="679">
        <v>11135650</v>
      </c>
      <c r="I25" s="681">
        <v>0</v>
      </c>
      <c r="J25" s="682">
        <f t="shared" si="4"/>
        <v>11135650</v>
      </c>
      <c r="K25" s="333">
        <f t="shared" si="5"/>
        <v>0</v>
      </c>
      <c r="L25" s="334" t="s">
        <v>728</v>
      </c>
      <c r="M25" s="335" t="s">
        <v>729</v>
      </c>
      <c r="N25" s="336" t="s">
        <v>669</v>
      </c>
      <c r="O25" s="336" t="s">
        <v>179</v>
      </c>
      <c r="P25" s="336"/>
    </row>
    <row r="26" s="295" customFormat="1" ht="39" customHeight="1" spans="1:16">
      <c r="A26" s="22">
        <v>20</v>
      </c>
      <c r="B26" s="23" t="s">
        <v>613</v>
      </c>
      <c r="C26" s="22">
        <v>1600600001</v>
      </c>
      <c r="D26" s="22" t="s">
        <v>6</v>
      </c>
      <c r="E26" s="308" t="s">
        <v>730</v>
      </c>
      <c r="F26" s="22">
        <v>2000420428</v>
      </c>
      <c r="G26" s="309" t="s">
        <v>731</v>
      </c>
      <c r="H26" s="38">
        <v>13054741.23</v>
      </c>
      <c r="I26" s="332">
        <v>13054741.23</v>
      </c>
      <c r="J26" s="333">
        <f t="shared" si="4"/>
        <v>0</v>
      </c>
      <c r="K26" s="333">
        <f t="shared" si="5"/>
        <v>100</v>
      </c>
      <c r="L26" s="334" t="s">
        <v>639</v>
      </c>
      <c r="M26" s="335" t="s">
        <v>732</v>
      </c>
      <c r="N26" s="336" t="s">
        <v>733</v>
      </c>
      <c r="O26" s="336" t="s">
        <v>734</v>
      </c>
      <c r="P26" s="336"/>
    </row>
    <row r="27" s="295" customFormat="1" ht="39" customHeight="1" spans="1:16">
      <c r="A27" s="22">
        <v>21</v>
      </c>
      <c r="B27" s="23" t="s">
        <v>613</v>
      </c>
      <c r="C27" s="22">
        <v>1600600001</v>
      </c>
      <c r="D27" s="22" t="s">
        <v>6</v>
      </c>
      <c r="E27" s="308" t="s">
        <v>735</v>
      </c>
      <c r="F27" s="22">
        <v>2000420910</v>
      </c>
      <c r="G27" s="309" t="s">
        <v>736</v>
      </c>
      <c r="H27" s="38">
        <v>5129331</v>
      </c>
      <c r="I27" s="332">
        <v>5129331</v>
      </c>
      <c r="J27" s="333">
        <f t="shared" si="4"/>
        <v>0</v>
      </c>
      <c r="K27" s="333">
        <f t="shared" si="5"/>
        <v>100</v>
      </c>
      <c r="L27" s="334" t="s">
        <v>639</v>
      </c>
      <c r="M27" s="335" t="s">
        <v>737</v>
      </c>
      <c r="N27" s="336" t="s">
        <v>738</v>
      </c>
      <c r="O27" s="336" t="s">
        <v>739</v>
      </c>
      <c r="P27" s="336"/>
    </row>
    <row r="28" s="295" customFormat="1" ht="39" customHeight="1" spans="1:16">
      <c r="A28" s="22">
        <v>22</v>
      </c>
      <c r="B28" s="23" t="s">
        <v>613</v>
      </c>
      <c r="C28" s="22">
        <v>1600600001</v>
      </c>
      <c r="D28" s="22" t="s">
        <v>6</v>
      </c>
      <c r="E28" s="308" t="s">
        <v>740</v>
      </c>
      <c r="F28" s="22">
        <v>2000434631</v>
      </c>
      <c r="G28" s="309" t="s">
        <v>741</v>
      </c>
      <c r="H28" s="38">
        <v>5002622</v>
      </c>
      <c r="I28" s="332">
        <v>5002622</v>
      </c>
      <c r="J28" s="333">
        <f t="shared" si="4"/>
        <v>0</v>
      </c>
      <c r="K28" s="333">
        <f t="shared" si="5"/>
        <v>100</v>
      </c>
      <c r="L28" s="334" t="s">
        <v>639</v>
      </c>
      <c r="M28" s="335" t="s">
        <v>742</v>
      </c>
      <c r="N28" s="336" t="s">
        <v>743</v>
      </c>
      <c r="O28" s="336" t="s">
        <v>744</v>
      </c>
      <c r="P28" s="336" t="s">
        <v>745</v>
      </c>
    </row>
    <row r="29" s="295" customFormat="1" ht="42" spans="1:16">
      <c r="A29" s="22">
        <v>23</v>
      </c>
      <c r="B29" s="23" t="s">
        <v>613</v>
      </c>
      <c r="C29" s="22">
        <v>1600600001</v>
      </c>
      <c r="D29" s="22" t="s">
        <v>6</v>
      </c>
      <c r="E29" s="308" t="s">
        <v>746</v>
      </c>
      <c r="F29" s="22">
        <v>2000435147</v>
      </c>
      <c r="G29" s="678" t="s">
        <v>747</v>
      </c>
      <c r="H29" s="679">
        <v>4668200</v>
      </c>
      <c r="I29" s="681">
        <f>4668200-2339940.84</f>
        <v>2328259.16</v>
      </c>
      <c r="J29" s="682">
        <f t="shared" si="4"/>
        <v>2339940.84</v>
      </c>
      <c r="K29" s="333">
        <f t="shared" si="5"/>
        <v>49.8748802536309</v>
      </c>
      <c r="L29" s="334" t="s">
        <v>748</v>
      </c>
      <c r="M29" s="335" t="s">
        <v>749</v>
      </c>
      <c r="N29" s="336" t="s">
        <v>744</v>
      </c>
      <c r="O29" s="336" t="s">
        <v>750</v>
      </c>
      <c r="P29" s="336" t="s">
        <v>751</v>
      </c>
    </row>
    <row r="30" s="295" customFormat="1" ht="42" spans="1:16">
      <c r="A30" s="22">
        <v>24</v>
      </c>
      <c r="B30" s="23" t="s">
        <v>613</v>
      </c>
      <c r="C30" s="22">
        <v>1600600001</v>
      </c>
      <c r="D30" s="22" t="s">
        <v>6</v>
      </c>
      <c r="E30" s="308" t="s">
        <v>752</v>
      </c>
      <c r="F30" s="22">
        <v>2000461421</v>
      </c>
      <c r="G30" s="315" t="s">
        <v>753</v>
      </c>
      <c r="H30" s="38">
        <v>2805000</v>
      </c>
      <c r="I30" s="332">
        <v>2805000</v>
      </c>
      <c r="J30" s="333">
        <f t="shared" si="4"/>
        <v>0</v>
      </c>
      <c r="K30" s="333">
        <f t="shared" si="5"/>
        <v>100</v>
      </c>
      <c r="L30" s="334" t="s">
        <v>639</v>
      </c>
      <c r="M30" s="335" t="s">
        <v>754</v>
      </c>
      <c r="N30" s="336" t="s">
        <v>755</v>
      </c>
      <c r="O30" s="336" t="s">
        <v>756</v>
      </c>
      <c r="P30" s="336" t="s">
        <v>751</v>
      </c>
    </row>
    <row r="31" s="295" customFormat="1" ht="78" customHeight="1" spans="1:16">
      <c r="A31" s="22">
        <v>25</v>
      </c>
      <c r="B31" s="23" t="s">
        <v>613</v>
      </c>
      <c r="C31" s="22">
        <v>1600600001</v>
      </c>
      <c r="D31" s="22" t="s">
        <v>6</v>
      </c>
      <c r="E31" s="308" t="s">
        <v>757</v>
      </c>
      <c r="F31" s="22">
        <v>2000475789</v>
      </c>
      <c r="G31" s="680" t="s">
        <v>758</v>
      </c>
      <c r="H31" s="679">
        <v>9368000</v>
      </c>
      <c r="I31" s="681">
        <f>9368000-4231617.55</f>
        <v>5136382.45</v>
      </c>
      <c r="J31" s="682">
        <f t="shared" si="4"/>
        <v>4231617.55</v>
      </c>
      <c r="K31" s="333">
        <f t="shared" si="5"/>
        <v>54.8290184671221</v>
      </c>
      <c r="L31" s="334" t="s">
        <v>759</v>
      </c>
      <c r="M31" s="335" t="s">
        <v>760</v>
      </c>
      <c r="N31" s="336" t="s">
        <v>642</v>
      </c>
      <c r="O31" s="336" t="s">
        <v>761</v>
      </c>
      <c r="P31" s="336" t="s">
        <v>751</v>
      </c>
    </row>
    <row r="32" s="295" customFormat="1" ht="30" customHeight="1" spans="1:16">
      <c r="A32" s="22">
        <v>26</v>
      </c>
      <c r="B32" s="23" t="s">
        <v>762</v>
      </c>
      <c r="C32" s="22">
        <v>1600600046</v>
      </c>
      <c r="D32" s="22" t="s">
        <v>6</v>
      </c>
      <c r="E32" s="308" t="s">
        <v>763</v>
      </c>
      <c r="F32" s="22">
        <v>7014618240</v>
      </c>
      <c r="G32" s="309" t="s">
        <v>764</v>
      </c>
      <c r="H32" s="38">
        <v>2527500</v>
      </c>
      <c r="I32" s="332">
        <v>2527500</v>
      </c>
      <c r="J32" s="333">
        <f t="shared" ref="J32:J39" si="6">+H32-I32</f>
        <v>0</v>
      </c>
      <c r="K32" s="333">
        <f t="shared" ref="K32:K44" si="7">+I32*100/H32</f>
        <v>100</v>
      </c>
      <c r="L32" s="334" t="s">
        <v>639</v>
      </c>
      <c r="M32" s="335" t="s">
        <v>765</v>
      </c>
      <c r="N32" s="336" t="s">
        <v>766</v>
      </c>
      <c r="O32" s="336" t="s">
        <v>767</v>
      </c>
      <c r="P32" s="336" t="s">
        <v>768</v>
      </c>
    </row>
    <row r="33" s="295" customFormat="1" ht="21" spans="1:16">
      <c r="A33" s="22">
        <v>27</v>
      </c>
      <c r="B33" s="23" t="s">
        <v>184</v>
      </c>
      <c r="C33" s="22">
        <v>1600600052</v>
      </c>
      <c r="D33" s="22" t="s">
        <v>6</v>
      </c>
      <c r="E33" s="308" t="s">
        <v>769</v>
      </c>
      <c r="F33" s="22">
        <v>7014573620</v>
      </c>
      <c r="G33" s="309" t="s">
        <v>764</v>
      </c>
      <c r="H33" s="38">
        <v>3234000</v>
      </c>
      <c r="I33" s="332">
        <v>3234000</v>
      </c>
      <c r="J33" s="333">
        <f t="shared" si="6"/>
        <v>0</v>
      </c>
      <c r="K33" s="333">
        <f t="shared" si="7"/>
        <v>100</v>
      </c>
      <c r="L33" s="334" t="s">
        <v>770</v>
      </c>
      <c r="M33" s="335" t="s">
        <v>771</v>
      </c>
      <c r="N33" s="336" t="s">
        <v>652</v>
      </c>
      <c r="O33" s="336" t="s">
        <v>772</v>
      </c>
      <c r="P33" s="336" t="s">
        <v>751</v>
      </c>
    </row>
    <row r="34" s="295" customFormat="1" ht="30" customHeight="1" spans="1:16">
      <c r="A34" s="22">
        <v>28</v>
      </c>
      <c r="B34" s="23" t="s">
        <v>773</v>
      </c>
      <c r="C34" s="22">
        <v>1600600058</v>
      </c>
      <c r="D34" s="22" t="s">
        <v>6</v>
      </c>
      <c r="E34" s="308" t="s">
        <v>774</v>
      </c>
      <c r="F34" s="22">
        <v>7014587703</v>
      </c>
      <c r="G34" s="309" t="s">
        <v>764</v>
      </c>
      <c r="H34" s="38">
        <v>2700000</v>
      </c>
      <c r="I34" s="332">
        <v>2700000</v>
      </c>
      <c r="J34" s="333">
        <f t="shared" si="6"/>
        <v>0</v>
      </c>
      <c r="K34" s="333">
        <f t="shared" si="7"/>
        <v>100</v>
      </c>
      <c r="L34" s="334" t="s">
        <v>639</v>
      </c>
      <c r="M34" s="335" t="s">
        <v>775</v>
      </c>
      <c r="N34" s="336" t="s">
        <v>776</v>
      </c>
      <c r="O34" s="336" t="s">
        <v>777</v>
      </c>
      <c r="P34" s="336" t="s">
        <v>778</v>
      </c>
    </row>
    <row r="35" s="295" customFormat="1" ht="93" spans="1:16">
      <c r="A35" s="22">
        <v>29</v>
      </c>
      <c r="B35" s="23" t="s">
        <v>779</v>
      </c>
      <c r="C35" s="22">
        <v>1600600064</v>
      </c>
      <c r="D35" s="22" t="s">
        <v>6</v>
      </c>
      <c r="E35" s="308" t="s">
        <v>780</v>
      </c>
      <c r="F35" s="22">
        <v>7014633408</v>
      </c>
      <c r="G35" s="678" t="s">
        <v>764</v>
      </c>
      <c r="H35" s="679">
        <v>3155139</v>
      </c>
      <c r="I35" s="681">
        <v>0</v>
      </c>
      <c r="J35" s="682">
        <f t="shared" si="6"/>
        <v>3155139</v>
      </c>
      <c r="K35" s="333">
        <f t="shared" si="7"/>
        <v>0</v>
      </c>
      <c r="L35" s="344" t="s">
        <v>781</v>
      </c>
      <c r="M35" s="335" t="s">
        <v>782</v>
      </c>
      <c r="N35" s="336" t="s">
        <v>766</v>
      </c>
      <c r="O35" s="336" t="s">
        <v>658</v>
      </c>
      <c r="P35" s="336" t="s">
        <v>783</v>
      </c>
    </row>
    <row r="36" s="295" customFormat="1" ht="56.25" customHeight="1" spans="1:16">
      <c r="A36" s="22">
        <v>30</v>
      </c>
      <c r="B36" s="23" t="s">
        <v>188</v>
      </c>
      <c r="C36" s="22">
        <v>1600600094</v>
      </c>
      <c r="D36" s="22" t="s">
        <v>6</v>
      </c>
      <c r="E36" s="308" t="s">
        <v>784</v>
      </c>
      <c r="F36" s="22">
        <v>2000449395</v>
      </c>
      <c r="G36" s="33" t="s">
        <v>785</v>
      </c>
      <c r="H36" s="38">
        <v>3920000</v>
      </c>
      <c r="I36" s="332">
        <v>3920000</v>
      </c>
      <c r="J36" s="333">
        <f t="shared" si="6"/>
        <v>0</v>
      </c>
      <c r="K36" s="333">
        <f t="shared" si="7"/>
        <v>100</v>
      </c>
      <c r="L36" s="334" t="s">
        <v>639</v>
      </c>
      <c r="M36" s="335" t="s">
        <v>786</v>
      </c>
      <c r="N36" s="336" t="s">
        <v>787</v>
      </c>
      <c r="O36" s="336" t="s">
        <v>788</v>
      </c>
      <c r="P36" s="336"/>
    </row>
    <row r="37" s="295" customFormat="1" ht="56.25" customHeight="1" spans="1:16">
      <c r="A37" s="22">
        <v>31</v>
      </c>
      <c r="B37" s="23" t="s">
        <v>188</v>
      </c>
      <c r="C37" s="22">
        <v>1600600094</v>
      </c>
      <c r="D37" s="22" t="s">
        <v>6</v>
      </c>
      <c r="E37" s="308" t="s">
        <v>789</v>
      </c>
      <c r="F37" s="22">
        <v>2000469732</v>
      </c>
      <c r="G37" s="33" t="s">
        <v>790</v>
      </c>
      <c r="H37" s="38">
        <v>2559120</v>
      </c>
      <c r="I37" s="332">
        <v>2559120</v>
      </c>
      <c r="J37" s="333">
        <f t="shared" si="6"/>
        <v>0</v>
      </c>
      <c r="K37" s="333">
        <f t="shared" si="7"/>
        <v>100</v>
      </c>
      <c r="L37" s="334" t="s">
        <v>639</v>
      </c>
      <c r="M37" s="335" t="s">
        <v>786</v>
      </c>
      <c r="N37" s="336" t="s">
        <v>787</v>
      </c>
      <c r="O37" s="336" t="s">
        <v>788</v>
      </c>
      <c r="P37" s="336"/>
    </row>
    <row r="38" s="295" customFormat="1" ht="21" spans="1:16">
      <c r="A38" s="22">
        <v>32</v>
      </c>
      <c r="B38" s="23" t="s">
        <v>791</v>
      </c>
      <c r="C38" s="22">
        <v>1600600420</v>
      </c>
      <c r="D38" s="22" t="s">
        <v>6</v>
      </c>
      <c r="E38" s="308" t="s">
        <v>792</v>
      </c>
      <c r="F38" s="22">
        <v>7014653159</v>
      </c>
      <c r="G38" s="309" t="s">
        <v>793</v>
      </c>
      <c r="H38" s="38">
        <v>3869000</v>
      </c>
      <c r="I38" s="332">
        <v>3869000</v>
      </c>
      <c r="J38" s="333">
        <f t="shared" si="6"/>
        <v>0</v>
      </c>
      <c r="K38" s="333">
        <f t="shared" si="7"/>
        <v>100</v>
      </c>
      <c r="L38" s="334" t="s">
        <v>639</v>
      </c>
      <c r="M38" s="335" t="s">
        <v>794</v>
      </c>
      <c r="N38" s="336" t="s">
        <v>795</v>
      </c>
      <c r="O38" s="336" t="s">
        <v>796</v>
      </c>
      <c r="P38" s="336" t="s">
        <v>797</v>
      </c>
    </row>
    <row r="39" s="295" customFormat="1" ht="29.25" customHeight="1" spans="1:16">
      <c r="A39" s="22">
        <v>33</v>
      </c>
      <c r="B39" s="23" t="s">
        <v>798</v>
      </c>
      <c r="C39" s="22">
        <v>1600600456</v>
      </c>
      <c r="D39" s="22" t="s">
        <v>6</v>
      </c>
      <c r="E39" s="308" t="s">
        <v>799</v>
      </c>
      <c r="F39" s="22">
        <v>7014571829</v>
      </c>
      <c r="G39" s="309" t="s">
        <v>800</v>
      </c>
      <c r="H39" s="38">
        <v>2642900</v>
      </c>
      <c r="I39" s="332">
        <v>2642900</v>
      </c>
      <c r="J39" s="333">
        <f t="shared" si="6"/>
        <v>0</v>
      </c>
      <c r="K39" s="333">
        <f t="shared" si="7"/>
        <v>100</v>
      </c>
      <c r="L39" s="334" t="s">
        <v>639</v>
      </c>
      <c r="M39" s="335" t="s">
        <v>801</v>
      </c>
      <c r="N39" s="336" t="s">
        <v>802</v>
      </c>
      <c r="O39" s="336" t="s">
        <v>803</v>
      </c>
      <c r="P39" s="336" t="s">
        <v>804</v>
      </c>
    </row>
    <row r="40" s="136" customFormat="1" ht="37.5" customHeight="1" spans="1:16">
      <c r="A40" s="311" t="s">
        <v>221</v>
      </c>
      <c r="B40" s="312"/>
      <c r="C40" s="312"/>
      <c r="D40" s="312"/>
      <c r="E40" s="312"/>
      <c r="F40" s="312"/>
      <c r="G40" s="313"/>
      <c r="H40" s="316">
        <f>SUM(H22:H39)</f>
        <v>79042218.23</v>
      </c>
      <c r="I40" s="316">
        <f>SUM(I22:I39)</f>
        <v>58179870.84</v>
      </c>
      <c r="J40" s="316">
        <f>SUM(J22:J39)</f>
        <v>20862347.39</v>
      </c>
      <c r="K40" s="345">
        <f t="shared" si="7"/>
        <v>73.6060704555457</v>
      </c>
      <c r="L40" s="346"/>
      <c r="M40" s="239"/>
      <c r="N40" s="168"/>
      <c r="O40" s="168"/>
      <c r="P40" s="168"/>
    </row>
    <row r="41" s="295" customFormat="1" ht="78" customHeight="1" spans="1:16">
      <c r="A41" s="22">
        <v>34</v>
      </c>
      <c r="B41" s="23" t="s">
        <v>613</v>
      </c>
      <c r="C41" s="22">
        <v>1600600011</v>
      </c>
      <c r="D41" s="22" t="s">
        <v>8</v>
      </c>
      <c r="E41" s="308" t="s">
        <v>805</v>
      </c>
      <c r="F41" s="22">
        <v>7015076230</v>
      </c>
      <c r="G41" s="315" t="s">
        <v>806</v>
      </c>
      <c r="H41" s="38">
        <v>1620000</v>
      </c>
      <c r="I41" s="332">
        <v>1620000</v>
      </c>
      <c r="J41" s="333">
        <f>+H41-I41</f>
        <v>0</v>
      </c>
      <c r="K41" s="333">
        <f t="shared" si="7"/>
        <v>100</v>
      </c>
      <c r="L41" s="334" t="s">
        <v>639</v>
      </c>
      <c r="M41" s="335" t="s">
        <v>807</v>
      </c>
      <c r="N41" s="336" t="s">
        <v>663</v>
      </c>
      <c r="O41" s="336" t="s">
        <v>670</v>
      </c>
      <c r="P41" s="336" t="s">
        <v>665</v>
      </c>
    </row>
    <row r="42" s="295" customFormat="1" ht="29.25" customHeight="1" spans="1:16">
      <c r="A42" s="22">
        <v>35</v>
      </c>
      <c r="B42" s="23" t="s">
        <v>613</v>
      </c>
      <c r="C42" s="22">
        <v>1600600011</v>
      </c>
      <c r="D42" s="22" t="s">
        <v>8</v>
      </c>
      <c r="E42" s="308" t="s">
        <v>808</v>
      </c>
      <c r="F42" s="22">
        <v>7015167313</v>
      </c>
      <c r="G42" s="309" t="s">
        <v>809</v>
      </c>
      <c r="H42" s="38">
        <v>56300</v>
      </c>
      <c r="I42" s="332">
        <v>56300</v>
      </c>
      <c r="J42" s="333">
        <f>+H42-I42</f>
        <v>0</v>
      </c>
      <c r="K42" s="333">
        <f t="shared" si="7"/>
        <v>100</v>
      </c>
      <c r="L42" s="334" t="s">
        <v>639</v>
      </c>
      <c r="M42" s="335" t="s">
        <v>810</v>
      </c>
      <c r="N42" s="336" t="s">
        <v>811</v>
      </c>
      <c r="O42" s="336" t="s">
        <v>812</v>
      </c>
      <c r="P42" s="336" t="s">
        <v>813</v>
      </c>
    </row>
    <row r="43" s="294" customFormat="1" ht="34.5" customHeight="1" spans="1:12">
      <c r="A43" s="317" t="s">
        <v>814</v>
      </c>
      <c r="B43" s="318"/>
      <c r="C43" s="318"/>
      <c r="D43" s="318"/>
      <c r="E43" s="318"/>
      <c r="F43" s="318"/>
      <c r="G43" s="319"/>
      <c r="H43" s="320">
        <f>SUM(H41:H42)</f>
        <v>1676300</v>
      </c>
      <c r="I43" s="43">
        <f>SUM(I41:I42)</f>
        <v>1676300</v>
      </c>
      <c r="J43" s="43">
        <f>SUM(J41:J42)</f>
        <v>0</v>
      </c>
      <c r="K43" s="333">
        <f t="shared" si="7"/>
        <v>100</v>
      </c>
      <c r="L43" s="334"/>
    </row>
    <row r="44" s="296" customFormat="1" ht="42" customHeight="1" spans="1:18">
      <c r="A44" s="321" t="s">
        <v>350</v>
      </c>
      <c r="B44" s="322"/>
      <c r="C44" s="322"/>
      <c r="D44" s="322"/>
      <c r="E44" s="322"/>
      <c r="F44" s="322"/>
      <c r="G44" s="323"/>
      <c r="H44" s="324">
        <f>+H21+H40+H43</f>
        <v>94458430.79</v>
      </c>
      <c r="I44" s="324">
        <f>+I21+I40+I43</f>
        <v>72551709.59</v>
      </c>
      <c r="J44" s="324">
        <f>+J21+J40+J43</f>
        <v>21906721.2</v>
      </c>
      <c r="K44" s="347">
        <f t="shared" si="7"/>
        <v>76.8080826488606</v>
      </c>
      <c r="L44" s="344"/>
      <c r="R44" s="296" t="s">
        <v>606</v>
      </c>
    </row>
    <row r="45" hidden="1"/>
    <row r="46" hidden="1" spans="8:12">
      <c r="H46" s="325"/>
      <c r="I46" s="325"/>
      <c r="K46" s="348"/>
      <c r="L46" s="349"/>
    </row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93" spans="5:5">
      <c r="E193" s="351"/>
    </row>
  </sheetData>
  <sortState ref="A1:M36">
    <sortCondition ref="D1:D36"/>
  </sortState>
  <mergeCells count="18">
    <mergeCell ref="A1:L1"/>
    <mergeCell ref="A2:L2"/>
    <mergeCell ref="A3:L3"/>
    <mergeCell ref="A21:G21"/>
    <mergeCell ref="A40:G40"/>
    <mergeCell ref="A43:G43"/>
    <mergeCell ref="A44:G44"/>
    <mergeCell ref="B4:B5"/>
    <mergeCell ref="C4:C5"/>
    <mergeCell ref="D4:D5"/>
    <mergeCell ref="E4:E5"/>
    <mergeCell ref="F4:F5"/>
    <mergeCell ref="G4:G5"/>
    <mergeCell ref="H4:H5"/>
    <mergeCell ref="J4:J5"/>
    <mergeCell ref="M4:M5"/>
    <mergeCell ref="N4:N5"/>
    <mergeCell ref="O4:O5"/>
  </mergeCells>
  <pageMargins left="0.25" right="0" top="0.75" bottom="0.75" header="0.3" footer="0.3"/>
  <pageSetup paperSize="9" scale="70" orientation="landscape"/>
  <headerFooter>
    <oddFooter>&amp;Cหน้าที่ &amp;P จาก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topLeftCell="A16" workbookViewId="0">
      <selection activeCell="G20" sqref="G20"/>
    </sheetView>
  </sheetViews>
  <sheetFormatPr defaultColWidth="9" defaultRowHeight="26.25"/>
  <cols>
    <col min="1" max="1" width="7.85714285714286" style="642" customWidth="1"/>
    <col min="2" max="2" width="28.5714285714286" style="643" customWidth="1"/>
    <col min="3" max="4" width="14.4285714285714" style="642" customWidth="1"/>
    <col min="5" max="5" width="18.7142857142857" style="644" customWidth="1"/>
    <col min="6" max="6" width="11.8571428571429" style="642" customWidth="1"/>
    <col min="7" max="7" width="33.4285714285714" style="645" customWidth="1"/>
    <col min="8" max="8" width="16.7142857142857" style="643" customWidth="1"/>
    <col min="9" max="9" width="9.28571428571429" style="643" customWidth="1"/>
    <col min="10" max="10" width="16.8571428571429" style="643" customWidth="1"/>
    <col min="11" max="11" width="8.42857142857143" style="641" customWidth="1"/>
    <col min="12" max="12" width="25" style="643" hidden="1" customWidth="1"/>
    <col min="13" max="14" width="12.2857142857143" style="643" hidden="1" customWidth="1"/>
    <col min="15" max="15" width="24.7142857142857" style="643" hidden="1" customWidth="1"/>
    <col min="16" max="260" width="9.14285714285714" style="643"/>
    <col min="261" max="261" width="6.42857142857143" style="643" customWidth="1"/>
    <col min="262" max="262" width="32" style="643" customWidth="1"/>
    <col min="263" max="263" width="14.5714285714286" style="643" customWidth="1"/>
    <col min="264" max="264" width="12.4285714285714" style="643" customWidth="1"/>
    <col min="265" max="265" width="51.2857142857143" style="643" customWidth="1"/>
    <col min="266" max="266" width="14.8571428571429" style="643" customWidth="1"/>
    <col min="267" max="267" width="25" style="643" customWidth="1"/>
    <col min="268" max="269" width="12.2857142857143" style="643" customWidth="1"/>
    <col min="270" max="270" width="24.7142857142857" style="643" customWidth="1"/>
    <col min="271" max="271" width="15" style="643" customWidth="1"/>
    <col min="272" max="516" width="9.14285714285714" style="643"/>
    <col min="517" max="517" width="6.42857142857143" style="643" customWidth="1"/>
    <col min="518" max="518" width="32" style="643" customWidth="1"/>
    <col min="519" max="519" width="14.5714285714286" style="643" customWidth="1"/>
    <col min="520" max="520" width="12.4285714285714" style="643" customWidth="1"/>
    <col min="521" max="521" width="51.2857142857143" style="643" customWidth="1"/>
    <col min="522" max="522" width="14.8571428571429" style="643" customWidth="1"/>
    <col min="523" max="523" width="25" style="643" customWidth="1"/>
    <col min="524" max="525" width="12.2857142857143" style="643" customWidth="1"/>
    <col min="526" max="526" width="24.7142857142857" style="643" customWidth="1"/>
    <col min="527" max="527" width="15" style="643" customWidth="1"/>
    <col min="528" max="772" width="9.14285714285714" style="643"/>
    <col min="773" max="773" width="6.42857142857143" style="643" customWidth="1"/>
    <col min="774" max="774" width="32" style="643" customWidth="1"/>
    <col min="775" max="775" width="14.5714285714286" style="643" customWidth="1"/>
    <col min="776" max="776" width="12.4285714285714" style="643" customWidth="1"/>
    <col min="777" max="777" width="51.2857142857143" style="643" customWidth="1"/>
    <col min="778" max="778" width="14.8571428571429" style="643" customWidth="1"/>
    <col min="779" max="779" width="25" style="643" customWidth="1"/>
    <col min="780" max="781" width="12.2857142857143" style="643" customWidth="1"/>
    <col min="782" max="782" width="24.7142857142857" style="643" customWidth="1"/>
    <col min="783" max="783" width="15" style="643" customWidth="1"/>
    <col min="784" max="1028" width="9.14285714285714" style="643"/>
    <col min="1029" max="1029" width="6.42857142857143" style="643" customWidth="1"/>
    <col min="1030" max="1030" width="32" style="643" customWidth="1"/>
    <col min="1031" max="1031" width="14.5714285714286" style="643" customWidth="1"/>
    <col min="1032" max="1032" width="12.4285714285714" style="643" customWidth="1"/>
    <col min="1033" max="1033" width="51.2857142857143" style="643" customWidth="1"/>
    <col min="1034" max="1034" width="14.8571428571429" style="643" customWidth="1"/>
    <col min="1035" max="1035" width="25" style="643" customWidth="1"/>
    <col min="1036" max="1037" width="12.2857142857143" style="643" customWidth="1"/>
    <col min="1038" max="1038" width="24.7142857142857" style="643" customWidth="1"/>
    <col min="1039" max="1039" width="15" style="643" customWidth="1"/>
    <col min="1040" max="1284" width="9.14285714285714" style="643"/>
    <col min="1285" max="1285" width="6.42857142857143" style="643" customWidth="1"/>
    <col min="1286" max="1286" width="32" style="643" customWidth="1"/>
    <col min="1287" max="1287" width="14.5714285714286" style="643" customWidth="1"/>
    <col min="1288" max="1288" width="12.4285714285714" style="643" customWidth="1"/>
    <col min="1289" max="1289" width="51.2857142857143" style="643" customWidth="1"/>
    <col min="1290" max="1290" width="14.8571428571429" style="643" customWidth="1"/>
    <col min="1291" max="1291" width="25" style="643" customWidth="1"/>
    <col min="1292" max="1293" width="12.2857142857143" style="643" customWidth="1"/>
    <col min="1294" max="1294" width="24.7142857142857" style="643" customWidth="1"/>
    <col min="1295" max="1295" width="15" style="643" customWidth="1"/>
    <col min="1296" max="1540" width="9.14285714285714" style="643"/>
    <col min="1541" max="1541" width="6.42857142857143" style="643" customWidth="1"/>
    <col min="1542" max="1542" width="32" style="643" customWidth="1"/>
    <col min="1543" max="1543" width="14.5714285714286" style="643" customWidth="1"/>
    <col min="1544" max="1544" width="12.4285714285714" style="643" customWidth="1"/>
    <col min="1545" max="1545" width="51.2857142857143" style="643" customWidth="1"/>
    <col min="1546" max="1546" width="14.8571428571429" style="643" customWidth="1"/>
    <col min="1547" max="1547" width="25" style="643" customWidth="1"/>
    <col min="1548" max="1549" width="12.2857142857143" style="643" customWidth="1"/>
    <col min="1550" max="1550" width="24.7142857142857" style="643" customWidth="1"/>
    <col min="1551" max="1551" width="15" style="643" customWidth="1"/>
    <col min="1552" max="1796" width="9.14285714285714" style="643"/>
    <col min="1797" max="1797" width="6.42857142857143" style="643" customWidth="1"/>
    <col min="1798" max="1798" width="32" style="643" customWidth="1"/>
    <col min="1799" max="1799" width="14.5714285714286" style="643" customWidth="1"/>
    <col min="1800" max="1800" width="12.4285714285714" style="643" customWidth="1"/>
    <col min="1801" max="1801" width="51.2857142857143" style="643" customWidth="1"/>
    <col min="1802" max="1802" width="14.8571428571429" style="643" customWidth="1"/>
    <col min="1803" max="1803" width="25" style="643" customWidth="1"/>
    <col min="1804" max="1805" width="12.2857142857143" style="643" customWidth="1"/>
    <col min="1806" max="1806" width="24.7142857142857" style="643" customWidth="1"/>
    <col min="1807" max="1807" width="15" style="643" customWidth="1"/>
    <col min="1808" max="2052" width="9.14285714285714" style="643"/>
    <col min="2053" max="2053" width="6.42857142857143" style="643" customWidth="1"/>
    <col min="2054" max="2054" width="32" style="643" customWidth="1"/>
    <col min="2055" max="2055" width="14.5714285714286" style="643" customWidth="1"/>
    <col min="2056" max="2056" width="12.4285714285714" style="643" customWidth="1"/>
    <col min="2057" max="2057" width="51.2857142857143" style="643" customWidth="1"/>
    <col min="2058" max="2058" width="14.8571428571429" style="643" customWidth="1"/>
    <col min="2059" max="2059" width="25" style="643" customWidth="1"/>
    <col min="2060" max="2061" width="12.2857142857143" style="643" customWidth="1"/>
    <col min="2062" max="2062" width="24.7142857142857" style="643" customWidth="1"/>
    <col min="2063" max="2063" width="15" style="643" customWidth="1"/>
    <col min="2064" max="2308" width="9.14285714285714" style="643"/>
    <col min="2309" max="2309" width="6.42857142857143" style="643" customWidth="1"/>
    <col min="2310" max="2310" width="32" style="643" customWidth="1"/>
    <col min="2311" max="2311" width="14.5714285714286" style="643" customWidth="1"/>
    <col min="2312" max="2312" width="12.4285714285714" style="643" customWidth="1"/>
    <col min="2313" max="2313" width="51.2857142857143" style="643" customWidth="1"/>
    <col min="2314" max="2314" width="14.8571428571429" style="643" customWidth="1"/>
    <col min="2315" max="2315" width="25" style="643" customWidth="1"/>
    <col min="2316" max="2317" width="12.2857142857143" style="643" customWidth="1"/>
    <col min="2318" max="2318" width="24.7142857142857" style="643" customWidth="1"/>
    <col min="2319" max="2319" width="15" style="643" customWidth="1"/>
    <col min="2320" max="2564" width="9.14285714285714" style="643"/>
    <col min="2565" max="2565" width="6.42857142857143" style="643" customWidth="1"/>
    <col min="2566" max="2566" width="32" style="643" customWidth="1"/>
    <col min="2567" max="2567" width="14.5714285714286" style="643" customWidth="1"/>
    <col min="2568" max="2568" width="12.4285714285714" style="643" customWidth="1"/>
    <col min="2569" max="2569" width="51.2857142857143" style="643" customWidth="1"/>
    <col min="2570" max="2570" width="14.8571428571429" style="643" customWidth="1"/>
    <col min="2571" max="2571" width="25" style="643" customWidth="1"/>
    <col min="2572" max="2573" width="12.2857142857143" style="643" customWidth="1"/>
    <col min="2574" max="2574" width="24.7142857142857" style="643" customWidth="1"/>
    <col min="2575" max="2575" width="15" style="643" customWidth="1"/>
    <col min="2576" max="2820" width="9.14285714285714" style="643"/>
    <col min="2821" max="2821" width="6.42857142857143" style="643" customWidth="1"/>
    <col min="2822" max="2822" width="32" style="643" customWidth="1"/>
    <col min="2823" max="2823" width="14.5714285714286" style="643" customWidth="1"/>
    <col min="2824" max="2824" width="12.4285714285714" style="643" customWidth="1"/>
    <col min="2825" max="2825" width="51.2857142857143" style="643" customWidth="1"/>
    <col min="2826" max="2826" width="14.8571428571429" style="643" customWidth="1"/>
    <col min="2827" max="2827" width="25" style="643" customWidth="1"/>
    <col min="2828" max="2829" width="12.2857142857143" style="643" customWidth="1"/>
    <col min="2830" max="2830" width="24.7142857142857" style="643" customWidth="1"/>
    <col min="2831" max="2831" width="15" style="643" customWidth="1"/>
    <col min="2832" max="3076" width="9.14285714285714" style="643"/>
    <col min="3077" max="3077" width="6.42857142857143" style="643" customWidth="1"/>
    <col min="3078" max="3078" width="32" style="643" customWidth="1"/>
    <col min="3079" max="3079" width="14.5714285714286" style="643" customWidth="1"/>
    <col min="3080" max="3080" width="12.4285714285714" style="643" customWidth="1"/>
    <col min="3081" max="3081" width="51.2857142857143" style="643" customWidth="1"/>
    <col min="3082" max="3082" width="14.8571428571429" style="643" customWidth="1"/>
    <col min="3083" max="3083" width="25" style="643" customWidth="1"/>
    <col min="3084" max="3085" width="12.2857142857143" style="643" customWidth="1"/>
    <col min="3086" max="3086" width="24.7142857142857" style="643" customWidth="1"/>
    <col min="3087" max="3087" width="15" style="643" customWidth="1"/>
    <col min="3088" max="3332" width="9.14285714285714" style="643"/>
    <col min="3333" max="3333" width="6.42857142857143" style="643" customWidth="1"/>
    <col min="3334" max="3334" width="32" style="643" customWidth="1"/>
    <col min="3335" max="3335" width="14.5714285714286" style="643" customWidth="1"/>
    <col min="3336" max="3336" width="12.4285714285714" style="643" customWidth="1"/>
    <col min="3337" max="3337" width="51.2857142857143" style="643" customWidth="1"/>
    <col min="3338" max="3338" width="14.8571428571429" style="643" customWidth="1"/>
    <col min="3339" max="3339" width="25" style="643" customWidth="1"/>
    <col min="3340" max="3341" width="12.2857142857143" style="643" customWidth="1"/>
    <col min="3342" max="3342" width="24.7142857142857" style="643" customWidth="1"/>
    <col min="3343" max="3343" width="15" style="643" customWidth="1"/>
    <col min="3344" max="3588" width="9.14285714285714" style="643"/>
    <col min="3589" max="3589" width="6.42857142857143" style="643" customWidth="1"/>
    <col min="3590" max="3590" width="32" style="643" customWidth="1"/>
    <col min="3591" max="3591" width="14.5714285714286" style="643" customWidth="1"/>
    <col min="3592" max="3592" width="12.4285714285714" style="643" customWidth="1"/>
    <col min="3593" max="3593" width="51.2857142857143" style="643" customWidth="1"/>
    <col min="3594" max="3594" width="14.8571428571429" style="643" customWidth="1"/>
    <col min="3595" max="3595" width="25" style="643" customWidth="1"/>
    <col min="3596" max="3597" width="12.2857142857143" style="643" customWidth="1"/>
    <col min="3598" max="3598" width="24.7142857142857" style="643" customWidth="1"/>
    <col min="3599" max="3599" width="15" style="643" customWidth="1"/>
    <col min="3600" max="3844" width="9.14285714285714" style="643"/>
    <col min="3845" max="3845" width="6.42857142857143" style="643" customWidth="1"/>
    <col min="3846" max="3846" width="32" style="643" customWidth="1"/>
    <col min="3847" max="3847" width="14.5714285714286" style="643" customWidth="1"/>
    <col min="3848" max="3848" width="12.4285714285714" style="643" customWidth="1"/>
    <col min="3849" max="3849" width="51.2857142857143" style="643" customWidth="1"/>
    <col min="3850" max="3850" width="14.8571428571429" style="643" customWidth="1"/>
    <col min="3851" max="3851" width="25" style="643" customWidth="1"/>
    <col min="3852" max="3853" width="12.2857142857143" style="643" customWidth="1"/>
    <col min="3854" max="3854" width="24.7142857142857" style="643" customWidth="1"/>
    <col min="3855" max="3855" width="15" style="643" customWidth="1"/>
    <col min="3856" max="4100" width="9.14285714285714" style="643"/>
    <col min="4101" max="4101" width="6.42857142857143" style="643" customWidth="1"/>
    <col min="4102" max="4102" width="32" style="643" customWidth="1"/>
    <col min="4103" max="4103" width="14.5714285714286" style="643" customWidth="1"/>
    <col min="4104" max="4104" width="12.4285714285714" style="643" customWidth="1"/>
    <col min="4105" max="4105" width="51.2857142857143" style="643" customWidth="1"/>
    <col min="4106" max="4106" width="14.8571428571429" style="643" customWidth="1"/>
    <col min="4107" max="4107" width="25" style="643" customWidth="1"/>
    <col min="4108" max="4109" width="12.2857142857143" style="643" customWidth="1"/>
    <col min="4110" max="4110" width="24.7142857142857" style="643" customWidth="1"/>
    <col min="4111" max="4111" width="15" style="643" customWidth="1"/>
    <col min="4112" max="4356" width="9.14285714285714" style="643"/>
    <col min="4357" max="4357" width="6.42857142857143" style="643" customWidth="1"/>
    <col min="4358" max="4358" width="32" style="643" customWidth="1"/>
    <col min="4359" max="4359" width="14.5714285714286" style="643" customWidth="1"/>
    <col min="4360" max="4360" width="12.4285714285714" style="643" customWidth="1"/>
    <col min="4361" max="4361" width="51.2857142857143" style="643" customWidth="1"/>
    <col min="4362" max="4362" width="14.8571428571429" style="643" customWidth="1"/>
    <col min="4363" max="4363" width="25" style="643" customWidth="1"/>
    <col min="4364" max="4365" width="12.2857142857143" style="643" customWidth="1"/>
    <col min="4366" max="4366" width="24.7142857142857" style="643" customWidth="1"/>
    <col min="4367" max="4367" width="15" style="643" customWidth="1"/>
    <col min="4368" max="4612" width="9.14285714285714" style="643"/>
    <col min="4613" max="4613" width="6.42857142857143" style="643" customWidth="1"/>
    <col min="4614" max="4614" width="32" style="643" customWidth="1"/>
    <col min="4615" max="4615" width="14.5714285714286" style="643" customWidth="1"/>
    <col min="4616" max="4616" width="12.4285714285714" style="643" customWidth="1"/>
    <col min="4617" max="4617" width="51.2857142857143" style="643" customWidth="1"/>
    <col min="4618" max="4618" width="14.8571428571429" style="643" customWidth="1"/>
    <col min="4619" max="4619" width="25" style="643" customWidth="1"/>
    <col min="4620" max="4621" width="12.2857142857143" style="643" customWidth="1"/>
    <col min="4622" max="4622" width="24.7142857142857" style="643" customWidth="1"/>
    <col min="4623" max="4623" width="15" style="643" customWidth="1"/>
    <col min="4624" max="4868" width="9.14285714285714" style="643"/>
    <col min="4869" max="4869" width="6.42857142857143" style="643" customWidth="1"/>
    <col min="4870" max="4870" width="32" style="643" customWidth="1"/>
    <col min="4871" max="4871" width="14.5714285714286" style="643" customWidth="1"/>
    <col min="4872" max="4872" width="12.4285714285714" style="643" customWidth="1"/>
    <col min="4873" max="4873" width="51.2857142857143" style="643" customWidth="1"/>
    <col min="4874" max="4874" width="14.8571428571429" style="643" customWidth="1"/>
    <col min="4875" max="4875" width="25" style="643" customWidth="1"/>
    <col min="4876" max="4877" width="12.2857142857143" style="643" customWidth="1"/>
    <col min="4878" max="4878" width="24.7142857142857" style="643" customWidth="1"/>
    <col min="4879" max="4879" width="15" style="643" customWidth="1"/>
    <col min="4880" max="5124" width="9.14285714285714" style="643"/>
    <col min="5125" max="5125" width="6.42857142857143" style="643" customWidth="1"/>
    <col min="5126" max="5126" width="32" style="643" customWidth="1"/>
    <col min="5127" max="5127" width="14.5714285714286" style="643" customWidth="1"/>
    <col min="5128" max="5128" width="12.4285714285714" style="643" customWidth="1"/>
    <col min="5129" max="5129" width="51.2857142857143" style="643" customWidth="1"/>
    <col min="5130" max="5130" width="14.8571428571429" style="643" customWidth="1"/>
    <col min="5131" max="5131" width="25" style="643" customWidth="1"/>
    <col min="5132" max="5133" width="12.2857142857143" style="643" customWidth="1"/>
    <col min="5134" max="5134" width="24.7142857142857" style="643" customWidth="1"/>
    <col min="5135" max="5135" width="15" style="643" customWidth="1"/>
    <col min="5136" max="5380" width="9.14285714285714" style="643"/>
    <col min="5381" max="5381" width="6.42857142857143" style="643" customWidth="1"/>
    <col min="5382" max="5382" width="32" style="643" customWidth="1"/>
    <col min="5383" max="5383" width="14.5714285714286" style="643" customWidth="1"/>
    <col min="5384" max="5384" width="12.4285714285714" style="643" customWidth="1"/>
    <col min="5385" max="5385" width="51.2857142857143" style="643" customWidth="1"/>
    <col min="5386" max="5386" width="14.8571428571429" style="643" customWidth="1"/>
    <col min="5387" max="5387" width="25" style="643" customWidth="1"/>
    <col min="5388" max="5389" width="12.2857142857143" style="643" customWidth="1"/>
    <col min="5390" max="5390" width="24.7142857142857" style="643" customWidth="1"/>
    <col min="5391" max="5391" width="15" style="643" customWidth="1"/>
    <col min="5392" max="5636" width="9.14285714285714" style="643"/>
    <col min="5637" max="5637" width="6.42857142857143" style="643" customWidth="1"/>
    <col min="5638" max="5638" width="32" style="643" customWidth="1"/>
    <col min="5639" max="5639" width="14.5714285714286" style="643" customWidth="1"/>
    <col min="5640" max="5640" width="12.4285714285714" style="643" customWidth="1"/>
    <col min="5641" max="5641" width="51.2857142857143" style="643" customWidth="1"/>
    <col min="5642" max="5642" width="14.8571428571429" style="643" customWidth="1"/>
    <col min="5643" max="5643" width="25" style="643" customWidth="1"/>
    <col min="5644" max="5645" width="12.2857142857143" style="643" customWidth="1"/>
    <col min="5646" max="5646" width="24.7142857142857" style="643" customWidth="1"/>
    <col min="5647" max="5647" width="15" style="643" customWidth="1"/>
    <col min="5648" max="5892" width="9.14285714285714" style="643"/>
    <col min="5893" max="5893" width="6.42857142857143" style="643" customWidth="1"/>
    <col min="5894" max="5894" width="32" style="643" customWidth="1"/>
    <col min="5895" max="5895" width="14.5714285714286" style="643" customWidth="1"/>
    <col min="5896" max="5896" width="12.4285714285714" style="643" customWidth="1"/>
    <col min="5897" max="5897" width="51.2857142857143" style="643" customWidth="1"/>
    <col min="5898" max="5898" width="14.8571428571429" style="643" customWidth="1"/>
    <col min="5899" max="5899" width="25" style="643" customWidth="1"/>
    <col min="5900" max="5901" width="12.2857142857143" style="643" customWidth="1"/>
    <col min="5902" max="5902" width="24.7142857142857" style="643" customWidth="1"/>
    <col min="5903" max="5903" width="15" style="643" customWidth="1"/>
    <col min="5904" max="6148" width="9.14285714285714" style="643"/>
    <col min="6149" max="6149" width="6.42857142857143" style="643" customWidth="1"/>
    <col min="6150" max="6150" width="32" style="643" customWidth="1"/>
    <col min="6151" max="6151" width="14.5714285714286" style="643" customWidth="1"/>
    <col min="6152" max="6152" width="12.4285714285714" style="643" customWidth="1"/>
    <col min="6153" max="6153" width="51.2857142857143" style="643" customWidth="1"/>
    <col min="6154" max="6154" width="14.8571428571429" style="643" customWidth="1"/>
    <col min="6155" max="6155" width="25" style="643" customWidth="1"/>
    <col min="6156" max="6157" width="12.2857142857143" style="643" customWidth="1"/>
    <col min="6158" max="6158" width="24.7142857142857" style="643" customWidth="1"/>
    <col min="6159" max="6159" width="15" style="643" customWidth="1"/>
    <col min="6160" max="6404" width="9.14285714285714" style="643"/>
    <col min="6405" max="6405" width="6.42857142857143" style="643" customWidth="1"/>
    <col min="6406" max="6406" width="32" style="643" customWidth="1"/>
    <col min="6407" max="6407" width="14.5714285714286" style="643" customWidth="1"/>
    <col min="6408" max="6408" width="12.4285714285714" style="643" customWidth="1"/>
    <col min="6409" max="6409" width="51.2857142857143" style="643" customWidth="1"/>
    <col min="6410" max="6410" width="14.8571428571429" style="643" customWidth="1"/>
    <col min="6411" max="6411" width="25" style="643" customWidth="1"/>
    <col min="6412" max="6413" width="12.2857142857143" style="643" customWidth="1"/>
    <col min="6414" max="6414" width="24.7142857142857" style="643" customWidth="1"/>
    <col min="6415" max="6415" width="15" style="643" customWidth="1"/>
    <col min="6416" max="6660" width="9.14285714285714" style="643"/>
    <col min="6661" max="6661" width="6.42857142857143" style="643" customWidth="1"/>
    <col min="6662" max="6662" width="32" style="643" customWidth="1"/>
    <col min="6663" max="6663" width="14.5714285714286" style="643" customWidth="1"/>
    <col min="6664" max="6664" width="12.4285714285714" style="643" customWidth="1"/>
    <col min="6665" max="6665" width="51.2857142857143" style="643" customWidth="1"/>
    <col min="6666" max="6666" width="14.8571428571429" style="643" customWidth="1"/>
    <col min="6667" max="6667" width="25" style="643" customWidth="1"/>
    <col min="6668" max="6669" width="12.2857142857143" style="643" customWidth="1"/>
    <col min="6670" max="6670" width="24.7142857142857" style="643" customWidth="1"/>
    <col min="6671" max="6671" width="15" style="643" customWidth="1"/>
    <col min="6672" max="6916" width="9.14285714285714" style="643"/>
    <col min="6917" max="6917" width="6.42857142857143" style="643" customWidth="1"/>
    <col min="6918" max="6918" width="32" style="643" customWidth="1"/>
    <col min="6919" max="6919" width="14.5714285714286" style="643" customWidth="1"/>
    <col min="6920" max="6920" width="12.4285714285714" style="643" customWidth="1"/>
    <col min="6921" max="6921" width="51.2857142857143" style="643" customWidth="1"/>
    <col min="6922" max="6922" width="14.8571428571429" style="643" customWidth="1"/>
    <col min="6923" max="6923" width="25" style="643" customWidth="1"/>
    <col min="6924" max="6925" width="12.2857142857143" style="643" customWidth="1"/>
    <col min="6926" max="6926" width="24.7142857142857" style="643" customWidth="1"/>
    <col min="6927" max="6927" width="15" style="643" customWidth="1"/>
    <col min="6928" max="7172" width="9.14285714285714" style="643"/>
    <col min="7173" max="7173" width="6.42857142857143" style="643" customWidth="1"/>
    <col min="7174" max="7174" width="32" style="643" customWidth="1"/>
    <col min="7175" max="7175" width="14.5714285714286" style="643" customWidth="1"/>
    <col min="7176" max="7176" width="12.4285714285714" style="643" customWidth="1"/>
    <col min="7177" max="7177" width="51.2857142857143" style="643" customWidth="1"/>
    <col min="7178" max="7178" width="14.8571428571429" style="643" customWidth="1"/>
    <col min="7179" max="7179" width="25" style="643" customWidth="1"/>
    <col min="7180" max="7181" width="12.2857142857143" style="643" customWidth="1"/>
    <col min="7182" max="7182" width="24.7142857142857" style="643" customWidth="1"/>
    <col min="7183" max="7183" width="15" style="643" customWidth="1"/>
    <col min="7184" max="7428" width="9.14285714285714" style="643"/>
    <col min="7429" max="7429" width="6.42857142857143" style="643" customWidth="1"/>
    <col min="7430" max="7430" width="32" style="643" customWidth="1"/>
    <col min="7431" max="7431" width="14.5714285714286" style="643" customWidth="1"/>
    <col min="7432" max="7432" width="12.4285714285714" style="643" customWidth="1"/>
    <col min="7433" max="7433" width="51.2857142857143" style="643" customWidth="1"/>
    <col min="7434" max="7434" width="14.8571428571429" style="643" customWidth="1"/>
    <col min="7435" max="7435" width="25" style="643" customWidth="1"/>
    <col min="7436" max="7437" width="12.2857142857143" style="643" customWidth="1"/>
    <col min="7438" max="7438" width="24.7142857142857" style="643" customWidth="1"/>
    <col min="7439" max="7439" width="15" style="643" customWidth="1"/>
    <col min="7440" max="7684" width="9.14285714285714" style="643"/>
    <col min="7685" max="7685" width="6.42857142857143" style="643" customWidth="1"/>
    <col min="7686" max="7686" width="32" style="643" customWidth="1"/>
    <col min="7687" max="7687" width="14.5714285714286" style="643" customWidth="1"/>
    <col min="7688" max="7688" width="12.4285714285714" style="643" customWidth="1"/>
    <col min="7689" max="7689" width="51.2857142857143" style="643" customWidth="1"/>
    <col min="7690" max="7690" width="14.8571428571429" style="643" customWidth="1"/>
    <col min="7691" max="7691" width="25" style="643" customWidth="1"/>
    <col min="7692" max="7693" width="12.2857142857143" style="643" customWidth="1"/>
    <col min="7694" max="7694" width="24.7142857142857" style="643" customWidth="1"/>
    <col min="7695" max="7695" width="15" style="643" customWidth="1"/>
    <col min="7696" max="7940" width="9.14285714285714" style="643"/>
    <col min="7941" max="7941" width="6.42857142857143" style="643" customWidth="1"/>
    <col min="7942" max="7942" width="32" style="643" customWidth="1"/>
    <col min="7943" max="7943" width="14.5714285714286" style="643" customWidth="1"/>
    <col min="7944" max="7944" width="12.4285714285714" style="643" customWidth="1"/>
    <col min="7945" max="7945" width="51.2857142857143" style="643" customWidth="1"/>
    <col min="7946" max="7946" width="14.8571428571429" style="643" customWidth="1"/>
    <col min="7947" max="7947" width="25" style="643" customWidth="1"/>
    <col min="7948" max="7949" width="12.2857142857143" style="643" customWidth="1"/>
    <col min="7950" max="7950" width="24.7142857142857" style="643" customWidth="1"/>
    <col min="7951" max="7951" width="15" style="643" customWidth="1"/>
    <col min="7952" max="8196" width="9.14285714285714" style="643"/>
    <col min="8197" max="8197" width="6.42857142857143" style="643" customWidth="1"/>
    <col min="8198" max="8198" width="32" style="643" customWidth="1"/>
    <col min="8199" max="8199" width="14.5714285714286" style="643" customWidth="1"/>
    <col min="8200" max="8200" width="12.4285714285714" style="643" customWidth="1"/>
    <col min="8201" max="8201" width="51.2857142857143" style="643" customWidth="1"/>
    <col min="8202" max="8202" width="14.8571428571429" style="643" customWidth="1"/>
    <col min="8203" max="8203" width="25" style="643" customWidth="1"/>
    <col min="8204" max="8205" width="12.2857142857143" style="643" customWidth="1"/>
    <col min="8206" max="8206" width="24.7142857142857" style="643" customWidth="1"/>
    <col min="8207" max="8207" width="15" style="643" customWidth="1"/>
    <col min="8208" max="8452" width="9.14285714285714" style="643"/>
    <col min="8453" max="8453" width="6.42857142857143" style="643" customWidth="1"/>
    <col min="8454" max="8454" width="32" style="643" customWidth="1"/>
    <col min="8455" max="8455" width="14.5714285714286" style="643" customWidth="1"/>
    <col min="8456" max="8456" width="12.4285714285714" style="643" customWidth="1"/>
    <col min="8457" max="8457" width="51.2857142857143" style="643" customWidth="1"/>
    <col min="8458" max="8458" width="14.8571428571429" style="643" customWidth="1"/>
    <col min="8459" max="8459" width="25" style="643" customWidth="1"/>
    <col min="8460" max="8461" width="12.2857142857143" style="643" customWidth="1"/>
    <col min="8462" max="8462" width="24.7142857142857" style="643" customWidth="1"/>
    <col min="8463" max="8463" width="15" style="643" customWidth="1"/>
    <col min="8464" max="8708" width="9.14285714285714" style="643"/>
    <col min="8709" max="8709" width="6.42857142857143" style="643" customWidth="1"/>
    <col min="8710" max="8710" width="32" style="643" customWidth="1"/>
    <col min="8711" max="8711" width="14.5714285714286" style="643" customWidth="1"/>
    <col min="8712" max="8712" width="12.4285714285714" style="643" customWidth="1"/>
    <col min="8713" max="8713" width="51.2857142857143" style="643" customWidth="1"/>
    <col min="8714" max="8714" width="14.8571428571429" style="643" customWidth="1"/>
    <col min="8715" max="8715" width="25" style="643" customWidth="1"/>
    <col min="8716" max="8717" width="12.2857142857143" style="643" customWidth="1"/>
    <col min="8718" max="8718" width="24.7142857142857" style="643" customWidth="1"/>
    <col min="8719" max="8719" width="15" style="643" customWidth="1"/>
    <col min="8720" max="8964" width="9.14285714285714" style="643"/>
    <col min="8965" max="8965" width="6.42857142857143" style="643" customWidth="1"/>
    <col min="8966" max="8966" width="32" style="643" customWidth="1"/>
    <col min="8967" max="8967" width="14.5714285714286" style="643" customWidth="1"/>
    <col min="8968" max="8968" width="12.4285714285714" style="643" customWidth="1"/>
    <col min="8969" max="8969" width="51.2857142857143" style="643" customWidth="1"/>
    <col min="8970" max="8970" width="14.8571428571429" style="643" customWidth="1"/>
    <col min="8971" max="8971" width="25" style="643" customWidth="1"/>
    <col min="8972" max="8973" width="12.2857142857143" style="643" customWidth="1"/>
    <col min="8974" max="8974" width="24.7142857142857" style="643" customWidth="1"/>
    <col min="8975" max="8975" width="15" style="643" customWidth="1"/>
    <col min="8976" max="9220" width="9.14285714285714" style="643"/>
    <col min="9221" max="9221" width="6.42857142857143" style="643" customWidth="1"/>
    <col min="9222" max="9222" width="32" style="643" customWidth="1"/>
    <col min="9223" max="9223" width="14.5714285714286" style="643" customWidth="1"/>
    <col min="9224" max="9224" width="12.4285714285714" style="643" customWidth="1"/>
    <col min="9225" max="9225" width="51.2857142857143" style="643" customWidth="1"/>
    <col min="9226" max="9226" width="14.8571428571429" style="643" customWidth="1"/>
    <col min="9227" max="9227" width="25" style="643" customWidth="1"/>
    <col min="9228" max="9229" width="12.2857142857143" style="643" customWidth="1"/>
    <col min="9230" max="9230" width="24.7142857142857" style="643" customWidth="1"/>
    <col min="9231" max="9231" width="15" style="643" customWidth="1"/>
    <col min="9232" max="9476" width="9.14285714285714" style="643"/>
    <col min="9477" max="9477" width="6.42857142857143" style="643" customWidth="1"/>
    <col min="9478" max="9478" width="32" style="643" customWidth="1"/>
    <col min="9479" max="9479" width="14.5714285714286" style="643" customWidth="1"/>
    <col min="9480" max="9480" width="12.4285714285714" style="643" customWidth="1"/>
    <col min="9481" max="9481" width="51.2857142857143" style="643" customWidth="1"/>
    <col min="9482" max="9482" width="14.8571428571429" style="643" customWidth="1"/>
    <col min="9483" max="9483" width="25" style="643" customWidth="1"/>
    <col min="9484" max="9485" width="12.2857142857143" style="643" customWidth="1"/>
    <col min="9486" max="9486" width="24.7142857142857" style="643" customWidth="1"/>
    <col min="9487" max="9487" width="15" style="643" customWidth="1"/>
    <col min="9488" max="9732" width="9.14285714285714" style="643"/>
    <col min="9733" max="9733" width="6.42857142857143" style="643" customWidth="1"/>
    <col min="9734" max="9734" width="32" style="643" customWidth="1"/>
    <col min="9735" max="9735" width="14.5714285714286" style="643" customWidth="1"/>
    <col min="9736" max="9736" width="12.4285714285714" style="643" customWidth="1"/>
    <col min="9737" max="9737" width="51.2857142857143" style="643" customWidth="1"/>
    <col min="9738" max="9738" width="14.8571428571429" style="643" customWidth="1"/>
    <col min="9739" max="9739" width="25" style="643" customWidth="1"/>
    <col min="9740" max="9741" width="12.2857142857143" style="643" customWidth="1"/>
    <col min="9742" max="9742" width="24.7142857142857" style="643" customWidth="1"/>
    <col min="9743" max="9743" width="15" style="643" customWidth="1"/>
    <col min="9744" max="9988" width="9.14285714285714" style="643"/>
    <col min="9989" max="9989" width="6.42857142857143" style="643" customWidth="1"/>
    <col min="9990" max="9990" width="32" style="643" customWidth="1"/>
    <col min="9991" max="9991" width="14.5714285714286" style="643" customWidth="1"/>
    <col min="9992" max="9992" width="12.4285714285714" style="643" customWidth="1"/>
    <col min="9993" max="9993" width="51.2857142857143" style="643" customWidth="1"/>
    <col min="9994" max="9994" width="14.8571428571429" style="643" customWidth="1"/>
    <col min="9995" max="9995" width="25" style="643" customWidth="1"/>
    <col min="9996" max="9997" width="12.2857142857143" style="643" customWidth="1"/>
    <col min="9998" max="9998" width="24.7142857142857" style="643" customWidth="1"/>
    <col min="9999" max="9999" width="15" style="643" customWidth="1"/>
    <col min="10000" max="10244" width="9.14285714285714" style="643"/>
    <col min="10245" max="10245" width="6.42857142857143" style="643" customWidth="1"/>
    <col min="10246" max="10246" width="32" style="643" customWidth="1"/>
    <col min="10247" max="10247" width="14.5714285714286" style="643" customWidth="1"/>
    <col min="10248" max="10248" width="12.4285714285714" style="643" customWidth="1"/>
    <col min="10249" max="10249" width="51.2857142857143" style="643" customWidth="1"/>
    <col min="10250" max="10250" width="14.8571428571429" style="643" customWidth="1"/>
    <col min="10251" max="10251" width="25" style="643" customWidth="1"/>
    <col min="10252" max="10253" width="12.2857142857143" style="643" customWidth="1"/>
    <col min="10254" max="10254" width="24.7142857142857" style="643" customWidth="1"/>
    <col min="10255" max="10255" width="15" style="643" customWidth="1"/>
    <col min="10256" max="10500" width="9.14285714285714" style="643"/>
    <col min="10501" max="10501" width="6.42857142857143" style="643" customWidth="1"/>
    <col min="10502" max="10502" width="32" style="643" customWidth="1"/>
    <col min="10503" max="10503" width="14.5714285714286" style="643" customWidth="1"/>
    <col min="10504" max="10504" width="12.4285714285714" style="643" customWidth="1"/>
    <col min="10505" max="10505" width="51.2857142857143" style="643" customWidth="1"/>
    <col min="10506" max="10506" width="14.8571428571429" style="643" customWidth="1"/>
    <col min="10507" max="10507" width="25" style="643" customWidth="1"/>
    <col min="10508" max="10509" width="12.2857142857143" style="643" customWidth="1"/>
    <col min="10510" max="10510" width="24.7142857142857" style="643" customWidth="1"/>
    <col min="10511" max="10511" width="15" style="643" customWidth="1"/>
    <col min="10512" max="10756" width="9.14285714285714" style="643"/>
    <col min="10757" max="10757" width="6.42857142857143" style="643" customWidth="1"/>
    <col min="10758" max="10758" width="32" style="643" customWidth="1"/>
    <col min="10759" max="10759" width="14.5714285714286" style="643" customWidth="1"/>
    <col min="10760" max="10760" width="12.4285714285714" style="643" customWidth="1"/>
    <col min="10761" max="10761" width="51.2857142857143" style="643" customWidth="1"/>
    <col min="10762" max="10762" width="14.8571428571429" style="643" customWidth="1"/>
    <col min="10763" max="10763" width="25" style="643" customWidth="1"/>
    <col min="10764" max="10765" width="12.2857142857143" style="643" customWidth="1"/>
    <col min="10766" max="10766" width="24.7142857142857" style="643" customWidth="1"/>
    <col min="10767" max="10767" width="15" style="643" customWidth="1"/>
    <col min="10768" max="11012" width="9.14285714285714" style="643"/>
    <col min="11013" max="11013" width="6.42857142857143" style="643" customWidth="1"/>
    <col min="11014" max="11014" width="32" style="643" customWidth="1"/>
    <col min="11015" max="11015" width="14.5714285714286" style="643" customWidth="1"/>
    <col min="11016" max="11016" width="12.4285714285714" style="643" customWidth="1"/>
    <col min="11017" max="11017" width="51.2857142857143" style="643" customWidth="1"/>
    <col min="11018" max="11018" width="14.8571428571429" style="643" customWidth="1"/>
    <col min="11019" max="11019" width="25" style="643" customWidth="1"/>
    <col min="11020" max="11021" width="12.2857142857143" style="643" customWidth="1"/>
    <col min="11022" max="11022" width="24.7142857142857" style="643" customWidth="1"/>
    <col min="11023" max="11023" width="15" style="643" customWidth="1"/>
    <col min="11024" max="11268" width="9.14285714285714" style="643"/>
    <col min="11269" max="11269" width="6.42857142857143" style="643" customWidth="1"/>
    <col min="11270" max="11270" width="32" style="643" customWidth="1"/>
    <col min="11271" max="11271" width="14.5714285714286" style="643" customWidth="1"/>
    <col min="11272" max="11272" width="12.4285714285714" style="643" customWidth="1"/>
    <col min="11273" max="11273" width="51.2857142857143" style="643" customWidth="1"/>
    <col min="11274" max="11274" width="14.8571428571429" style="643" customWidth="1"/>
    <col min="11275" max="11275" width="25" style="643" customWidth="1"/>
    <col min="11276" max="11277" width="12.2857142857143" style="643" customWidth="1"/>
    <col min="11278" max="11278" width="24.7142857142857" style="643" customWidth="1"/>
    <col min="11279" max="11279" width="15" style="643" customWidth="1"/>
    <col min="11280" max="11524" width="9.14285714285714" style="643"/>
    <col min="11525" max="11525" width="6.42857142857143" style="643" customWidth="1"/>
    <col min="11526" max="11526" width="32" style="643" customWidth="1"/>
    <col min="11527" max="11527" width="14.5714285714286" style="643" customWidth="1"/>
    <col min="11528" max="11528" width="12.4285714285714" style="643" customWidth="1"/>
    <col min="11529" max="11529" width="51.2857142857143" style="643" customWidth="1"/>
    <col min="11530" max="11530" width="14.8571428571429" style="643" customWidth="1"/>
    <col min="11531" max="11531" width="25" style="643" customWidth="1"/>
    <col min="11532" max="11533" width="12.2857142857143" style="643" customWidth="1"/>
    <col min="11534" max="11534" width="24.7142857142857" style="643" customWidth="1"/>
    <col min="11535" max="11535" width="15" style="643" customWidth="1"/>
    <col min="11536" max="11780" width="9.14285714285714" style="643"/>
    <col min="11781" max="11781" width="6.42857142857143" style="643" customWidth="1"/>
    <col min="11782" max="11782" width="32" style="643" customWidth="1"/>
    <col min="11783" max="11783" width="14.5714285714286" style="643" customWidth="1"/>
    <col min="11784" max="11784" width="12.4285714285714" style="643" customWidth="1"/>
    <col min="11785" max="11785" width="51.2857142857143" style="643" customWidth="1"/>
    <col min="11786" max="11786" width="14.8571428571429" style="643" customWidth="1"/>
    <col min="11787" max="11787" width="25" style="643" customWidth="1"/>
    <col min="11788" max="11789" width="12.2857142857143" style="643" customWidth="1"/>
    <col min="11790" max="11790" width="24.7142857142857" style="643" customWidth="1"/>
    <col min="11791" max="11791" width="15" style="643" customWidth="1"/>
    <col min="11792" max="12036" width="9.14285714285714" style="643"/>
    <col min="12037" max="12037" width="6.42857142857143" style="643" customWidth="1"/>
    <col min="12038" max="12038" width="32" style="643" customWidth="1"/>
    <col min="12039" max="12039" width="14.5714285714286" style="643" customWidth="1"/>
    <col min="12040" max="12040" width="12.4285714285714" style="643" customWidth="1"/>
    <col min="12041" max="12041" width="51.2857142857143" style="643" customWidth="1"/>
    <col min="12042" max="12042" width="14.8571428571429" style="643" customWidth="1"/>
    <col min="12043" max="12043" width="25" style="643" customWidth="1"/>
    <col min="12044" max="12045" width="12.2857142857143" style="643" customWidth="1"/>
    <col min="12046" max="12046" width="24.7142857142857" style="643" customWidth="1"/>
    <col min="12047" max="12047" width="15" style="643" customWidth="1"/>
    <col min="12048" max="12292" width="9.14285714285714" style="643"/>
    <col min="12293" max="12293" width="6.42857142857143" style="643" customWidth="1"/>
    <col min="12294" max="12294" width="32" style="643" customWidth="1"/>
    <col min="12295" max="12295" width="14.5714285714286" style="643" customWidth="1"/>
    <col min="12296" max="12296" width="12.4285714285714" style="643" customWidth="1"/>
    <col min="12297" max="12297" width="51.2857142857143" style="643" customWidth="1"/>
    <col min="12298" max="12298" width="14.8571428571429" style="643" customWidth="1"/>
    <col min="12299" max="12299" width="25" style="643" customWidth="1"/>
    <col min="12300" max="12301" width="12.2857142857143" style="643" customWidth="1"/>
    <col min="12302" max="12302" width="24.7142857142857" style="643" customWidth="1"/>
    <col min="12303" max="12303" width="15" style="643" customWidth="1"/>
    <col min="12304" max="12548" width="9.14285714285714" style="643"/>
    <col min="12549" max="12549" width="6.42857142857143" style="643" customWidth="1"/>
    <col min="12550" max="12550" width="32" style="643" customWidth="1"/>
    <col min="12551" max="12551" width="14.5714285714286" style="643" customWidth="1"/>
    <col min="12552" max="12552" width="12.4285714285714" style="643" customWidth="1"/>
    <col min="12553" max="12553" width="51.2857142857143" style="643" customWidth="1"/>
    <col min="12554" max="12554" width="14.8571428571429" style="643" customWidth="1"/>
    <col min="12555" max="12555" width="25" style="643" customWidth="1"/>
    <col min="12556" max="12557" width="12.2857142857143" style="643" customWidth="1"/>
    <col min="12558" max="12558" width="24.7142857142857" style="643" customWidth="1"/>
    <col min="12559" max="12559" width="15" style="643" customWidth="1"/>
    <col min="12560" max="12804" width="9.14285714285714" style="643"/>
    <col min="12805" max="12805" width="6.42857142857143" style="643" customWidth="1"/>
    <col min="12806" max="12806" width="32" style="643" customWidth="1"/>
    <col min="12807" max="12807" width="14.5714285714286" style="643" customWidth="1"/>
    <col min="12808" max="12808" width="12.4285714285714" style="643" customWidth="1"/>
    <col min="12809" max="12809" width="51.2857142857143" style="643" customWidth="1"/>
    <col min="12810" max="12810" width="14.8571428571429" style="643" customWidth="1"/>
    <col min="12811" max="12811" width="25" style="643" customWidth="1"/>
    <col min="12812" max="12813" width="12.2857142857143" style="643" customWidth="1"/>
    <col min="12814" max="12814" width="24.7142857142857" style="643" customWidth="1"/>
    <col min="12815" max="12815" width="15" style="643" customWidth="1"/>
    <col min="12816" max="13060" width="9.14285714285714" style="643"/>
    <col min="13061" max="13061" width="6.42857142857143" style="643" customWidth="1"/>
    <col min="13062" max="13062" width="32" style="643" customWidth="1"/>
    <col min="13063" max="13063" width="14.5714285714286" style="643" customWidth="1"/>
    <col min="13064" max="13064" width="12.4285714285714" style="643" customWidth="1"/>
    <col min="13065" max="13065" width="51.2857142857143" style="643" customWidth="1"/>
    <col min="13066" max="13066" width="14.8571428571429" style="643" customWidth="1"/>
    <col min="13067" max="13067" width="25" style="643" customWidth="1"/>
    <col min="13068" max="13069" width="12.2857142857143" style="643" customWidth="1"/>
    <col min="13070" max="13070" width="24.7142857142857" style="643" customWidth="1"/>
    <col min="13071" max="13071" width="15" style="643" customWidth="1"/>
    <col min="13072" max="13316" width="9.14285714285714" style="643"/>
    <col min="13317" max="13317" width="6.42857142857143" style="643" customWidth="1"/>
    <col min="13318" max="13318" width="32" style="643" customWidth="1"/>
    <col min="13319" max="13319" width="14.5714285714286" style="643" customWidth="1"/>
    <col min="13320" max="13320" width="12.4285714285714" style="643" customWidth="1"/>
    <col min="13321" max="13321" width="51.2857142857143" style="643" customWidth="1"/>
    <col min="13322" max="13322" width="14.8571428571429" style="643" customWidth="1"/>
    <col min="13323" max="13323" width="25" style="643" customWidth="1"/>
    <col min="13324" max="13325" width="12.2857142857143" style="643" customWidth="1"/>
    <col min="13326" max="13326" width="24.7142857142857" style="643" customWidth="1"/>
    <col min="13327" max="13327" width="15" style="643" customWidth="1"/>
    <col min="13328" max="13572" width="9.14285714285714" style="643"/>
    <col min="13573" max="13573" width="6.42857142857143" style="643" customWidth="1"/>
    <col min="13574" max="13574" width="32" style="643" customWidth="1"/>
    <col min="13575" max="13575" width="14.5714285714286" style="643" customWidth="1"/>
    <col min="13576" max="13576" width="12.4285714285714" style="643" customWidth="1"/>
    <col min="13577" max="13577" width="51.2857142857143" style="643" customWidth="1"/>
    <col min="13578" max="13578" width="14.8571428571429" style="643" customWidth="1"/>
    <col min="13579" max="13579" width="25" style="643" customWidth="1"/>
    <col min="13580" max="13581" width="12.2857142857143" style="643" customWidth="1"/>
    <col min="13582" max="13582" width="24.7142857142857" style="643" customWidth="1"/>
    <col min="13583" max="13583" width="15" style="643" customWidth="1"/>
    <col min="13584" max="13828" width="9.14285714285714" style="643"/>
    <col min="13829" max="13829" width="6.42857142857143" style="643" customWidth="1"/>
    <col min="13830" max="13830" width="32" style="643" customWidth="1"/>
    <col min="13831" max="13831" width="14.5714285714286" style="643" customWidth="1"/>
    <col min="13832" max="13832" width="12.4285714285714" style="643" customWidth="1"/>
    <col min="13833" max="13833" width="51.2857142857143" style="643" customWidth="1"/>
    <col min="13834" max="13834" width="14.8571428571429" style="643" customWidth="1"/>
    <col min="13835" max="13835" width="25" style="643" customWidth="1"/>
    <col min="13836" max="13837" width="12.2857142857143" style="643" customWidth="1"/>
    <col min="13838" max="13838" width="24.7142857142857" style="643" customWidth="1"/>
    <col min="13839" max="13839" width="15" style="643" customWidth="1"/>
    <col min="13840" max="14084" width="9.14285714285714" style="643"/>
    <col min="14085" max="14085" width="6.42857142857143" style="643" customWidth="1"/>
    <col min="14086" max="14086" width="32" style="643" customWidth="1"/>
    <col min="14087" max="14087" width="14.5714285714286" style="643" customWidth="1"/>
    <col min="14088" max="14088" width="12.4285714285714" style="643" customWidth="1"/>
    <col min="14089" max="14089" width="51.2857142857143" style="643" customWidth="1"/>
    <col min="14090" max="14090" width="14.8571428571429" style="643" customWidth="1"/>
    <col min="14091" max="14091" width="25" style="643" customWidth="1"/>
    <col min="14092" max="14093" width="12.2857142857143" style="643" customWidth="1"/>
    <col min="14094" max="14094" width="24.7142857142857" style="643" customWidth="1"/>
    <col min="14095" max="14095" width="15" style="643" customWidth="1"/>
    <col min="14096" max="14340" width="9.14285714285714" style="643"/>
    <col min="14341" max="14341" width="6.42857142857143" style="643" customWidth="1"/>
    <col min="14342" max="14342" width="32" style="643" customWidth="1"/>
    <col min="14343" max="14343" width="14.5714285714286" style="643" customWidth="1"/>
    <col min="14344" max="14344" width="12.4285714285714" style="643" customWidth="1"/>
    <col min="14345" max="14345" width="51.2857142857143" style="643" customWidth="1"/>
    <col min="14346" max="14346" width="14.8571428571429" style="643" customWidth="1"/>
    <col min="14347" max="14347" width="25" style="643" customWidth="1"/>
    <col min="14348" max="14349" width="12.2857142857143" style="643" customWidth="1"/>
    <col min="14350" max="14350" width="24.7142857142857" style="643" customWidth="1"/>
    <col min="14351" max="14351" width="15" style="643" customWidth="1"/>
    <col min="14352" max="14596" width="9.14285714285714" style="643"/>
    <col min="14597" max="14597" width="6.42857142857143" style="643" customWidth="1"/>
    <col min="14598" max="14598" width="32" style="643" customWidth="1"/>
    <col min="14599" max="14599" width="14.5714285714286" style="643" customWidth="1"/>
    <col min="14600" max="14600" width="12.4285714285714" style="643" customWidth="1"/>
    <col min="14601" max="14601" width="51.2857142857143" style="643" customWidth="1"/>
    <col min="14602" max="14602" width="14.8571428571429" style="643" customWidth="1"/>
    <col min="14603" max="14603" width="25" style="643" customWidth="1"/>
    <col min="14604" max="14605" width="12.2857142857143" style="643" customWidth="1"/>
    <col min="14606" max="14606" width="24.7142857142857" style="643" customWidth="1"/>
    <col min="14607" max="14607" width="15" style="643" customWidth="1"/>
    <col min="14608" max="14852" width="9.14285714285714" style="643"/>
    <col min="14853" max="14853" width="6.42857142857143" style="643" customWidth="1"/>
    <col min="14854" max="14854" width="32" style="643" customWidth="1"/>
    <col min="14855" max="14855" width="14.5714285714286" style="643" customWidth="1"/>
    <col min="14856" max="14856" width="12.4285714285714" style="643" customWidth="1"/>
    <col min="14857" max="14857" width="51.2857142857143" style="643" customWidth="1"/>
    <col min="14858" max="14858" width="14.8571428571429" style="643" customWidth="1"/>
    <col min="14859" max="14859" width="25" style="643" customWidth="1"/>
    <col min="14860" max="14861" width="12.2857142857143" style="643" customWidth="1"/>
    <col min="14862" max="14862" width="24.7142857142857" style="643" customWidth="1"/>
    <col min="14863" max="14863" width="15" style="643" customWidth="1"/>
    <col min="14864" max="15108" width="9.14285714285714" style="643"/>
    <col min="15109" max="15109" width="6.42857142857143" style="643" customWidth="1"/>
    <col min="15110" max="15110" width="32" style="643" customWidth="1"/>
    <col min="15111" max="15111" width="14.5714285714286" style="643" customWidth="1"/>
    <col min="15112" max="15112" width="12.4285714285714" style="643" customWidth="1"/>
    <col min="15113" max="15113" width="51.2857142857143" style="643" customWidth="1"/>
    <col min="15114" max="15114" width="14.8571428571429" style="643" customWidth="1"/>
    <col min="15115" max="15115" width="25" style="643" customWidth="1"/>
    <col min="15116" max="15117" width="12.2857142857143" style="643" customWidth="1"/>
    <col min="15118" max="15118" width="24.7142857142857" style="643" customWidth="1"/>
    <col min="15119" max="15119" width="15" style="643" customWidth="1"/>
    <col min="15120" max="15364" width="9.14285714285714" style="643"/>
    <col min="15365" max="15365" width="6.42857142857143" style="643" customWidth="1"/>
    <col min="15366" max="15366" width="32" style="643" customWidth="1"/>
    <col min="15367" max="15367" width="14.5714285714286" style="643" customWidth="1"/>
    <col min="15368" max="15368" width="12.4285714285714" style="643" customWidth="1"/>
    <col min="15369" max="15369" width="51.2857142857143" style="643" customWidth="1"/>
    <col min="15370" max="15370" width="14.8571428571429" style="643" customWidth="1"/>
    <col min="15371" max="15371" width="25" style="643" customWidth="1"/>
    <col min="15372" max="15373" width="12.2857142857143" style="643" customWidth="1"/>
    <col min="15374" max="15374" width="24.7142857142857" style="643" customWidth="1"/>
    <col min="15375" max="15375" width="15" style="643" customWidth="1"/>
    <col min="15376" max="15620" width="9.14285714285714" style="643"/>
    <col min="15621" max="15621" width="6.42857142857143" style="643" customWidth="1"/>
    <col min="15622" max="15622" width="32" style="643" customWidth="1"/>
    <col min="15623" max="15623" width="14.5714285714286" style="643" customWidth="1"/>
    <col min="15624" max="15624" width="12.4285714285714" style="643" customWidth="1"/>
    <col min="15625" max="15625" width="51.2857142857143" style="643" customWidth="1"/>
    <col min="15626" max="15626" width="14.8571428571429" style="643" customWidth="1"/>
    <col min="15627" max="15627" width="25" style="643" customWidth="1"/>
    <col min="15628" max="15629" width="12.2857142857143" style="643" customWidth="1"/>
    <col min="15630" max="15630" width="24.7142857142857" style="643" customWidth="1"/>
    <col min="15631" max="15631" width="15" style="643" customWidth="1"/>
    <col min="15632" max="15876" width="9.14285714285714" style="643"/>
    <col min="15877" max="15877" width="6.42857142857143" style="643" customWidth="1"/>
    <col min="15878" max="15878" width="32" style="643" customWidth="1"/>
    <col min="15879" max="15879" width="14.5714285714286" style="643" customWidth="1"/>
    <col min="15880" max="15880" width="12.4285714285714" style="643" customWidth="1"/>
    <col min="15881" max="15881" width="51.2857142857143" style="643" customWidth="1"/>
    <col min="15882" max="15882" width="14.8571428571429" style="643" customWidth="1"/>
    <col min="15883" max="15883" width="25" style="643" customWidth="1"/>
    <col min="15884" max="15885" width="12.2857142857143" style="643" customWidth="1"/>
    <col min="15886" max="15886" width="24.7142857142857" style="643" customWidth="1"/>
    <col min="15887" max="15887" width="15" style="643" customWidth="1"/>
    <col min="15888" max="16132" width="9.14285714285714" style="643"/>
    <col min="16133" max="16133" width="6.42857142857143" style="643" customWidth="1"/>
    <col min="16134" max="16134" width="32" style="643" customWidth="1"/>
    <col min="16135" max="16135" width="14.5714285714286" style="643" customWidth="1"/>
    <col min="16136" max="16136" width="12.4285714285714" style="643" customWidth="1"/>
    <col min="16137" max="16137" width="51.2857142857143" style="643" customWidth="1"/>
    <col min="16138" max="16138" width="14.8571428571429" style="643" customWidth="1"/>
    <col min="16139" max="16139" width="25" style="643" customWidth="1"/>
    <col min="16140" max="16141" width="12.2857142857143" style="643" customWidth="1"/>
    <col min="16142" max="16142" width="24.7142857142857" style="643" customWidth="1"/>
    <col min="16143" max="16143" width="15" style="643" customWidth="1"/>
    <col min="16144" max="16384" width="9.14285714285714" style="643"/>
  </cols>
  <sheetData>
    <row r="1" spans="1:11">
      <c r="A1" s="646" t="s">
        <v>152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</row>
    <row r="2" spans="1:11">
      <c r="A2" s="646" t="s">
        <v>630</v>
      </c>
      <c r="B2" s="646"/>
      <c r="C2" s="646"/>
      <c r="D2" s="646"/>
      <c r="E2" s="646"/>
      <c r="F2" s="646"/>
      <c r="G2" s="646"/>
      <c r="H2" s="646"/>
      <c r="I2" s="646"/>
      <c r="J2" s="646"/>
      <c r="K2" s="646"/>
    </row>
    <row r="3" spans="1:11">
      <c r="A3" s="647" t="s">
        <v>815</v>
      </c>
      <c r="B3" s="647"/>
      <c r="C3" s="647"/>
      <c r="D3" s="647"/>
      <c r="E3" s="647"/>
      <c r="F3" s="647"/>
      <c r="G3" s="647"/>
      <c r="H3" s="647"/>
      <c r="I3" s="647"/>
      <c r="J3" s="647"/>
      <c r="K3" s="647"/>
    </row>
    <row r="4" s="639" customFormat="1" ht="23.25" spans="1:15">
      <c r="A4" s="648" t="s">
        <v>155</v>
      </c>
      <c r="B4" s="649" t="s">
        <v>156</v>
      </c>
      <c r="C4" s="649" t="s">
        <v>157</v>
      </c>
      <c r="D4" s="649" t="s">
        <v>158</v>
      </c>
      <c r="E4" s="650" t="s">
        <v>159</v>
      </c>
      <c r="F4" s="649" t="s">
        <v>160</v>
      </c>
      <c r="G4" s="651" t="s">
        <v>161</v>
      </c>
      <c r="H4" s="648" t="s">
        <v>117</v>
      </c>
      <c r="I4" s="648" t="s">
        <v>26</v>
      </c>
      <c r="J4" s="648" t="s">
        <v>162</v>
      </c>
      <c r="K4" s="648" t="s">
        <v>163</v>
      </c>
      <c r="L4" s="667" t="s">
        <v>632</v>
      </c>
      <c r="M4" s="667" t="s">
        <v>633</v>
      </c>
      <c r="N4" s="667" t="s">
        <v>634</v>
      </c>
      <c r="O4" s="639" t="s">
        <v>635</v>
      </c>
    </row>
    <row r="5" s="639" customFormat="1" ht="23.25" spans="1:14">
      <c r="A5" s="652" t="s">
        <v>105</v>
      </c>
      <c r="B5" s="649"/>
      <c r="C5" s="649"/>
      <c r="D5" s="649"/>
      <c r="E5" s="650"/>
      <c r="F5" s="649"/>
      <c r="G5" s="651"/>
      <c r="H5" s="652"/>
      <c r="I5" s="652" t="s">
        <v>166</v>
      </c>
      <c r="J5" s="652"/>
      <c r="K5" s="652" t="s">
        <v>118</v>
      </c>
      <c r="L5" s="668"/>
      <c r="M5" s="668"/>
      <c r="N5" s="668"/>
    </row>
    <row r="6" s="639" customFormat="1" ht="23.25" spans="1:15">
      <c r="A6" s="653">
        <v>1</v>
      </c>
      <c r="B6" s="654" t="s">
        <v>678</v>
      </c>
      <c r="C6" s="653">
        <v>1600600711</v>
      </c>
      <c r="D6" s="653" t="s">
        <v>5</v>
      </c>
      <c r="E6" s="655" t="s">
        <v>644</v>
      </c>
      <c r="F6" s="653">
        <v>7015264822</v>
      </c>
      <c r="G6" s="656" t="s">
        <v>679</v>
      </c>
      <c r="H6" s="657">
        <v>204000</v>
      </c>
      <c r="I6" s="669">
        <v>0</v>
      </c>
      <c r="J6" s="670">
        <f>+H6-I6</f>
        <v>204000</v>
      </c>
      <c r="K6" s="671">
        <f>+I6*100/H6</f>
        <v>0</v>
      </c>
      <c r="L6" s="672" t="s">
        <v>680</v>
      </c>
      <c r="M6" s="673" t="s">
        <v>681</v>
      </c>
      <c r="N6" s="673" t="s">
        <v>642</v>
      </c>
      <c r="O6" s="673" t="s">
        <v>682</v>
      </c>
    </row>
    <row r="7" s="639" customFormat="1" ht="23.25" spans="1:15">
      <c r="A7" s="653">
        <v>2</v>
      </c>
      <c r="B7" s="654" t="s">
        <v>678</v>
      </c>
      <c r="C7" s="653">
        <v>1600600711</v>
      </c>
      <c r="D7" s="653" t="s">
        <v>5</v>
      </c>
      <c r="E7" s="655" t="s">
        <v>644</v>
      </c>
      <c r="F7" s="653">
        <v>7015272951</v>
      </c>
      <c r="G7" s="656" t="s">
        <v>683</v>
      </c>
      <c r="H7" s="657">
        <v>154404.6</v>
      </c>
      <c r="I7" s="669">
        <v>0</v>
      </c>
      <c r="J7" s="670">
        <f t="shared" ref="J7:J20" si="0">+H7-I7</f>
        <v>154404.6</v>
      </c>
      <c r="K7" s="671">
        <f t="shared" ref="K7:K44" si="1">+I7*100/H7</f>
        <v>0</v>
      </c>
      <c r="L7" s="672" t="s">
        <v>684</v>
      </c>
      <c r="M7" s="673" t="s">
        <v>669</v>
      </c>
      <c r="N7" s="673" t="s">
        <v>642</v>
      </c>
      <c r="O7" s="673" t="s">
        <v>685</v>
      </c>
    </row>
    <row r="8" s="639" customFormat="1" ht="23.25" spans="1:15">
      <c r="A8" s="653">
        <v>3</v>
      </c>
      <c r="B8" s="654" t="s">
        <v>705</v>
      </c>
      <c r="C8" s="653">
        <v>1600600013</v>
      </c>
      <c r="D8" s="653" t="s">
        <v>5</v>
      </c>
      <c r="E8" s="655" t="s">
        <v>644</v>
      </c>
      <c r="F8" s="653">
        <v>7014896495</v>
      </c>
      <c r="G8" s="658" t="s">
        <v>706</v>
      </c>
      <c r="H8" s="657">
        <v>2782</v>
      </c>
      <c r="I8" s="669">
        <v>0</v>
      </c>
      <c r="J8" s="670">
        <f t="shared" si="0"/>
        <v>2782</v>
      </c>
      <c r="K8" s="671">
        <f t="shared" si="1"/>
        <v>0</v>
      </c>
      <c r="L8" s="672" t="s">
        <v>707</v>
      </c>
      <c r="M8" s="673" t="s">
        <v>708</v>
      </c>
      <c r="N8" s="673" t="s">
        <v>709</v>
      </c>
      <c r="O8" s="673" t="s">
        <v>710</v>
      </c>
    </row>
    <row r="9" s="639" customFormat="1" ht="23.25" spans="1:15">
      <c r="A9" s="653">
        <v>4</v>
      </c>
      <c r="B9" s="654" t="s">
        <v>672</v>
      </c>
      <c r="C9" s="653">
        <v>1600600453</v>
      </c>
      <c r="D9" s="653" t="s">
        <v>5</v>
      </c>
      <c r="E9" s="655" t="s">
        <v>644</v>
      </c>
      <c r="F9" s="653">
        <v>7015155496</v>
      </c>
      <c r="G9" s="658" t="s">
        <v>673</v>
      </c>
      <c r="H9" s="657">
        <v>17983</v>
      </c>
      <c r="I9" s="669">
        <v>0</v>
      </c>
      <c r="J9" s="670">
        <f t="shared" si="0"/>
        <v>17983</v>
      </c>
      <c r="K9" s="671">
        <f t="shared" si="1"/>
        <v>0</v>
      </c>
      <c r="L9" s="672" t="s">
        <v>674</v>
      </c>
      <c r="M9" s="673" t="s">
        <v>675</v>
      </c>
      <c r="N9" s="673" t="s">
        <v>676</v>
      </c>
      <c r="O9" s="673" t="s">
        <v>677</v>
      </c>
    </row>
    <row r="10" s="639" customFormat="1" ht="23.25" spans="1:15">
      <c r="A10" s="653">
        <v>5</v>
      </c>
      <c r="B10" s="654" t="s">
        <v>695</v>
      </c>
      <c r="C10" s="653">
        <v>1600600220</v>
      </c>
      <c r="D10" s="653" t="s">
        <v>5</v>
      </c>
      <c r="E10" s="655" t="s">
        <v>644</v>
      </c>
      <c r="F10" s="653">
        <v>2000459990</v>
      </c>
      <c r="G10" s="658" t="s">
        <v>696</v>
      </c>
      <c r="H10" s="657">
        <v>55800</v>
      </c>
      <c r="I10" s="669">
        <v>0</v>
      </c>
      <c r="J10" s="670">
        <f t="shared" si="0"/>
        <v>55800</v>
      </c>
      <c r="K10" s="671">
        <f t="shared" si="1"/>
        <v>0</v>
      </c>
      <c r="L10" s="672" t="s">
        <v>698</v>
      </c>
      <c r="M10" s="673" t="s">
        <v>699</v>
      </c>
      <c r="N10" s="673" t="s">
        <v>642</v>
      </c>
      <c r="O10" s="673" t="s">
        <v>700</v>
      </c>
    </row>
    <row r="11" s="639" customFormat="1" ht="23.25" spans="1:15">
      <c r="A11" s="653">
        <v>6</v>
      </c>
      <c r="B11" s="654" t="s">
        <v>613</v>
      </c>
      <c r="C11" s="653">
        <v>1600699998</v>
      </c>
      <c r="D11" s="653" t="s">
        <v>5</v>
      </c>
      <c r="E11" s="655" t="s">
        <v>637</v>
      </c>
      <c r="F11" s="653">
        <v>7014096956</v>
      </c>
      <c r="G11" s="658" t="s">
        <v>638</v>
      </c>
      <c r="H11" s="657">
        <v>43000</v>
      </c>
      <c r="I11" s="669">
        <v>0</v>
      </c>
      <c r="J11" s="670">
        <f t="shared" si="0"/>
        <v>43000</v>
      </c>
      <c r="K11" s="671">
        <f t="shared" si="1"/>
        <v>0</v>
      </c>
      <c r="L11" s="672" t="s">
        <v>640</v>
      </c>
      <c r="M11" s="673" t="s">
        <v>641</v>
      </c>
      <c r="N11" s="673" t="s">
        <v>642</v>
      </c>
      <c r="O11" s="673" t="s">
        <v>643</v>
      </c>
    </row>
    <row r="12" s="639" customFormat="1" ht="46.5" spans="1:15">
      <c r="A12" s="653">
        <v>7</v>
      </c>
      <c r="B12" s="654" t="s">
        <v>613</v>
      </c>
      <c r="C12" s="653">
        <v>1600699998</v>
      </c>
      <c r="D12" s="653" t="s">
        <v>5</v>
      </c>
      <c r="E12" s="655" t="s">
        <v>644</v>
      </c>
      <c r="F12" s="653">
        <v>7014150012</v>
      </c>
      <c r="G12" s="658" t="s">
        <v>645</v>
      </c>
      <c r="H12" s="657">
        <f>123750*3</f>
        <v>371250</v>
      </c>
      <c r="I12" s="669">
        <v>0</v>
      </c>
      <c r="J12" s="670">
        <f t="shared" si="0"/>
        <v>371250</v>
      </c>
      <c r="K12" s="671">
        <f t="shared" si="1"/>
        <v>0</v>
      </c>
      <c r="L12" s="672" t="s">
        <v>646</v>
      </c>
      <c r="M12" s="673" t="s">
        <v>647</v>
      </c>
      <c r="N12" s="673" t="s">
        <v>642</v>
      </c>
      <c r="O12" s="673" t="s">
        <v>648</v>
      </c>
    </row>
    <row r="13" s="639" customFormat="1" ht="23.25" spans="1:15">
      <c r="A13" s="653">
        <v>8</v>
      </c>
      <c r="B13" s="654" t="s">
        <v>613</v>
      </c>
      <c r="C13" s="653">
        <v>1600699998</v>
      </c>
      <c r="D13" s="653" t="s">
        <v>5</v>
      </c>
      <c r="E13" s="655" t="s">
        <v>644</v>
      </c>
      <c r="F13" s="653">
        <v>7014299345</v>
      </c>
      <c r="G13" s="658" t="s">
        <v>442</v>
      </c>
      <c r="H13" s="657">
        <v>141240</v>
      </c>
      <c r="I13" s="669">
        <v>0</v>
      </c>
      <c r="J13" s="670">
        <f t="shared" si="0"/>
        <v>141240</v>
      </c>
      <c r="K13" s="671">
        <f t="shared" si="1"/>
        <v>0</v>
      </c>
      <c r="L13" s="672" t="s">
        <v>701</v>
      </c>
      <c r="M13" s="673" t="s">
        <v>702</v>
      </c>
      <c r="N13" s="673" t="s">
        <v>703</v>
      </c>
      <c r="O13" s="673" t="s">
        <v>704</v>
      </c>
    </row>
    <row r="14" s="639" customFormat="1" ht="23.25" spans="1:15">
      <c r="A14" s="653">
        <v>9</v>
      </c>
      <c r="B14" s="654" t="s">
        <v>613</v>
      </c>
      <c r="C14" s="653">
        <v>1600699998</v>
      </c>
      <c r="D14" s="653" t="s">
        <v>5</v>
      </c>
      <c r="E14" s="655" t="s">
        <v>637</v>
      </c>
      <c r="F14" s="653">
        <v>7014665430</v>
      </c>
      <c r="G14" s="658" t="s">
        <v>638</v>
      </c>
      <c r="H14" s="657">
        <v>41810</v>
      </c>
      <c r="I14" s="669">
        <v>0</v>
      </c>
      <c r="J14" s="670">
        <f t="shared" si="0"/>
        <v>41810</v>
      </c>
      <c r="K14" s="671">
        <f t="shared" si="1"/>
        <v>0</v>
      </c>
      <c r="L14" s="672" t="s">
        <v>640</v>
      </c>
      <c r="M14" s="673" t="s">
        <v>649</v>
      </c>
      <c r="N14" s="673" t="s">
        <v>642</v>
      </c>
      <c r="O14" s="673" t="s">
        <v>643</v>
      </c>
    </row>
    <row r="15" s="639" customFormat="1" ht="23.25" spans="1:15">
      <c r="A15" s="653">
        <v>10</v>
      </c>
      <c r="B15" s="654" t="s">
        <v>613</v>
      </c>
      <c r="C15" s="653">
        <v>1600600011</v>
      </c>
      <c r="D15" s="653" t="s">
        <v>5</v>
      </c>
      <c r="E15" s="655" t="s">
        <v>637</v>
      </c>
      <c r="F15" s="653">
        <v>7014733954</v>
      </c>
      <c r="G15" s="658" t="s">
        <v>686</v>
      </c>
      <c r="H15" s="657">
        <v>147660</v>
      </c>
      <c r="I15" s="669">
        <v>0</v>
      </c>
      <c r="J15" s="670">
        <f t="shared" si="0"/>
        <v>147660</v>
      </c>
      <c r="K15" s="671">
        <f t="shared" si="1"/>
        <v>0</v>
      </c>
      <c r="L15" s="672" t="s">
        <v>687</v>
      </c>
      <c r="M15" s="673" t="s">
        <v>688</v>
      </c>
      <c r="N15" s="673" t="s">
        <v>689</v>
      </c>
      <c r="O15" s="673" t="s">
        <v>690</v>
      </c>
    </row>
    <row r="16" s="639" customFormat="1" ht="23.25" spans="1:15">
      <c r="A16" s="653">
        <v>11</v>
      </c>
      <c r="B16" s="654" t="s">
        <v>613</v>
      </c>
      <c r="C16" s="653">
        <v>1600600004</v>
      </c>
      <c r="D16" s="653" t="s">
        <v>5</v>
      </c>
      <c r="E16" s="655" t="s">
        <v>637</v>
      </c>
      <c r="F16" s="653">
        <v>7014789388</v>
      </c>
      <c r="G16" s="658" t="s">
        <v>650</v>
      </c>
      <c r="H16" s="657">
        <v>280730</v>
      </c>
      <c r="I16" s="669">
        <v>0</v>
      </c>
      <c r="J16" s="670">
        <f t="shared" si="0"/>
        <v>280730</v>
      </c>
      <c r="K16" s="671">
        <f t="shared" si="1"/>
        <v>0</v>
      </c>
      <c r="L16" s="672" t="s">
        <v>651</v>
      </c>
      <c r="M16" s="673" t="s">
        <v>652</v>
      </c>
      <c r="N16" s="673" t="s">
        <v>653</v>
      </c>
      <c r="O16" s="673" t="s">
        <v>654</v>
      </c>
    </row>
    <row r="17" s="639" customFormat="1" ht="23.25" spans="1:15">
      <c r="A17" s="653">
        <v>12</v>
      </c>
      <c r="B17" s="654" t="s">
        <v>613</v>
      </c>
      <c r="C17" s="653">
        <v>1600600005</v>
      </c>
      <c r="D17" s="653" t="s">
        <v>5</v>
      </c>
      <c r="E17" s="655" t="s">
        <v>637</v>
      </c>
      <c r="F17" s="653">
        <v>7014934640</v>
      </c>
      <c r="G17" s="658" t="s">
        <v>816</v>
      </c>
      <c r="H17" s="657">
        <v>7500</v>
      </c>
      <c r="I17" s="669">
        <v>0</v>
      </c>
      <c r="J17" s="670">
        <f t="shared" si="0"/>
        <v>7500</v>
      </c>
      <c r="K17" s="671">
        <f t="shared" si="1"/>
        <v>0</v>
      </c>
      <c r="L17" s="672" t="s">
        <v>656</v>
      </c>
      <c r="M17" s="673" t="s">
        <v>657</v>
      </c>
      <c r="N17" s="673" t="s">
        <v>658</v>
      </c>
      <c r="O17" s="673" t="s">
        <v>659</v>
      </c>
    </row>
    <row r="18" s="639" customFormat="1" ht="45.75" customHeight="1" spans="1:15">
      <c r="A18" s="653">
        <v>13</v>
      </c>
      <c r="B18" s="654" t="s">
        <v>613</v>
      </c>
      <c r="C18" s="653">
        <v>1600600006</v>
      </c>
      <c r="D18" s="653" t="s">
        <v>5</v>
      </c>
      <c r="E18" s="655" t="s">
        <v>637</v>
      </c>
      <c r="F18" s="653">
        <v>7015013787</v>
      </c>
      <c r="G18" s="658" t="s">
        <v>660</v>
      </c>
      <c r="H18" s="657">
        <v>799000</v>
      </c>
      <c r="I18" s="669">
        <v>0</v>
      </c>
      <c r="J18" s="670">
        <f t="shared" si="0"/>
        <v>799000</v>
      </c>
      <c r="K18" s="671">
        <f t="shared" si="1"/>
        <v>0</v>
      </c>
      <c r="L18" s="672" t="s">
        <v>662</v>
      </c>
      <c r="M18" s="673" t="s">
        <v>663</v>
      </c>
      <c r="N18" s="673" t="s">
        <v>664</v>
      </c>
      <c r="O18" s="673" t="s">
        <v>665</v>
      </c>
    </row>
    <row r="19" s="639" customFormat="1" ht="23.25" spans="1:15">
      <c r="A19" s="653">
        <v>14</v>
      </c>
      <c r="B19" s="654" t="s">
        <v>613</v>
      </c>
      <c r="C19" s="653">
        <v>1600699998</v>
      </c>
      <c r="D19" s="653" t="s">
        <v>5</v>
      </c>
      <c r="E19" s="655" t="s">
        <v>637</v>
      </c>
      <c r="F19" s="653">
        <v>7015254174</v>
      </c>
      <c r="G19" s="658" t="s">
        <v>691</v>
      </c>
      <c r="H19" s="657">
        <v>5700000</v>
      </c>
      <c r="I19" s="669">
        <v>0</v>
      </c>
      <c r="J19" s="670">
        <f t="shared" si="0"/>
        <v>5700000</v>
      </c>
      <c r="K19" s="671">
        <f t="shared" si="1"/>
        <v>0</v>
      </c>
      <c r="L19" s="672" t="s">
        <v>640</v>
      </c>
      <c r="M19" s="673" t="s">
        <v>692</v>
      </c>
      <c r="N19" s="673" t="s">
        <v>693</v>
      </c>
      <c r="O19" s="673" t="s">
        <v>694</v>
      </c>
    </row>
    <row r="20" s="639" customFormat="1" ht="23.25" spans="1:15">
      <c r="A20" s="653">
        <v>15</v>
      </c>
      <c r="B20" s="654" t="s">
        <v>613</v>
      </c>
      <c r="C20" s="653">
        <v>1600699998</v>
      </c>
      <c r="D20" s="653" t="s">
        <v>5</v>
      </c>
      <c r="E20" s="655" t="s">
        <v>644</v>
      </c>
      <c r="F20" s="653">
        <v>7015270833</v>
      </c>
      <c r="G20" s="658" t="s">
        <v>423</v>
      </c>
      <c r="H20" s="657">
        <v>5772752.96</v>
      </c>
      <c r="I20" s="669">
        <v>0</v>
      </c>
      <c r="J20" s="670">
        <f t="shared" si="0"/>
        <v>5772752.96</v>
      </c>
      <c r="K20" s="671">
        <f t="shared" si="1"/>
        <v>0</v>
      </c>
      <c r="L20" s="672" t="s">
        <v>668</v>
      </c>
      <c r="M20" s="673" t="s">
        <v>669</v>
      </c>
      <c r="N20" s="673" t="s">
        <v>670</v>
      </c>
      <c r="O20" s="673" t="s">
        <v>671</v>
      </c>
    </row>
    <row r="21" s="640" customFormat="1" ht="23.25" spans="1:15">
      <c r="A21" s="659" t="s">
        <v>443</v>
      </c>
      <c r="B21" s="660"/>
      <c r="C21" s="660"/>
      <c r="D21" s="660"/>
      <c r="E21" s="660"/>
      <c r="F21" s="660"/>
      <c r="G21" s="661"/>
      <c r="H21" s="662">
        <f>SUM(H6:H20)</f>
        <v>13739912.56</v>
      </c>
      <c r="I21" s="674">
        <f>SUM(I6:I20)</f>
        <v>0</v>
      </c>
      <c r="J21" s="662">
        <f>SUM(J6:J20)</f>
        <v>13739912.56</v>
      </c>
      <c r="K21" s="671">
        <f t="shared" si="1"/>
        <v>0</v>
      </c>
      <c r="L21" s="675"/>
      <c r="M21" s="676"/>
      <c r="N21" s="676"/>
      <c r="O21" s="676"/>
    </row>
    <row r="22" s="639" customFormat="1" ht="23.25" spans="1:15">
      <c r="A22" s="653">
        <v>16</v>
      </c>
      <c r="B22" s="654" t="s">
        <v>762</v>
      </c>
      <c r="C22" s="653">
        <v>1600600046</v>
      </c>
      <c r="D22" s="653" t="s">
        <v>6</v>
      </c>
      <c r="E22" s="655" t="s">
        <v>763</v>
      </c>
      <c r="F22" s="653">
        <v>7014618240</v>
      </c>
      <c r="G22" s="658" t="s">
        <v>764</v>
      </c>
      <c r="H22" s="657">
        <v>2527500</v>
      </c>
      <c r="I22" s="669">
        <v>0</v>
      </c>
      <c r="J22" s="670">
        <f t="shared" ref="J22:J39" si="2">+H22-I22</f>
        <v>2527500</v>
      </c>
      <c r="K22" s="671">
        <f t="shared" si="1"/>
        <v>0</v>
      </c>
      <c r="L22" s="672" t="s">
        <v>765</v>
      </c>
      <c r="M22" s="673" t="s">
        <v>766</v>
      </c>
      <c r="N22" s="673" t="s">
        <v>767</v>
      </c>
      <c r="O22" s="673" t="s">
        <v>768</v>
      </c>
    </row>
    <row r="23" s="639" customFormat="1" ht="23.25" spans="1:15">
      <c r="A23" s="653">
        <v>17</v>
      </c>
      <c r="B23" s="654" t="s">
        <v>184</v>
      </c>
      <c r="C23" s="653">
        <v>1600600052</v>
      </c>
      <c r="D23" s="653" t="s">
        <v>6</v>
      </c>
      <c r="E23" s="655" t="s">
        <v>769</v>
      </c>
      <c r="F23" s="653">
        <v>7014573620</v>
      </c>
      <c r="G23" s="658" t="s">
        <v>764</v>
      </c>
      <c r="H23" s="657">
        <v>3234000</v>
      </c>
      <c r="I23" s="669">
        <v>0</v>
      </c>
      <c r="J23" s="670">
        <f t="shared" si="2"/>
        <v>3234000</v>
      </c>
      <c r="K23" s="671">
        <f t="shared" si="1"/>
        <v>0</v>
      </c>
      <c r="L23" s="672" t="s">
        <v>771</v>
      </c>
      <c r="M23" s="673" t="s">
        <v>652</v>
      </c>
      <c r="N23" s="673" t="s">
        <v>772</v>
      </c>
      <c r="O23" s="673" t="s">
        <v>751</v>
      </c>
    </row>
    <row r="24" s="639" customFormat="1" ht="23.25" spans="1:15">
      <c r="A24" s="653">
        <v>18</v>
      </c>
      <c r="B24" s="654" t="s">
        <v>773</v>
      </c>
      <c r="C24" s="653">
        <v>1600600058</v>
      </c>
      <c r="D24" s="653" t="s">
        <v>6</v>
      </c>
      <c r="E24" s="655" t="s">
        <v>774</v>
      </c>
      <c r="F24" s="653">
        <v>7014587703</v>
      </c>
      <c r="G24" s="658" t="s">
        <v>764</v>
      </c>
      <c r="H24" s="657">
        <v>2700000</v>
      </c>
      <c r="I24" s="669">
        <v>0</v>
      </c>
      <c r="J24" s="670">
        <f t="shared" si="2"/>
        <v>2700000</v>
      </c>
      <c r="K24" s="671">
        <f t="shared" si="1"/>
        <v>0</v>
      </c>
      <c r="L24" s="672" t="s">
        <v>775</v>
      </c>
      <c r="M24" s="673" t="s">
        <v>776</v>
      </c>
      <c r="N24" s="673" t="s">
        <v>777</v>
      </c>
      <c r="O24" s="673" t="s">
        <v>778</v>
      </c>
    </row>
    <row r="25" s="639" customFormat="1" ht="23.25" spans="1:15">
      <c r="A25" s="653">
        <v>19</v>
      </c>
      <c r="B25" s="654" t="s">
        <v>779</v>
      </c>
      <c r="C25" s="653">
        <v>1600600064</v>
      </c>
      <c r="D25" s="653" t="s">
        <v>6</v>
      </c>
      <c r="E25" s="655" t="s">
        <v>780</v>
      </c>
      <c r="F25" s="653">
        <v>7014633408</v>
      </c>
      <c r="G25" s="658" t="s">
        <v>764</v>
      </c>
      <c r="H25" s="657">
        <v>3155139</v>
      </c>
      <c r="I25" s="669">
        <v>0</v>
      </c>
      <c r="J25" s="670">
        <f t="shared" si="2"/>
        <v>3155139</v>
      </c>
      <c r="K25" s="671">
        <f t="shared" si="1"/>
        <v>0</v>
      </c>
      <c r="L25" s="672" t="s">
        <v>782</v>
      </c>
      <c r="M25" s="673" t="s">
        <v>766</v>
      </c>
      <c r="N25" s="673" t="s">
        <v>658</v>
      </c>
      <c r="O25" s="673" t="s">
        <v>783</v>
      </c>
    </row>
    <row r="26" s="639" customFormat="1" ht="46.5" spans="1:15">
      <c r="A26" s="653">
        <v>20</v>
      </c>
      <c r="B26" s="654" t="s">
        <v>188</v>
      </c>
      <c r="C26" s="653">
        <v>1600600094</v>
      </c>
      <c r="D26" s="653" t="s">
        <v>6</v>
      </c>
      <c r="E26" s="655" t="s">
        <v>784</v>
      </c>
      <c r="F26" s="653">
        <v>2000449395</v>
      </c>
      <c r="G26" s="658" t="s">
        <v>817</v>
      </c>
      <c r="H26" s="657">
        <v>3920000</v>
      </c>
      <c r="I26" s="669">
        <v>0</v>
      </c>
      <c r="J26" s="670">
        <f t="shared" si="2"/>
        <v>3920000</v>
      </c>
      <c r="K26" s="671">
        <f t="shared" si="1"/>
        <v>0</v>
      </c>
      <c r="L26" s="672" t="s">
        <v>786</v>
      </c>
      <c r="M26" s="673" t="s">
        <v>787</v>
      </c>
      <c r="N26" s="673" t="s">
        <v>788</v>
      </c>
      <c r="O26" s="673"/>
    </row>
    <row r="27" s="639" customFormat="1" ht="46.5" spans="1:15">
      <c r="A27" s="653">
        <v>21</v>
      </c>
      <c r="B27" s="654" t="s">
        <v>188</v>
      </c>
      <c r="C27" s="653">
        <v>1600600094</v>
      </c>
      <c r="D27" s="653" t="s">
        <v>6</v>
      </c>
      <c r="E27" s="655" t="s">
        <v>789</v>
      </c>
      <c r="F27" s="653">
        <v>2000469732</v>
      </c>
      <c r="G27" s="658" t="s">
        <v>790</v>
      </c>
      <c r="H27" s="657">
        <v>2559120</v>
      </c>
      <c r="I27" s="669">
        <v>0</v>
      </c>
      <c r="J27" s="670">
        <f t="shared" si="2"/>
        <v>2559120</v>
      </c>
      <c r="K27" s="671">
        <f t="shared" si="1"/>
        <v>0</v>
      </c>
      <c r="L27" s="672" t="s">
        <v>786</v>
      </c>
      <c r="M27" s="673" t="s">
        <v>787</v>
      </c>
      <c r="N27" s="673" t="s">
        <v>788</v>
      </c>
      <c r="O27" s="673"/>
    </row>
    <row r="28" s="639" customFormat="1" ht="23.25" spans="1:15">
      <c r="A28" s="653">
        <v>22</v>
      </c>
      <c r="B28" s="654" t="s">
        <v>791</v>
      </c>
      <c r="C28" s="653">
        <v>1600600420</v>
      </c>
      <c r="D28" s="653" t="s">
        <v>6</v>
      </c>
      <c r="E28" s="655" t="s">
        <v>792</v>
      </c>
      <c r="F28" s="653">
        <v>7014653159</v>
      </c>
      <c r="G28" s="658" t="s">
        <v>793</v>
      </c>
      <c r="H28" s="657">
        <v>3869000</v>
      </c>
      <c r="I28" s="669">
        <v>0</v>
      </c>
      <c r="J28" s="670">
        <f t="shared" si="2"/>
        <v>3869000</v>
      </c>
      <c r="K28" s="671">
        <f t="shared" si="1"/>
        <v>0</v>
      </c>
      <c r="L28" s="672" t="s">
        <v>794</v>
      </c>
      <c r="M28" s="673" t="s">
        <v>795</v>
      </c>
      <c r="N28" s="673" t="s">
        <v>796</v>
      </c>
      <c r="O28" s="673" t="s">
        <v>797</v>
      </c>
    </row>
    <row r="29" s="639" customFormat="1" ht="23.25" spans="1:15">
      <c r="A29" s="653">
        <v>23</v>
      </c>
      <c r="B29" s="654" t="s">
        <v>798</v>
      </c>
      <c r="C29" s="653">
        <v>1600600456</v>
      </c>
      <c r="D29" s="653" t="s">
        <v>6</v>
      </c>
      <c r="E29" s="655" t="s">
        <v>799</v>
      </c>
      <c r="F29" s="653">
        <v>7014571829</v>
      </c>
      <c r="G29" s="658" t="s">
        <v>800</v>
      </c>
      <c r="H29" s="657">
        <v>2642900</v>
      </c>
      <c r="I29" s="669">
        <v>0</v>
      </c>
      <c r="J29" s="670">
        <f t="shared" si="2"/>
        <v>2642900</v>
      </c>
      <c r="K29" s="671">
        <f t="shared" si="1"/>
        <v>0</v>
      </c>
      <c r="L29" s="672" t="s">
        <v>801</v>
      </c>
      <c r="M29" s="673" t="s">
        <v>802</v>
      </c>
      <c r="N29" s="673" t="s">
        <v>803</v>
      </c>
      <c r="O29" s="673" t="s">
        <v>804</v>
      </c>
    </row>
    <row r="30" s="639" customFormat="1" ht="23.25" spans="1:15">
      <c r="A30" s="653">
        <v>24</v>
      </c>
      <c r="B30" s="654" t="s">
        <v>613</v>
      </c>
      <c r="C30" s="653">
        <v>1600600001</v>
      </c>
      <c r="D30" s="653" t="s">
        <v>6</v>
      </c>
      <c r="E30" s="655" t="s">
        <v>740</v>
      </c>
      <c r="F30" s="653">
        <v>2000434631</v>
      </c>
      <c r="G30" s="658" t="s">
        <v>741</v>
      </c>
      <c r="H30" s="657">
        <v>5002622</v>
      </c>
      <c r="I30" s="669">
        <v>0</v>
      </c>
      <c r="J30" s="670">
        <f t="shared" si="2"/>
        <v>5002622</v>
      </c>
      <c r="K30" s="671">
        <f t="shared" si="1"/>
        <v>0</v>
      </c>
      <c r="L30" s="672" t="s">
        <v>742</v>
      </c>
      <c r="M30" s="673" t="s">
        <v>743</v>
      </c>
      <c r="N30" s="673" t="s">
        <v>744</v>
      </c>
      <c r="O30" s="673" t="s">
        <v>745</v>
      </c>
    </row>
    <row r="31" s="639" customFormat="1" ht="23.25" spans="1:15">
      <c r="A31" s="653">
        <v>25</v>
      </c>
      <c r="B31" s="654" t="s">
        <v>613</v>
      </c>
      <c r="C31" s="653">
        <v>1600600001</v>
      </c>
      <c r="D31" s="653" t="s">
        <v>6</v>
      </c>
      <c r="E31" s="655" t="s">
        <v>746</v>
      </c>
      <c r="F31" s="653">
        <v>2000435147</v>
      </c>
      <c r="G31" s="658" t="s">
        <v>747</v>
      </c>
      <c r="H31" s="657">
        <v>4668200</v>
      </c>
      <c r="I31" s="669">
        <v>0</v>
      </c>
      <c r="J31" s="670">
        <f t="shared" si="2"/>
        <v>4668200</v>
      </c>
      <c r="K31" s="671">
        <f t="shared" si="1"/>
        <v>0</v>
      </c>
      <c r="L31" s="672" t="s">
        <v>749</v>
      </c>
      <c r="M31" s="673" t="s">
        <v>744</v>
      </c>
      <c r="N31" s="673" t="s">
        <v>750</v>
      </c>
      <c r="O31" s="673" t="s">
        <v>751</v>
      </c>
    </row>
    <row r="32" s="639" customFormat="1" ht="23.25" spans="1:15">
      <c r="A32" s="653">
        <v>26</v>
      </c>
      <c r="B32" s="654" t="s">
        <v>613</v>
      </c>
      <c r="C32" s="653">
        <v>1600600001</v>
      </c>
      <c r="D32" s="653" t="s">
        <v>6</v>
      </c>
      <c r="E32" s="655" t="s">
        <v>752</v>
      </c>
      <c r="F32" s="653">
        <v>2000461421</v>
      </c>
      <c r="G32" s="658" t="s">
        <v>818</v>
      </c>
      <c r="H32" s="657">
        <v>2805000</v>
      </c>
      <c r="I32" s="669">
        <v>0</v>
      </c>
      <c r="J32" s="670">
        <f t="shared" si="2"/>
        <v>2805000</v>
      </c>
      <c r="K32" s="671">
        <f t="shared" si="1"/>
        <v>0</v>
      </c>
      <c r="L32" s="672" t="s">
        <v>754</v>
      </c>
      <c r="M32" s="673" t="s">
        <v>755</v>
      </c>
      <c r="N32" s="673" t="s">
        <v>756</v>
      </c>
      <c r="O32" s="673" t="s">
        <v>751</v>
      </c>
    </row>
    <row r="33" s="639" customFormat="1" ht="23.25" spans="1:15">
      <c r="A33" s="653">
        <v>27</v>
      </c>
      <c r="B33" s="654" t="s">
        <v>613</v>
      </c>
      <c r="C33" s="653">
        <v>1600600001</v>
      </c>
      <c r="D33" s="653" t="s">
        <v>6</v>
      </c>
      <c r="E33" s="655" t="s">
        <v>757</v>
      </c>
      <c r="F33" s="653">
        <v>2000475789</v>
      </c>
      <c r="G33" s="658" t="s">
        <v>819</v>
      </c>
      <c r="H33" s="657">
        <v>9368000</v>
      </c>
      <c r="I33" s="669">
        <v>0</v>
      </c>
      <c r="J33" s="670">
        <f t="shared" si="2"/>
        <v>9368000</v>
      </c>
      <c r="K33" s="671">
        <f t="shared" si="1"/>
        <v>0</v>
      </c>
      <c r="L33" s="672" t="s">
        <v>760</v>
      </c>
      <c r="M33" s="673" t="s">
        <v>642</v>
      </c>
      <c r="N33" s="673" t="s">
        <v>761</v>
      </c>
      <c r="O33" s="673" t="s">
        <v>751</v>
      </c>
    </row>
    <row r="34" s="639" customFormat="1" ht="23.25" spans="1:15">
      <c r="A34" s="653">
        <v>28</v>
      </c>
      <c r="B34" s="654" t="s">
        <v>613</v>
      </c>
      <c r="C34" s="653">
        <v>1600699998</v>
      </c>
      <c r="D34" s="653" t="s">
        <v>6</v>
      </c>
      <c r="E34" s="655" t="s">
        <v>711</v>
      </c>
      <c r="F34" s="653">
        <v>7014716158</v>
      </c>
      <c r="G34" s="658" t="s">
        <v>712</v>
      </c>
      <c r="H34" s="657">
        <v>2274000</v>
      </c>
      <c r="I34" s="669">
        <v>0</v>
      </c>
      <c r="J34" s="670">
        <f t="shared" si="2"/>
        <v>2274000</v>
      </c>
      <c r="K34" s="671">
        <f t="shared" si="1"/>
        <v>0</v>
      </c>
      <c r="L34" s="672" t="s">
        <v>713</v>
      </c>
      <c r="M34" s="673" t="s">
        <v>714</v>
      </c>
      <c r="N34" s="673" t="s">
        <v>715</v>
      </c>
      <c r="O34" s="673" t="s">
        <v>716</v>
      </c>
    </row>
    <row r="35" s="639" customFormat="1" ht="23.25" spans="1:15">
      <c r="A35" s="653">
        <v>29</v>
      </c>
      <c r="B35" s="654" t="s">
        <v>613</v>
      </c>
      <c r="C35" s="653">
        <v>1600600011</v>
      </c>
      <c r="D35" s="653" t="s">
        <v>6</v>
      </c>
      <c r="E35" s="655" t="s">
        <v>717</v>
      </c>
      <c r="F35" s="653">
        <v>7015248976</v>
      </c>
      <c r="G35" s="658" t="s">
        <v>718</v>
      </c>
      <c r="H35" s="657">
        <v>500000</v>
      </c>
      <c r="I35" s="669">
        <v>0</v>
      </c>
      <c r="J35" s="670">
        <f t="shared" si="2"/>
        <v>500000</v>
      </c>
      <c r="K35" s="671">
        <f t="shared" si="1"/>
        <v>0</v>
      </c>
      <c r="L35" s="672" t="s">
        <v>719</v>
      </c>
      <c r="M35" s="673" t="s">
        <v>692</v>
      </c>
      <c r="N35" s="673" t="s">
        <v>720</v>
      </c>
      <c r="O35" s="673" t="s">
        <v>721</v>
      </c>
    </row>
    <row r="36" s="639" customFormat="1" ht="46.5" spans="1:15">
      <c r="A36" s="653">
        <v>30</v>
      </c>
      <c r="B36" s="654" t="s">
        <v>613</v>
      </c>
      <c r="C36" s="653">
        <v>1600600006</v>
      </c>
      <c r="D36" s="653" t="s">
        <v>6</v>
      </c>
      <c r="E36" s="655" t="s">
        <v>722</v>
      </c>
      <c r="F36" s="653">
        <v>7015254679</v>
      </c>
      <c r="G36" s="658" t="s">
        <v>723</v>
      </c>
      <c r="H36" s="657">
        <v>497015</v>
      </c>
      <c r="I36" s="669">
        <v>0</v>
      </c>
      <c r="J36" s="670">
        <f t="shared" si="2"/>
        <v>497015</v>
      </c>
      <c r="K36" s="671">
        <f t="shared" si="1"/>
        <v>0</v>
      </c>
      <c r="L36" s="672" t="s">
        <v>724</v>
      </c>
      <c r="M36" s="673" t="s">
        <v>669</v>
      </c>
      <c r="N36" s="673" t="s">
        <v>670</v>
      </c>
      <c r="O36" s="673" t="s">
        <v>725</v>
      </c>
    </row>
    <row r="37" s="639" customFormat="1" ht="23.25" spans="1:15">
      <c r="A37" s="653">
        <v>31</v>
      </c>
      <c r="B37" s="654" t="s">
        <v>613</v>
      </c>
      <c r="C37" s="653">
        <v>1600600001</v>
      </c>
      <c r="D37" s="653" t="s">
        <v>6</v>
      </c>
      <c r="E37" s="655" t="s">
        <v>730</v>
      </c>
      <c r="F37" s="653">
        <v>2000420428</v>
      </c>
      <c r="G37" s="658" t="s">
        <v>731</v>
      </c>
      <c r="H37" s="657">
        <v>13054741.23</v>
      </c>
      <c r="I37" s="669">
        <v>0</v>
      </c>
      <c r="J37" s="670">
        <f t="shared" si="2"/>
        <v>13054741.23</v>
      </c>
      <c r="K37" s="671">
        <f t="shared" si="1"/>
        <v>0</v>
      </c>
      <c r="L37" s="672" t="s">
        <v>732</v>
      </c>
      <c r="M37" s="673" t="s">
        <v>733</v>
      </c>
      <c r="N37" s="673" t="s">
        <v>734</v>
      </c>
      <c r="O37" s="673"/>
    </row>
    <row r="38" s="639" customFormat="1" ht="23.25" spans="1:15">
      <c r="A38" s="653">
        <v>32</v>
      </c>
      <c r="B38" s="654" t="s">
        <v>613</v>
      </c>
      <c r="C38" s="653">
        <v>1600600001</v>
      </c>
      <c r="D38" s="653" t="s">
        <v>6</v>
      </c>
      <c r="E38" s="655" t="s">
        <v>735</v>
      </c>
      <c r="F38" s="653">
        <v>2000420910</v>
      </c>
      <c r="G38" s="658" t="s">
        <v>736</v>
      </c>
      <c r="H38" s="657">
        <v>5129331</v>
      </c>
      <c r="I38" s="669">
        <v>0</v>
      </c>
      <c r="J38" s="670">
        <f t="shared" si="2"/>
        <v>5129331</v>
      </c>
      <c r="K38" s="671">
        <f t="shared" si="1"/>
        <v>0</v>
      </c>
      <c r="L38" s="672" t="s">
        <v>737</v>
      </c>
      <c r="M38" s="673" t="s">
        <v>738</v>
      </c>
      <c r="N38" s="673" t="s">
        <v>739</v>
      </c>
      <c r="O38" s="673"/>
    </row>
    <row r="39" s="639" customFormat="1" ht="23.25" spans="1:15">
      <c r="A39" s="653">
        <v>33</v>
      </c>
      <c r="B39" s="654" t="s">
        <v>613</v>
      </c>
      <c r="C39" s="653">
        <v>1600600001</v>
      </c>
      <c r="D39" s="653" t="s">
        <v>6</v>
      </c>
      <c r="E39" s="655" t="s">
        <v>726</v>
      </c>
      <c r="F39" s="653">
        <v>2000397264</v>
      </c>
      <c r="G39" s="658" t="s">
        <v>727</v>
      </c>
      <c r="H39" s="657">
        <v>11135650</v>
      </c>
      <c r="I39" s="669">
        <v>0</v>
      </c>
      <c r="J39" s="670">
        <f t="shared" si="2"/>
        <v>11135650</v>
      </c>
      <c r="K39" s="671">
        <f t="shared" si="1"/>
        <v>0</v>
      </c>
      <c r="L39" s="672" t="s">
        <v>729</v>
      </c>
      <c r="M39" s="673" t="s">
        <v>669</v>
      </c>
      <c r="N39" s="673" t="s">
        <v>179</v>
      </c>
      <c r="O39" s="673"/>
    </row>
    <row r="40" s="640" customFormat="1" ht="23.25" spans="1:15">
      <c r="A40" s="659" t="s">
        <v>221</v>
      </c>
      <c r="B40" s="660"/>
      <c r="C40" s="660"/>
      <c r="D40" s="660"/>
      <c r="E40" s="660"/>
      <c r="F40" s="660"/>
      <c r="G40" s="661"/>
      <c r="H40" s="662">
        <f>SUM(H22:H39)</f>
        <v>79042218.23</v>
      </c>
      <c r="I40" s="674">
        <f>SUM(I22:I39)</f>
        <v>0</v>
      </c>
      <c r="J40" s="662">
        <f>SUM(J22:J39)</f>
        <v>79042218.23</v>
      </c>
      <c r="K40" s="671">
        <f t="shared" si="1"/>
        <v>0</v>
      </c>
      <c r="L40" s="675"/>
      <c r="M40" s="676"/>
      <c r="N40" s="676"/>
      <c r="O40" s="676"/>
    </row>
    <row r="41" s="639" customFormat="1" ht="69.75" spans="1:15">
      <c r="A41" s="653">
        <v>34</v>
      </c>
      <c r="B41" s="654" t="s">
        <v>613</v>
      </c>
      <c r="C41" s="653">
        <v>1600600011</v>
      </c>
      <c r="D41" s="653" t="s">
        <v>8</v>
      </c>
      <c r="E41" s="655" t="s">
        <v>805</v>
      </c>
      <c r="F41" s="653">
        <v>7015076230</v>
      </c>
      <c r="G41" s="658" t="s">
        <v>806</v>
      </c>
      <c r="H41" s="657">
        <v>1620000</v>
      </c>
      <c r="I41" s="669">
        <v>0</v>
      </c>
      <c r="J41" s="670">
        <f>+H41-I41</f>
        <v>1620000</v>
      </c>
      <c r="K41" s="671">
        <f t="shared" si="1"/>
        <v>0</v>
      </c>
      <c r="L41" s="672" t="s">
        <v>807</v>
      </c>
      <c r="M41" s="673" t="s">
        <v>663</v>
      </c>
      <c r="N41" s="673" t="s">
        <v>670</v>
      </c>
      <c r="O41" s="673" t="s">
        <v>665</v>
      </c>
    </row>
    <row r="42" s="639" customFormat="1" ht="23.25" spans="1:15">
      <c r="A42" s="653">
        <v>35</v>
      </c>
      <c r="B42" s="654" t="s">
        <v>613</v>
      </c>
      <c r="C42" s="653">
        <v>1600600011</v>
      </c>
      <c r="D42" s="653" t="s">
        <v>8</v>
      </c>
      <c r="E42" s="655" t="s">
        <v>808</v>
      </c>
      <c r="F42" s="653">
        <v>7015167313</v>
      </c>
      <c r="G42" s="658" t="s">
        <v>809</v>
      </c>
      <c r="H42" s="657">
        <v>56300</v>
      </c>
      <c r="I42" s="669">
        <v>0</v>
      </c>
      <c r="J42" s="670">
        <f>+H42-I42</f>
        <v>56300</v>
      </c>
      <c r="K42" s="671">
        <f t="shared" si="1"/>
        <v>0</v>
      </c>
      <c r="L42" s="672" t="s">
        <v>810</v>
      </c>
      <c r="M42" s="673" t="s">
        <v>811</v>
      </c>
      <c r="N42" s="673" t="s">
        <v>812</v>
      </c>
      <c r="O42" s="673" t="s">
        <v>813</v>
      </c>
    </row>
    <row r="43" s="640" customFormat="1" ht="23.25" spans="1:11">
      <c r="A43" s="659" t="s">
        <v>814</v>
      </c>
      <c r="B43" s="660"/>
      <c r="C43" s="660"/>
      <c r="D43" s="660"/>
      <c r="E43" s="660"/>
      <c r="F43" s="660"/>
      <c r="G43" s="661"/>
      <c r="H43" s="662">
        <f>SUM(H41:H42)</f>
        <v>1676300</v>
      </c>
      <c r="I43" s="674">
        <v>0</v>
      </c>
      <c r="J43" s="662">
        <f>SUM(J41:J42)</f>
        <v>1676300</v>
      </c>
      <c r="K43" s="671">
        <f t="shared" si="1"/>
        <v>0</v>
      </c>
    </row>
    <row r="44" s="641" customFormat="1" spans="1:11">
      <c r="A44" s="663" t="s">
        <v>350</v>
      </c>
      <c r="B44" s="664"/>
      <c r="C44" s="664"/>
      <c r="D44" s="664"/>
      <c r="E44" s="664"/>
      <c r="F44" s="664"/>
      <c r="G44" s="665"/>
      <c r="H44" s="486">
        <f>+H21+H40+H43</f>
        <v>94458430.79</v>
      </c>
      <c r="I44" s="486">
        <f>+I21+I40+I43</f>
        <v>0</v>
      </c>
      <c r="J44" s="486">
        <f>+J21+J40+J43</f>
        <v>94458430.79</v>
      </c>
      <c r="K44" s="671">
        <f t="shared" si="1"/>
        <v>0</v>
      </c>
    </row>
    <row r="47" spans="8:11">
      <c r="H47" s="666"/>
      <c r="I47" s="666"/>
      <c r="J47" s="666"/>
      <c r="K47" s="677"/>
    </row>
  </sheetData>
  <mergeCells count="18">
    <mergeCell ref="A1:K1"/>
    <mergeCell ref="A2:K2"/>
    <mergeCell ref="A3:K3"/>
    <mergeCell ref="A21:G21"/>
    <mergeCell ref="A40:G40"/>
    <mergeCell ref="A43:G43"/>
    <mergeCell ref="A44:G44"/>
    <mergeCell ref="B4:B5"/>
    <mergeCell ref="C4:C5"/>
    <mergeCell ref="D4:D5"/>
    <mergeCell ref="E4:E5"/>
    <mergeCell ref="F4:F5"/>
    <mergeCell ref="G4:G5"/>
    <mergeCell ref="H4:H5"/>
    <mergeCell ref="J4:J5"/>
    <mergeCell ref="L4:L5"/>
    <mergeCell ref="M4:M5"/>
    <mergeCell ref="N4:N5"/>
  </mergeCells>
  <printOptions horizontalCentered="1"/>
  <pageMargins left="0" right="0" top="0.75" bottom="0.75" header="0.3" footer="0.3"/>
  <pageSetup paperSize="5" orientation="landscape"/>
  <headerFooter>
    <oddFooter>&amp;Cหน้าที่ &amp;P จาก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N441"/>
  <sheetViews>
    <sheetView zoomScale="70" zoomScaleNormal="70" workbookViewId="0">
      <selection activeCell="G20" sqref="G20"/>
    </sheetView>
  </sheetViews>
  <sheetFormatPr defaultColWidth="9.14285714285714" defaultRowHeight="21"/>
  <cols>
    <col min="1" max="1" width="19.8571428571429" style="146" customWidth="1"/>
    <col min="2" max="2" width="23.2857142857143" style="536" customWidth="1"/>
    <col min="3" max="3" width="18.5714285714286" style="536" hidden="1" customWidth="1"/>
    <col min="4" max="4" width="26" style="136" customWidth="1"/>
    <col min="5" max="5" width="21.5714285714286" style="146" customWidth="1"/>
    <col min="6" max="6" width="23.5714285714286" style="146" customWidth="1"/>
    <col min="7" max="7" width="20.2857142857143" style="146" customWidth="1"/>
    <col min="8" max="8" width="22.1428571428571" style="146" customWidth="1"/>
    <col min="9" max="9" width="17.2857142857143" style="146" customWidth="1"/>
    <col min="10" max="10" width="23.4285714285714" style="146" customWidth="1"/>
    <col min="11" max="11" width="41.2857142857143" style="146" hidden="1" customWidth="1"/>
    <col min="12" max="32" width="9.14285714285714" style="146" hidden="1" customWidth="1"/>
    <col min="33" max="97" width="9.14285714285714" style="146" customWidth="1"/>
    <col min="98" max="98" width="1.42857142857143" style="146" customWidth="1"/>
    <col min="99" max="112" width="9.14285714285714" style="146" customWidth="1"/>
    <col min="113" max="113" width="1.42857142857143" style="146" customWidth="1"/>
    <col min="114" max="16384" width="9.14285714285714" style="146"/>
  </cols>
  <sheetData>
    <row r="1" s="527" customFormat="1" ht="33.75" spans="1:10">
      <c r="A1" s="537" t="s">
        <v>820</v>
      </c>
      <c r="B1" s="537"/>
      <c r="C1" s="537"/>
      <c r="D1" s="537"/>
      <c r="E1" s="537"/>
      <c r="F1" s="537"/>
      <c r="G1" s="537"/>
      <c r="H1" s="537"/>
      <c r="I1" s="537"/>
      <c r="J1" s="537"/>
    </row>
    <row r="2" s="527" customFormat="1" ht="33.75" spans="1:10">
      <c r="A2" s="537" t="s">
        <v>821</v>
      </c>
      <c r="B2" s="537"/>
      <c r="C2" s="537"/>
      <c r="D2" s="537"/>
      <c r="E2" s="537"/>
      <c r="F2" s="537"/>
      <c r="G2" s="537"/>
      <c r="H2" s="537"/>
      <c r="I2" s="537"/>
      <c r="J2" s="537"/>
    </row>
    <row r="3" s="527" customFormat="1" ht="33.75" spans="1:10">
      <c r="A3" s="538" t="str">
        <f>+รายจ่ายจริง!A3:P3</f>
        <v>ตั้งแต่วันที่ 1  ตุลาคม 2564 ถึงวันที่ 30 เมษายน 2565</v>
      </c>
      <c r="B3" s="538"/>
      <c r="C3" s="538"/>
      <c r="D3" s="538"/>
      <c r="E3" s="538"/>
      <c r="F3" s="538"/>
      <c r="G3" s="538"/>
      <c r="H3" s="538"/>
      <c r="I3" s="538"/>
      <c r="J3" s="538"/>
    </row>
    <row r="4" s="182" customFormat="1" ht="26.25" spans="1:11">
      <c r="A4" s="539" t="s">
        <v>822</v>
      </c>
      <c r="B4" s="540" t="s">
        <v>225</v>
      </c>
      <c r="C4" s="541"/>
      <c r="D4" s="542"/>
      <c r="E4" s="543" t="s">
        <v>109</v>
      </c>
      <c r="F4" s="544" t="s">
        <v>26</v>
      </c>
      <c r="G4" s="543" t="s">
        <v>226</v>
      </c>
      <c r="H4" s="543" t="s">
        <v>226</v>
      </c>
      <c r="I4" s="540" t="s">
        <v>504</v>
      </c>
      <c r="J4" s="542"/>
      <c r="K4" s="182" t="s">
        <v>823</v>
      </c>
    </row>
    <row r="5" s="182" customFormat="1" ht="26.25" spans="1:10">
      <c r="A5" s="545"/>
      <c r="B5" s="546" t="s">
        <v>824</v>
      </c>
      <c r="C5" s="546" t="s">
        <v>228</v>
      </c>
      <c r="D5" s="547" t="s">
        <v>114</v>
      </c>
      <c r="E5" s="546" t="s">
        <v>825</v>
      </c>
      <c r="F5" s="548" t="s">
        <v>230</v>
      </c>
      <c r="G5" s="546" t="s">
        <v>231</v>
      </c>
      <c r="H5" s="546" t="s">
        <v>232</v>
      </c>
      <c r="I5" s="546" t="s">
        <v>505</v>
      </c>
      <c r="J5" s="546" t="s">
        <v>826</v>
      </c>
    </row>
    <row r="6" s="135" customFormat="1" ht="23.25" spans="1:10">
      <c r="A6" s="549"/>
      <c r="B6" s="550">
        <v>1</v>
      </c>
      <c r="C6" s="550">
        <v>2</v>
      </c>
      <c r="D6" s="550">
        <v>2</v>
      </c>
      <c r="E6" s="550">
        <v>3</v>
      </c>
      <c r="F6" s="551">
        <v>4</v>
      </c>
      <c r="G6" s="550" t="s">
        <v>238</v>
      </c>
      <c r="H6" s="550" t="s">
        <v>239</v>
      </c>
      <c r="I6" s="614"/>
      <c r="J6" s="614" t="s">
        <v>611</v>
      </c>
    </row>
    <row r="7" ht="44.25" customHeight="1" spans="1:11">
      <c r="A7" s="158" t="s">
        <v>4</v>
      </c>
      <c r="B7" s="552">
        <f>+รายจ่ายจริง!G79</f>
        <v>1390052000</v>
      </c>
      <c r="C7" s="553">
        <f>+D7-B7</f>
        <v>-347513000</v>
      </c>
      <c r="D7" s="554">
        <f>+รายจ่ายจริง!G80</f>
        <v>1042539000</v>
      </c>
      <c r="E7" s="555">
        <f>+รายจ่ายจริง!G81</f>
        <v>0</v>
      </c>
      <c r="F7" s="556">
        <f>+รายจ่ายจริง!G82</f>
        <v>802035169.26</v>
      </c>
      <c r="G7" s="557">
        <f>+B7-F7</f>
        <v>588016830.74</v>
      </c>
      <c r="H7" s="558">
        <f>+B7-E7-F7</f>
        <v>588016830.74</v>
      </c>
      <c r="I7" s="615">
        <f>+F7*100/B7</f>
        <v>57.6982133948946</v>
      </c>
      <c r="J7" s="615">
        <f>+K7*100/B7</f>
        <v>57.6982133948946</v>
      </c>
      <c r="K7" s="616">
        <f>+E7+F7</f>
        <v>802035169.26</v>
      </c>
    </row>
    <row r="8" ht="44.25" customHeight="1" spans="1:11">
      <c r="A8" s="158" t="s">
        <v>5</v>
      </c>
      <c r="B8" s="552">
        <f>+รายจ่ายจริง!J79</f>
        <v>432541700</v>
      </c>
      <c r="C8" s="553">
        <f>+D8-B8</f>
        <v>-108905000</v>
      </c>
      <c r="D8" s="554">
        <f>+รายจ่ายจริง!J80</f>
        <v>323636700</v>
      </c>
      <c r="E8" s="555">
        <f>+รายจ่ายจริง!J81</f>
        <v>19683868.01</v>
      </c>
      <c r="F8" s="556">
        <f>+รายจ่ายจริง!J82</f>
        <v>213749684.52</v>
      </c>
      <c r="G8" s="557">
        <f>+B8-F8</f>
        <v>218792015.48</v>
      </c>
      <c r="H8" s="558">
        <f>+B8-E8-F8</f>
        <v>199108147.47</v>
      </c>
      <c r="I8" s="615">
        <f t="shared" ref="I8:I12" si="0">+F8*100/B8</f>
        <v>49.4171277636353</v>
      </c>
      <c r="J8" s="615">
        <f t="shared" ref="J8:J12" si="1">+K8*100/B8</f>
        <v>53.9678723531165</v>
      </c>
      <c r="K8" s="616">
        <f t="shared" ref="K8:K15" si="2">+E8+F8</f>
        <v>233433552.53</v>
      </c>
    </row>
    <row r="9" s="136" customFormat="1" ht="44.25" customHeight="1" spans="1:11">
      <c r="A9" s="158" t="s">
        <v>6</v>
      </c>
      <c r="B9" s="559">
        <f>SUM(B10:B11)</f>
        <v>118294300</v>
      </c>
      <c r="C9" s="559">
        <f>SUM(C10:C11)</f>
        <v>-31651100</v>
      </c>
      <c r="D9" s="559">
        <f>SUM(D10:D11)</f>
        <v>86643200</v>
      </c>
      <c r="E9" s="559">
        <f>SUM(E10:E11)</f>
        <v>56899929</v>
      </c>
      <c r="F9" s="559">
        <f>SUM(F10:F11)</f>
        <v>24342181.58</v>
      </c>
      <c r="G9" s="559">
        <f t="shared" ref="G9" si="3">+D9-F9</f>
        <v>62301018.42</v>
      </c>
      <c r="H9" s="559">
        <f t="shared" ref="H9" si="4">+D9-E9-F9</f>
        <v>5401089.42</v>
      </c>
      <c r="I9" s="615">
        <f t="shared" si="0"/>
        <v>20.5776453979608</v>
      </c>
      <c r="J9" s="615">
        <f t="shared" si="1"/>
        <v>68.6779587689348</v>
      </c>
      <c r="K9" s="616">
        <f t="shared" si="2"/>
        <v>81242110.58</v>
      </c>
    </row>
    <row r="10" ht="44.25" customHeight="1" spans="1:11">
      <c r="A10" s="560" t="s">
        <v>827</v>
      </c>
      <c r="B10" s="552">
        <f>+รายจ่ายจริง!K79</f>
        <v>19128700</v>
      </c>
      <c r="C10" s="552">
        <f>+D10-B10</f>
        <v>2575506.08</v>
      </c>
      <c r="D10" s="554">
        <f>+รายจ่ายจริง!K80</f>
        <v>21704206.08</v>
      </c>
      <c r="E10" s="555">
        <f>+รายจ่ายจริง!K81</f>
        <v>273679</v>
      </c>
      <c r="F10" s="556">
        <f>+รายจ่ายจริง!K82</f>
        <v>17851462.08</v>
      </c>
      <c r="G10" s="557">
        <f t="shared" ref="G10:G12" si="5">+B10-F10</f>
        <v>1277237.92</v>
      </c>
      <c r="H10" s="558">
        <f t="shared" ref="H10:H12" si="6">+B10-E10-F10</f>
        <v>1003558.92</v>
      </c>
      <c r="I10" s="615">
        <f t="shared" si="0"/>
        <v>93.3229235651142</v>
      </c>
      <c r="J10" s="615">
        <f t="shared" si="1"/>
        <v>94.7536480785417</v>
      </c>
      <c r="K10" s="616">
        <f t="shared" si="2"/>
        <v>18125141.08</v>
      </c>
    </row>
    <row r="11" ht="44.25" customHeight="1" spans="1:11">
      <c r="A11" s="561" t="s">
        <v>828</v>
      </c>
      <c r="B11" s="557">
        <f>+รายจ่ายจริง!L79</f>
        <v>99165600</v>
      </c>
      <c r="C11" s="553">
        <f>+D11-B11</f>
        <v>-34226606.08</v>
      </c>
      <c r="D11" s="554">
        <f>+รายจ่ายจริง!L80</f>
        <v>64938993.92</v>
      </c>
      <c r="E11" s="555">
        <f>+รายจ่ายจริง!L81</f>
        <v>56626250</v>
      </c>
      <c r="F11" s="556">
        <f>+รายจ่ายจริง!L82</f>
        <v>6490719.5</v>
      </c>
      <c r="G11" s="557">
        <f t="shared" si="5"/>
        <v>92674880.5</v>
      </c>
      <c r="H11" s="558">
        <f t="shared" si="6"/>
        <v>36048630.5</v>
      </c>
      <c r="I11" s="615">
        <f t="shared" si="0"/>
        <v>6.54533376493461</v>
      </c>
      <c r="J11" s="615">
        <f t="shared" si="1"/>
        <v>63.6480488193486</v>
      </c>
      <c r="K11" s="616">
        <f t="shared" si="2"/>
        <v>63116969.5</v>
      </c>
    </row>
    <row r="12" ht="44.25" customHeight="1" spans="1:11">
      <c r="A12" s="158" t="s">
        <v>8</v>
      </c>
      <c r="B12" s="552">
        <f>+รายจ่ายจริง!O79</f>
        <v>28793900</v>
      </c>
      <c r="C12" s="552">
        <f>+D12-B12</f>
        <v>-7198800</v>
      </c>
      <c r="D12" s="554">
        <f>+รายจ่ายจริง!O80</f>
        <v>21595100</v>
      </c>
      <c r="E12" s="555">
        <f>+รายจ่ายจริง!O81</f>
        <v>111761.86</v>
      </c>
      <c r="F12" s="556">
        <f>+รายจ่ายจริง!O82</f>
        <v>6921441.63</v>
      </c>
      <c r="G12" s="557">
        <f t="shared" si="5"/>
        <v>21872458.37</v>
      </c>
      <c r="H12" s="558">
        <f t="shared" si="6"/>
        <v>21760696.51</v>
      </c>
      <c r="I12" s="615">
        <f t="shared" si="0"/>
        <v>24.0378747929249</v>
      </c>
      <c r="J12" s="615">
        <f t="shared" si="1"/>
        <v>24.426019017917</v>
      </c>
      <c r="K12" s="616">
        <f t="shared" si="2"/>
        <v>7033203.49</v>
      </c>
    </row>
    <row r="13" s="528" customFormat="1" ht="54" customHeight="1" spans="1:11">
      <c r="A13" s="562" t="s">
        <v>829</v>
      </c>
      <c r="B13" s="563">
        <f>SUM(B7+B8+B9+B12)</f>
        <v>1969681900</v>
      </c>
      <c r="C13" s="563">
        <f t="shared" ref="C13:H13" si="7">SUM(C7+C8+C9+C12)</f>
        <v>-495267900</v>
      </c>
      <c r="D13" s="563">
        <f t="shared" si="7"/>
        <v>1474414000</v>
      </c>
      <c r="E13" s="563">
        <f t="shared" si="7"/>
        <v>76695558.87</v>
      </c>
      <c r="F13" s="563">
        <f t="shared" si="7"/>
        <v>1047048476.99</v>
      </c>
      <c r="G13" s="563">
        <f t="shared" si="7"/>
        <v>890982323.01</v>
      </c>
      <c r="H13" s="563">
        <f t="shared" si="7"/>
        <v>814286764.14</v>
      </c>
      <c r="I13" s="617">
        <f t="shared" ref="I13:I15" si="8">+F13*100/B13</f>
        <v>53.1582524563992</v>
      </c>
      <c r="J13" s="617">
        <f t="shared" ref="J13:J15" si="9">+K13*100/B13</f>
        <v>57.0520567742436</v>
      </c>
      <c r="K13" s="616">
        <f t="shared" si="2"/>
        <v>1123744035.86</v>
      </c>
    </row>
    <row r="14" s="137" customFormat="1" ht="54" customHeight="1" spans="1:14">
      <c r="A14" s="564" t="s">
        <v>332</v>
      </c>
      <c r="B14" s="558">
        <f>+B7+B8+B12</f>
        <v>1851387600</v>
      </c>
      <c r="C14" s="565">
        <f>+C7+C8+C12</f>
        <v>-463616800</v>
      </c>
      <c r="D14" s="558">
        <f>+D7+D8+D12</f>
        <v>1387770800</v>
      </c>
      <c r="E14" s="558">
        <f>+E7+E8+E12</f>
        <v>19795629.87</v>
      </c>
      <c r="F14" s="566">
        <f>+F7+F8+F12</f>
        <v>1022706295.41</v>
      </c>
      <c r="G14" s="558">
        <f>+B14-F14</f>
        <v>828681304.59</v>
      </c>
      <c r="H14" s="558">
        <f>+B14-E14-F14</f>
        <v>808885674.72</v>
      </c>
      <c r="I14" s="618">
        <f t="shared" si="8"/>
        <v>55.239988396271</v>
      </c>
      <c r="J14" s="618">
        <f t="shared" si="9"/>
        <v>56.3092204614528</v>
      </c>
      <c r="K14" s="616">
        <f t="shared" si="2"/>
        <v>1042501925.28</v>
      </c>
      <c r="N14" s="619">
        <f>+D13*100/B13</f>
        <v>74.8554373170612</v>
      </c>
    </row>
    <row r="15" s="137" customFormat="1" ht="54" customHeight="1" spans="1:11">
      <c r="A15" s="564" t="s">
        <v>150</v>
      </c>
      <c r="B15" s="558">
        <f>+B9</f>
        <v>118294300</v>
      </c>
      <c r="C15" s="558">
        <f>+C9</f>
        <v>-31651100</v>
      </c>
      <c r="D15" s="558">
        <f>+D9</f>
        <v>86643200</v>
      </c>
      <c r="E15" s="558">
        <f>+E9</f>
        <v>56899929</v>
      </c>
      <c r="F15" s="558">
        <f>+F9</f>
        <v>24342181.58</v>
      </c>
      <c r="G15" s="558">
        <f>+B15-F15</f>
        <v>93952118.42</v>
      </c>
      <c r="H15" s="558">
        <f>+B15-E15-F15</f>
        <v>37052189.42</v>
      </c>
      <c r="I15" s="618">
        <f t="shared" si="8"/>
        <v>20.5776453979608</v>
      </c>
      <c r="J15" s="618">
        <f t="shared" si="9"/>
        <v>68.6779587689348</v>
      </c>
      <c r="K15" s="616">
        <f t="shared" si="2"/>
        <v>81242110.58</v>
      </c>
    </row>
    <row r="16" s="529" customFormat="1" ht="30.75" hidden="1" spans="1:11">
      <c r="A16" s="567" t="s">
        <v>830</v>
      </c>
      <c r="B16" s="567"/>
      <c r="C16" s="567"/>
      <c r="D16" s="567"/>
      <c r="E16" s="567"/>
      <c r="F16" s="567"/>
      <c r="G16" s="567"/>
      <c r="H16" s="567"/>
      <c r="I16" s="567"/>
      <c r="J16" s="567"/>
      <c r="K16" s="620"/>
    </row>
    <row r="17" s="529" customFormat="1" ht="23.25" hidden="1" spans="1:11">
      <c r="A17" s="568" t="s">
        <v>831</v>
      </c>
      <c r="B17" s="568"/>
      <c r="C17" s="568"/>
      <c r="D17" s="568"/>
      <c r="E17" s="568" t="s">
        <v>832</v>
      </c>
      <c r="F17" s="568" t="s">
        <v>833</v>
      </c>
      <c r="G17" s="568" t="s">
        <v>834</v>
      </c>
      <c r="H17" s="568" t="s">
        <v>835</v>
      </c>
      <c r="I17" s="621" t="s">
        <v>836</v>
      </c>
      <c r="J17" s="622"/>
      <c r="K17" s="623"/>
    </row>
    <row r="18" s="529" customFormat="1" ht="33.75" hidden="1" spans="1:11">
      <c r="A18" s="569" t="s">
        <v>837</v>
      </c>
      <c r="B18" s="570" t="s">
        <v>838</v>
      </c>
      <c r="C18" s="571"/>
      <c r="D18" s="572" t="s">
        <v>118</v>
      </c>
      <c r="E18" s="156">
        <v>32</v>
      </c>
      <c r="F18" s="156">
        <v>54</v>
      </c>
      <c r="G18" s="156">
        <v>77</v>
      </c>
      <c r="H18" s="156">
        <v>100</v>
      </c>
      <c r="I18" s="624" t="s">
        <v>151</v>
      </c>
      <c r="J18" s="625">
        <f>+I13-H18</f>
        <v>-46.8417475436008</v>
      </c>
      <c r="K18" s="620"/>
    </row>
    <row r="19" s="529" customFormat="1" ht="33.75" hidden="1" spans="1:11">
      <c r="A19" s="569" t="s">
        <v>332</v>
      </c>
      <c r="B19" s="570" t="s">
        <v>838</v>
      </c>
      <c r="C19" s="571"/>
      <c r="D19" s="572" t="s">
        <v>118</v>
      </c>
      <c r="E19" s="156">
        <v>36</v>
      </c>
      <c r="F19" s="156">
        <v>57</v>
      </c>
      <c r="G19" s="156">
        <v>80</v>
      </c>
      <c r="H19" s="156">
        <v>100</v>
      </c>
      <c r="I19" s="624" t="s">
        <v>151</v>
      </c>
      <c r="J19" s="625">
        <f>+I14-H19</f>
        <v>-44.760011603729</v>
      </c>
      <c r="K19" s="620"/>
    </row>
    <row r="20" s="529" customFormat="1" ht="33.75" hidden="1" spans="1:11">
      <c r="A20" s="569" t="s">
        <v>150</v>
      </c>
      <c r="B20" s="570" t="s">
        <v>838</v>
      </c>
      <c r="C20" s="571"/>
      <c r="D20" s="572" t="s">
        <v>118</v>
      </c>
      <c r="E20" s="156">
        <v>20</v>
      </c>
      <c r="F20" s="156">
        <v>45</v>
      </c>
      <c r="G20" s="156">
        <v>65</v>
      </c>
      <c r="H20" s="156">
        <v>100</v>
      </c>
      <c r="I20" s="624" t="s">
        <v>151</v>
      </c>
      <c r="J20" s="625">
        <f>+I15-H20</f>
        <v>-79.4223546020391</v>
      </c>
      <c r="K20" s="620"/>
    </row>
    <row r="21" s="530" customFormat="1" ht="11.25" customHeight="1" spans="1:11">
      <c r="A21" s="573"/>
      <c r="B21" s="574"/>
      <c r="C21" s="574"/>
      <c r="D21" s="574"/>
      <c r="E21" s="575"/>
      <c r="F21" s="575"/>
      <c r="G21" s="575"/>
      <c r="H21" s="576"/>
      <c r="I21" s="626"/>
      <c r="J21" s="627"/>
      <c r="K21" s="628"/>
    </row>
    <row r="22" s="531" customFormat="1" ht="28.5" spans="1:11">
      <c r="A22" s="577" t="s">
        <v>839</v>
      </c>
      <c r="B22" s="577"/>
      <c r="C22" s="577"/>
      <c r="D22" s="577"/>
      <c r="E22" s="577"/>
      <c r="F22" s="577"/>
      <c r="G22" s="577"/>
      <c r="H22" s="577"/>
      <c r="I22" s="577"/>
      <c r="J22" s="577"/>
      <c r="K22" s="629"/>
    </row>
    <row r="23" s="532" customFormat="1" ht="28.5" spans="1:10">
      <c r="A23" s="577" t="s">
        <v>840</v>
      </c>
      <c r="B23" s="578"/>
      <c r="C23" s="578"/>
      <c r="E23" s="579"/>
      <c r="F23" s="580"/>
      <c r="G23" s="580"/>
      <c r="J23" s="580"/>
    </row>
    <row r="24" s="532" customFormat="1" ht="28.5" spans="1:7">
      <c r="A24" s="577" t="s">
        <v>841</v>
      </c>
      <c r="B24" s="578"/>
      <c r="C24" s="578"/>
      <c r="E24" s="579"/>
      <c r="F24" s="580"/>
      <c r="G24" s="580"/>
    </row>
    <row r="25" s="533" customFormat="1" ht="30.75" spans="1:10">
      <c r="A25" s="581" t="s">
        <v>341</v>
      </c>
      <c r="B25" s="581"/>
      <c r="C25" s="581"/>
      <c r="D25" s="581"/>
      <c r="E25" s="581"/>
      <c r="F25" s="581"/>
      <c r="G25" s="581"/>
      <c r="H25" s="581"/>
      <c r="I25" s="581"/>
      <c r="J25" s="581"/>
    </row>
    <row r="26" s="534" customFormat="1" ht="18.75" hidden="1" customHeight="1" spans="1:10">
      <c r="A26" s="582"/>
      <c r="B26" s="582"/>
      <c r="C26" s="582"/>
      <c r="D26" s="582"/>
      <c r="E26" s="582"/>
      <c r="F26" s="583"/>
      <c r="G26" s="583"/>
      <c r="H26" s="583"/>
      <c r="I26" s="583"/>
      <c r="J26" s="583"/>
    </row>
    <row r="27" s="182" customFormat="1" ht="26.25" spans="1:10">
      <c r="A27" s="584" t="s">
        <v>105</v>
      </c>
      <c r="B27" s="585"/>
      <c r="C27" s="585"/>
      <c r="D27" s="585"/>
      <c r="E27" s="586"/>
      <c r="F27" s="587" t="s">
        <v>842</v>
      </c>
      <c r="G27" s="588" t="s">
        <v>26</v>
      </c>
      <c r="H27" s="588" t="s">
        <v>111</v>
      </c>
      <c r="I27" s="588" t="s">
        <v>504</v>
      </c>
      <c r="J27" s="588" t="s">
        <v>165</v>
      </c>
    </row>
    <row r="28" s="145" customFormat="1" ht="23.25" spans="1:10">
      <c r="A28" s="589">
        <v>1</v>
      </c>
      <c r="B28" s="590" t="s">
        <v>5</v>
      </c>
      <c r="C28" s="591"/>
      <c r="D28" s="592"/>
      <c r="E28" s="593"/>
      <c r="F28" s="594">
        <f>+F29</f>
        <v>721233.5</v>
      </c>
      <c r="G28" s="594">
        <f t="shared" ref="G28:H28" si="10">+G29</f>
        <v>0</v>
      </c>
      <c r="H28" s="594">
        <f t="shared" si="10"/>
        <v>721233.5</v>
      </c>
      <c r="I28" s="594">
        <f t="shared" ref="I28:I35" si="11">+G28*100/F28</f>
        <v>0</v>
      </c>
      <c r="J28" s="594"/>
    </row>
    <row r="29" s="145" customFormat="1" ht="73.5" customHeight="1" spans="1:10">
      <c r="A29" s="589"/>
      <c r="B29" s="595" t="s">
        <v>843</v>
      </c>
      <c r="C29" s="595"/>
      <c r="D29" s="595"/>
      <c r="E29" s="596"/>
      <c r="F29" s="597">
        <v>721233.5</v>
      </c>
      <c r="G29" s="597"/>
      <c r="H29" s="597">
        <f>+F29-G29</f>
        <v>721233.5</v>
      </c>
      <c r="I29" s="594">
        <f t="shared" si="11"/>
        <v>0</v>
      </c>
      <c r="J29" s="630" t="s">
        <v>844</v>
      </c>
    </row>
    <row r="30" s="145" customFormat="1" ht="28.5" customHeight="1" spans="1:10">
      <c r="A30" s="589">
        <v>2</v>
      </c>
      <c r="B30" s="590" t="s">
        <v>6</v>
      </c>
      <c r="C30" s="591"/>
      <c r="D30" s="592"/>
      <c r="E30" s="598"/>
      <c r="F30" s="594">
        <f>SUM(F31:F34)</f>
        <v>20862347.39</v>
      </c>
      <c r="G30" s="594">
        <f t="shared" ref="G30:H30" si="12">SUM(G31:G34)</f>
        <v>0</v>
      </c>
      <c r="H30" s="594">
        <f t="shared" si="12"/>
        <v>20862347.39</v>
      </c>
      <c r="I30" s="594">
        <f t="shared" si="11"/>
        <v>0</v>
      </c>
      <c r="J30" s="594"/>
    </row>
    <row r="31" s="145" customFormat="1" ht="28.5" customHeight="1" spans="1:10">
      <c r="A31" s="589"/>
      <c r="B31" s="595" t="s">
        <v>845</v>
      </c>
      <c r="C31" s="595"/>
      <c r="D31" s="595"/>
      <c r="E31" s="596"/>
      <c r="F31" s="597">
        <f>+เงินกันปี63!J25</f>
        <v>11135650</v>
      </c>
      <c r="G31" s="597">
        <v>0</v>
      </c>
      <c r="H31" s="597">
        <f>+F31-G31</f>
        <v>11135650</v>
      </c>
      <c r="I31" s="594">
        <f t="shared" si="11"/>
        <v>0</v>
      </c>
      <c r="J31" s="597"/>
    </row>
    <row r="32" s="145" customFormat="1" ht="28.5" customHeight="1" spans="1:10">
      <c r="A32" s="589"/>
      <c r="B32" s="595" t="s">
        <v>846</v>
      </c>
      <c r="C32" s="595"/>
      <c r="D32" s="595"/>
      <c r="E32" s="596"/>
      <c r="F32" s="597">
        <f>+เงินกันปี63!J29</f>
        <v>2339940.84</v>
      </c>
      <c r="G32" s="597">
        <v>0</v>
      </c>
      <c r="H32" s="597">
        <f t="shared" ref="H32:H34" si="13">+F32-G32</f>
        <v>2339940.84</v>
      </c>
      <c r="I32" s="594">
        <f t="shared" si="11"/>
        <v>0</v>
      </c>
      <c r="J32" s="597"/>
    </row>
    <row r="33" s="145" customFormat="1" ht="28.5" customHeight="1" spans="1:10">
      <c r="A33" s="589"/>
      <c r="B33" s="595" t="s">
        <v>847</v>
      </c>
      <c r="C33" s="595"/>
      <c r="D33" s="595"/>
      <c r="E33" s="596"/>
      <c r="F33" s="597">
        <f>+เงินกันปี63!J31</f>
        <v>4231617.55</v>
      </c>
      <c r="G33" s="597"/>
      <c r="H33" s="597">
        <f t="shared" si="13"/>
        <v>4231617.55</v>
      </c>
      <c r="I33" s="594">
        <f t="shared" si="11"/>
        <v>0</v>
      </c>
      <c r="J33" s="597"/>
    </row>
    <row r="34" s="145" customFormat="1" ht="28.5" customHeight="1" spans="1:10">
      <c r="A34" s="589"/>
      <c r="B34" s="595" t="s">
        <v>848</v>
      </c>
      <c r="C34" s="595"/>
      <c r="D34" s="595"/>
      <c r="E34" s="596"/>
      <c r="F34" s="597">
        <f>+เงินกันปี63!J35</f>
        <v>3155139</v>
      </c>
      <c r="G34" s="597"/>
      <c r="H34" s="597">
        <f t="shared" si="13"/>
        <v>3155139</v>
      </c>
      <c r="I34" s="594">
        <f t="shared" si="11"/>
        <v>0</v>
      </c>
      <c r="J34" s="594" t="s">
        <v>349</v>
      </c>
    </row>
    <row r="35" s="527" customFormat="1" ht="28.5" spans="1:10">
      <c r="A35" s="599" t="s">
        <v>503</v>
      </c>
      <c r="B35" s="600"/>
      <c r="C35" s="600"/>
      <c r="D35" s="600"/>
      <c r="E35" s="601"/>
      <c r="F35" s="594">
        <f>+F28+F30</f>
        <v>21583580.89</v>
      </c>
      <c r="G35" s="594">
        <f t="shared" ref="G35:H35" si="14">+G28+G30</f>
        <v>0</v>
      </c>
      <c r="H35" s="594">
        <f t="shared" si="14"/>
        <v>21583580.89</v>
      </c>
      <c r="I35" s="594">
        <f t="shared" si="11"/>
        <v>0</v>
      </c>
      <c r="J35" s="631"/>
    </row>
    <row r="36" s="533" customFormat="1" ht="30.75" spans="1:10">
      <c r="A36" s="581" t="s">
        <v>153</v>
      </c>
      <c r="B36" s="581"/>
      <c r="C36" s="581"/>
      <c r="D36" s="581"/>
      <c r="E36" s="581"/>
      <c r="F36" s="581"/>
      <c r="G36" s="581"/>
      <c r="H36" s="581"/>
      <c r="I36" s="581"/>
      <c r="J36" s="581"/>
    </row>
    <row r="37" s="534" customFormat="1" ht="18.75" hidden="1" customHeight="1" spans="1:10">
      <c r="A37" s="582"/>
      <c r="B37" s="582"/>
      <c r="C37" s="582"/>
      <c r="D37" s="582"/>
      <c r="E37" s="582"/>
      <c r="F37" s="583"/>
      <c r="G37" s="583"/>
      <c r="H37" s="583"/>
      <c r="I37" s="583"/>
      <c r="J37" s="583"/>
    </row>
    <row r="38" s="534" customFormat="1" ht="18.75" hidden="1" customHeight="1" spans="1:10">
      <c r="A38" s="582"/>
      <c r="B38" s="582"/>
      <c r="C38" s="582"/>
      <c r="D38" s="582"/>
      <c r="E38" s="582"/>
      <c r="F38" s="583"/>
      <c r="G38" s="583"/>
      <c r="H38" s="583"/>
      <c r="I38" s="583"/>
      <c r="J38" s="583"/>
    </row>
    <row r="39" s="182" customFormat="1" ht="26.25" spans="1:10">
      <c r="A39" s="584" t="s">
        <v>105</v>
      </c>
      <c r="B39" s="585"/>
      <c r="C39" s="585"/>
      <c r="D39" s="585"/>
      <c r="E39" s="586"/>
      <c r="F39" s="587" t="s">
        <v>842</v>
      </c>
      <c r="G39" s="588" t="s">
        <v>26</v>
      </c>
      <c r="H39" s="588" t="s">
        <v>111</v>
      </c>
      <c r="I39" s="588" t="s">
        <v>504</v>
      </c>
      <c r="J39" s="588" t="s">
        <v>165</v>
      </c>
    </row>
    <row r="40" s="145" customFormat="1" ht="30.75" customHeight="1" spans="1:10">
      <c r="A40" s="589">
        <v>1</v>
      </c>
      <c r="B40" s="590" t="s">
        <v>5</v>
      </c>
      <c r="C40" s="591"/>
      <c r="D40" s="592"/>
      <c r="E40" s="593"/>
      <c r="F40" s="594">
        <f>+เงินกันปี64!H22</f>
        <v>9240390</v>
      </c>
      <c r="G40" s="594">
        <f>+เงินกันปี64!I22</f>
        <v>8601770</v>
      </c>
      <c r="H40" s="594">
        <f>+เงินกันปี64!J22</f>
        <v>638620</v>
      </c>
      <c r="I40" s="594">
        <f t="shared" ref="I40:I43" si="15">+G40*100/F40</f>
        <v>93.0888198441841</v>
      </c>
      <c r="J40" s="594"/>
    </row>
    <row r="41" s="145" customFormat="1" ht="30.75" customHeight="1" spans="1:10">
      <c r="A41" s="589">
        <v>2</v>
      </c>
      <c r="B41" s="590" t="s">
        <v>6</v>
      </c>
      <c r="C41" s="591"/>
      <c r="D41" s="592"/>
      <c r="E41" s="598"/>
      <c r="F41" s="594">
        <f>SUM(F42:F43)</f>
        <v>121075475.32</v>
      </c>
      <c r="G41" s="594">
        <f t="shared" ref="G41:H41" si="16">SUM(G42:G43)</f>
        <v>52970904.29</v>
      </c>
      <c r="H41" s="594">
        <f t="shared" si="16"/>
        <v>68104571.03</v>
      </c>
      <c r="I41" s="594">
        <f t="shared" si="15"/>
        <v>43.750317023327</v>
      </c>
      <c r="J41" s="594"/>
    </row>
    <row r="42" s="145" customFormat="1" ht="30.75" customHeight="1" spans="1:10">
      <c r="A42" s="589"/>
      <c r="B42" s="595" t="s">
        <v>849</v>
      </c>
      <c r="C42" s="595"/>
      <c r="D42" s="595"/>
      <c r="E42" s="596"/>
      <c r="F42" s="597">
        <f>+เงินกันปี64!H23+เงินกันปี64!H24+เงินกันปี64!H25+เงินกันปี64!H26+เงินกันปี64!H27+เงินกันปี64!H28+เงินกันปี64!H29+เงินกันปี64!H30+เงินกันปี64!H31+เงินกันปี64!H32+เงินกันปี64!H33</f>
        <v>3678102.5</v>
      </c>
      <c r="G42" s="597">
        <f>+เงินกันปี64!I23+เงินกันปี64!I24+เงินกันปี64!I25+เงินกันปี64!I26+เงินกันปี64!I27+เงินกันปี64!I28+เงินกันปี64!I29+เงินกันปี64!I30+เงินกันปี64!I31+เงินกันปี64!I32+เงินกันปี64!I33</f>
        <v>2801505</v>
      </c>
      <c r="H42" s="597">
        <f>+เงินกันปี64!J23+เงินกันปี64!J24+เงินกันปี64!J25+เงินกันปี64!J26+เงินกันปี64!J27+เงินกันปี64!J28+เงินกันปี64!J29+เงินกันปี64!J30+เงินกันปี64!J31+เงินกันปี64!J32+เงินกันปี64!J33</f>
        <v>876597.5</v>
      </c>
      <c r="I42" s="594">
        <f t="shared" si="15"/>
        <v>76.1671269356958</v>
      </c>
      <c r="J42" s="597"/>
    </row>
    <row r="43" s="145" customFormat="1" ht="30.75" customHeight="1" spans="1:10">
      <c r="A43" s="589"/>
      <c r="B43" s="595" t="s">
        <v>850</v>
      </c>
      <c r="C43" s="595"/>
      <c r="D43" s="595"/>
      <c r="E43" s="596"/>
      <c r="F43" s="597">
        <f>+เงินกันปี64!H34+เงินกันปี64!H35+เงินกันปี64!H36+เงินกันปี64!H37+เงินกันปี64!H38+เงินกันปี64!H39+เงินกันปี64!H40+เงินกันปี64!H41+เงินกันปี64!H42+เงินกันปี64!H43+เงินกันปี64!H44+เงินกันปี64!H45+เงินกันปี64!H46+เงินกันปี64!H47+เงินกันปี64!H48+เงินกันปี64!H49+เงินกันปี64!H50+เงินกันปี64!H51</f>
        <v>117397372.82</v>
      </c>
      <c r="G43" s="597">
        <f>+เงินกันปี64!I34+เงินกันปี64!I35+เงินกันปี64!I36+เงินกันปี64!I37+เงินกันปี64!I38+เงินกันปี64!I39+เงินกันปี64!I40+เงินกันปี64!I41+เงินกันปี64!I42+เงินกันปี64!I43+เงินกันปี64!I44+เงินกันปี64!I45+เงินกันปี64!I46+เงินกันปี64!I47+เงินกันปี64!I48+เงินกันปี64!I49+เงินกันปี64!I50+เงินกันปี64!I51</f>
        <v>50169399.29</v>
      </c>
      <c r="H43" s="597">
        <f>+เงินกันปี64!J34+เงินกันปี64!J35+เงินกันปี64!J36+เงินกันปี64!J37+เงินกันปี64!J38+เงินกันปี64!J39+เงินกันปี64!J40+เงินกันปี64!J41+เงินกันปี64!J42+เงินกันปี64!J43+เงินกันปี64!J44+เงินกันปี64!J45+เงินกันปี64!J46+เงินกันปี64!J47+เงินกันปี64!J48+เงินกันปี64!J49+เงินกันปี64!J50+เงินกันปี64!J51</f>
        <v>67227973.53</v>
      </c>
      <c r="I43" s="594">
        <f t="shared" si="15"/>
        <v>42.7346865478178</v>
      </c>
      <c r="J43" s="597"/>
    </row>
    <row r="44" s="145" customFormat="1" ht="30.75" customHeight="1" spans="1:10">
      <c r="A44" s="589">
        <v>3</v>
      </c>
      <c r="B44" s="590" t="s">
        <v>8</v>
      </c>
      <c r="C44" s="591"/>
      <c r="D44" s="592"/>
      <c r="E44" s="598"/>
      <c r="F44" s="594">
        <f>SUM(F45:F46)</f>
        <v>11129007.4</v>
      </c>
      <c r="G44" s="594">
        <f t="shared" ref="G44:H44" si="17">SUM(G45:G46)</f>
        <v>8313607.4</v>
      </c>
      <c r="H44" s="594">
        <f t="shared" si="17"/>
        <v>2815400</v>
      </c>
      <c r="I44" s="594">
        <f t="shared" ref="I44:I46" si="18">+G44*100/F44</f>
        <v>74.7021463926783</v>
      </c>
      <c r="J44" s="594"/>
    </row>
    <row r="45" s="134" customFormat="1" ht="30.75" customHeight="1" spans="1:10">
      <c r="A45" s="602"/>
      <c r="B45" s="595" t="s">
        <v>851</v>
      </c>
      <c r="C45" s="595"/>
      <c r="D45" s="595"/>
      <c r="E45" s="596"/>
      <c r="F45" s="597">
        <f>+เงินกันปี64!H62</f>
        <v>6129007.4</v>
      </c>
      <c r="G45" s="597">
        <f>+เงินกันปี64!I62</f>
        <v>3313607.4</v>
      </c>
      <c r="H45" s="597">
        <f>+เงินกันปี64!J62</f>
        <v>2815400</v>
      </c>
      <c r="I45" s="594">
        <f t="shared" si="18"/>
        <v>54.0643400104232</v>
      </c>
      <c r="J45" s="597"/>
    </row>
    <row r="46" s="134" customFormat="1" ht="69.75" spans="1:10">
      <c r="A46" s="602"/>
      <c r="B46" s="109" t="s">
        <v>852</v>
      </c>
      <c r="C46" s="109"/>
      <c r="D46" s="109"/>
      <c r="E46" s="124"/>
      <c r="F46" s="603">
        <f>+เงินกันปี64!H63</f>
        <v>5000000</v>
      </c>
      <c r="G46" s="603">
        <f>+เงินกันปี64!I63</f>
        <v>5000000</v>
      </c>
      <c r="H46" s="603">
        <f>+เงินกันปี64!J63</f>
        <v>0</v>
      </c>
      <c r="I46" s="594">
        <f t="shared" si="18"/>
        <v>100</v>
      </c>
      <c r="J46" s="632" t="s">
        <v>853</v>
      </c>
    </row>
    <row r="47" s="531" customFormat="1" ht="38.25" customHeight="1" spans="1:10">
      <c r="A47" s="599" t="s">
        <v>503</v>
      </c>
      <c r="B47" s="600"/>
      <c r="C47" s="600"/>
      <c r="D47" s="600"/>
      <c r="E47" s="601"/>
      <c r="F47" s="594">
        <f>+F40+F41+F44</f>
        <v>141444872.72</v>
      </c>
      <c r="G47" s="594">
        <f t="shared" ref="G47:H47" si="19">+G40+G41+G44</f>
        <v>69886281.69</v>
      </c>
      <c r="H47" s="594">
        <f t="shared" si="19"/>
        <v>71558591.03</v>
      </c>
      <c r="I47" s="633">
        <f t="shared" ref="I47" si="20">+G47*100/F47</f>
        <v>49.4088476634602</v>
      </c>
      <c r="J47" s="631"/>
    </row>
    <row r="48" s="535" customFormat="1" ht="28.5" spans="1:10">
      <c r="A48" s="604" t="s">
        <v>854</v>
      </c>
      <c r="B48" s="604"/>
      <c r="C48" s="604"/>
      <c r="D48" s="604"/>
      <c r="E48" s="604"/>
      <c r="F48" s="604"/>
      <c r="G48" s="604"/>
      <c r="H48" s="604"/>
      <c r="I48" s="604"/>
      <c r="J48" s="634"/>
    </row>
    <row r="49" s="182" customFormat="1" ht="32.25" customHeight="1" spans="1:10">
      <c r="A49" s="605"/>
      <c r="B49" s="605"/>
      <c r="C49" s="605"/>
      <c r="D49" s="605"/>
      <c r="E49" s="605"/>
      <c r="F49" s="605"/>
      <c r="G49" s="605"/>
      <c r="H49" s="605"/>
      <c r="I49" s="605"/>
      <c r="J49" s="635"/>
    </row>
    <row r="50" s="182" customFormat="1" ht="32.25" hidden="1" customHeight="1" spans="1:10">
      <c r="A50" s="606"/>
      <c r="B50" s="606"/>
      <c r="C50" s="606"/>
      <c r="D50" s="606"/>
      <c r="E50" s="606"/>
      <c r="F50" s="606"/>
      <c r="G50" s="606"/>
      <c r="H50" s="606"/>
      <c r="I50" s="606"/>
      <c r="J50" s="635"/>
    </row>
    <row r="51" s="533" customFormat="1" ht="30.75" spans="1:10">
      <c r="A51" s="581" t="s">
        <v>498</v>
      </c>
      <c r="B51" s="581"/>
      <c r="C51" s="581"/>
      <c r="D51" s="581"/>
      <c r="E51" s="581"/>
      <c r="F51" s="581"/>
      <c r="G51" s="581"/>
      <c r="H51" s="581"/>
      <c r="I51" s="581"/>
      <c r="J51" s="581"/>
    </row>
    <row r="52" s="182" customFormat="1" ht="51" customHeight="1" spans="1:10">
      <c r="A52" s="584" t="s">
        <v>105</v>
      </c>
      <c r="B52" s="585"/>
      <c r="C52" s="585"/>
      <c r="D52" s="585"/>
      <c r="E52" s="586"/>
      <c r="F52" s="587" t="s">
        <v>842</v>
      </c>
      <c r="G52" s="588" t="s">
        <v>26</v>
      </c>
      <c r="H52" s="588" t="s">
        <v>111</v>
      </c>
      <c r="I52" s="588" t="s">
        <v>504</v>
      </c>
      <c r="J52" s="636"/>
    </row>
    <row r="53" s="145" customFormat="1" ht="51" customHeight="1" spans="1:10">
      <c r="A53" s="607" t="s">
        <v>855</v>
      </c>
      <c r="B53" s="608"/>
      <c r="C53" s="591"/>
      <c r="D53" s="592"/>
      <c r="E53" s="593"/>
      <c r="F53" s="594">
        <f>SUM(F54:F55)</f>
        <v>3942765</v>
      </c>
      <c r="G53" s="594">
        <f t="shared" ref="G53:H53" si="21">SUM(G54:G55)</f>
        <v>1918904.16</v>
      </c>
      <c r="H53" s="594">
        <f t="shared" si="21"/>
        <v>2023860.84</v>
      </c>
      <c r="I53" s="594">
        <f>+G53*100/F53</f>
        <v>48.6689965037226</v>
      </c>
      <c r="J53" s="637"/>
    </row>
    <row r="54" s="145" customFormat="1" ht="51" customHeight="1" spans="1:10">
      <c r="A54" s="321" t="s">
        <v>856</v>
      </c>
      <c r="B54" s="590" t="s">
        <v>337</v>
      </c>
      <c r="C54" s="609"/>
      <c r="D54" s="592"/>
      <c r="E54" s="598"/>
      <c r="F54" s="597">
        <f>+'เบิกแทน กรมคุม'!E103</f>
        <v>3942765</v>
      </c>
      <c r="G54" s="597">
        <f>+'เบิกแทน กรมคุม'!F103</f>
        <v>1918904.16</v>
      </c>
      <c r="H54" s="597">
        <f>SUM(F54-G54)</f>
        <v>2023860.84</v>
      </c>
      <c r="I54" s="597">
        <f>+G54*100/F54</f>
        <v>48.6689965037226</v>
      </c>
      <c r="J54" s="637"/>
    </row>
    <row r="55" s="182" customFormat="1" ht="51" customHeight="1" spans="1:10">
      <c r="A55" s="321" t="s">
        <v>857</v>
      </c>
      <c r="B55" s="610" t="s">
        <v>858</v>
      </c>
      <c r="C55" s="611"/>
      <c r="D55" s="611"/>
      <c r="E55" s="611"/>
      <c r="F55" s="612">
        <v>0</v>
      </c>
      <c r="G55" s="612">
        <v>0</v>
      </c>
      <c r="H55" s="612">
        <v>0</v>
      </c>
      <c r="I55" s="597">
        <v>0</v>
      </c>
      <c r="J55" s="638"/>
    </row>
    <row r="56" s="182" customFormat="1" ht="32.25" hidden="1" customHeight="1" spans="1:3">
      <c r="A56" s="182" t="s">
        <v>859</v>
      </c>
      <c r="B56" s="613"/>
      <c r="C56" s="613"/>
    </row>
    <row r="441" spans="9:9">
      <c r="I441" s="257"/>
    </row>
  </sheetData>
  <mergeCells count="33">
    <mergeCell ref="A1:J1"/>
    <mergeCell ref="A2:J2"/>
    <mergeCell ref="A3:J3"/>
    <mergeCell ref="B4:D4"/>
    <mergeCell ref="I4:J4"/>
    <mergeCell ref="A16:J16"/>
    <mergeCell ref="A17:D17"/>
    <mergeCell ref="I17:J17"/>
    <mergeCell ref="B18:C18"/>
    <mergeCell ref="B19:C19"/>
    <mergeCell ref="B20:C20"/>
    <mergeCell ref="A25:J25"/>
    <mergeCell ref="A27:E27"/>
    <mergeCell ref="B29:E29"/>
    <mergeCell ref="B31:E31"/>
    <mergeCell ref="B32:E32"/>
    <mergeCell ref="B33:E33"/>
    <mergeCell ref="B34:E34"/>
    <mergeCell ref="A35:E35"/>
    <mergeCell ref="A36:J36"/>
    <mergeCell ref="A39:E39"/>
    <mergeCell ref="B42:E42"/>
    <mergeCell ref="B43:E43"/>
    <mergeCell ref="B45:E45"/>
    <mergeCell ref="B46:E46"/>
    <mergeCell ref="A47:E47"/>
    <mergeCell ref="A48:I48"/>
    <mergeCell ref="A49:I49"/>
    <mergeCell ref="A51:J51"/>
    <mergeCell ref="A52:E52"/>
    <mergeCell ref="A53:B53"/>
    <mergeCell ref="B55:E55"/>
    <mergeCell ref="A4:A6"/>
  </mergeCells>
  <pageMargins left="0.433070866141732" right="0.196850393700787" top="0.393700787401575" bottom="0.433070866141732" header="0.15748031496063" footer="0.15748031496063"/>
  <pageSetup paperSize="9" scale="76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B9" sqref="B9"/>
    </sheetView>
  </sheetViews>
  <sheetFormatPr defaultColWidth="13" defaultRowHeight="26.25" outlineLevelCol="5"/>
  <cols>
    <col min="1" max="1" width="24.8571428571429" style="511" customWidth="1"/>
    <col min="2" max="2" width="21.7142857142857" style="512" customWidth="1"/>
    <col min="3" max="3" width="18.7142857142857" style="512" customWidth="1"/>
    <col min="4" max="5" width="21.7142857142857" style="512" customWidth="1"/>
    <col min="6" max="6" width="20.5714285714286" style="511" customWidth="1"/>
    <col min="7" max="16384" width="13" style="511"/>
  </cols>
  <sheetData>
    <row r="1" spans="1:6">
      <c r="A1" s="513" t="s">
        <v>105</v>
      </c>
      <c r="B1" s="514" t="s">
        <v>860</v>
      </c>
      <c r="C1" s="514" t="s">
        <v>861</v>
      </c>
      <c r="D1" s="514" t="s">
        <v>862</v>
      </c>
      <c r="E1" s="514" t="s">
        <v>26</v>
      </c>
      <c r="F1" s="515" t="s">
        <v>111</v>
      </c>
    </row>
    <row r="2" spans="1:6">
      <c r="A2" s="515" t="s">
        <v>863</v>
      </c>
      <c r="B2" s="516"/>
      <c r="C2" s="516"/>
      <c r="D2" s="516"/>
      <c r="E2" s="516"/>
      <c r="F2" s="517">
        <f>+B2-C2-D2-E2</f>
        <v>0</v>
      </c>
    </row>
    <row r="3" spans="1:6">
      <c r="A3" s="515" t="s">
        <v>864</v>
      </c>
      <c r="B3" s="516"/>
      <c r="C3" s="516"/>
      <c r="D3" s="516"/>
      <c r="E3" s="516"/>
      <c r="F3" s="517">
        <f t="shared" ref="F3:F12" si="0">+B3-C3-D3-E3</f>
        <v>0</v>
      </c>
    </row>
    <row r="4" spans="1:6">
      <c r="A4" s="515"/>
      <c r="B4" s="516"/>
      <c r="C4" s="516"/>
      <c r="D4" s="516"/>
      <c r="E4" s="516"/>
      <c r="F4" s="517">
        <f t="shared" si="0"/>
        <v>0</v>
      </c>
    </row>
    <row r="5" spans="1:6">
      <c r="A5" s="515"/>
      <c r="B5" s="516"/>
      <c r="C5" s="516"/>
      <c r="D5" s="516"/>
      <c r="E5" s="516"/>
      <c r="F5" s="517">
        <f t="shared" si="0"/>
        <v>0</v>
      </c>
    </row>
    <row r="6" spans="1:6">
      <c r="A6" s="515"/>
      <c r="B6" s="516"/>
      <c r="C6" s="516"/>
      <c r="D6" s="516"/>
      <c r="E6" s="516"/>
      <c r="F6" s="517">
        <f t="shared" si="0"/>
        <v>0</v>
      </c>
    </row>
    <row r="7" spans="1:6">
      <c r="A7" s="515"/>
      <c r="B7" s="516"/>
      <c r="C7" s="516"/>
      <c r="D7" s="516"/>
      <c r="E7" s="516"/>
      <c r="F7" s="517">
        <f t="shared" si="0"/>
        <v>0</v>
      </c>
    </row>
    <row r="8" spans="1:6">
      <c r="A8" s="515"/>
      <c r="B8" s="516"/>
      <c r="C8" s="516"/>
      <c r="D8" s="516"/>
      <c r="E8" s="516"/>
      <c r="F8" s="517">
        <f t="shared" si="0"/>
        <v>0</v>
      </c>
    </row>
    <row r="9" spans="1:6">
      <c r="A9" s="515"/>
      <c r="B9" s="516"/>
      <c r="C9" s="516"/>
      <c r="D9" s="516"/>
      <c r="E9" s="516"/>
      <c r="F9" s="517">
        <f t="shared" si="0"/>
        <v>0</v>
      </c>
    </row>
    <row r="10" spans="1:6">
      <c r="A10" s="515"/>
      <c r="B10" s="516"/>
      <c r="C10" s="516"/>
      <c r="D10" s="516"/>
      <c r="E10" s="516"/>
      <c r="F10" s="517">
        <f t="shared" si="0"/>
        <v>0</v>
      </c>
    </row>
    <row r="11" spans="1:6">
      <c r="A11" s="515"/>
      <c r="B11" s="516"/>
      <c r="C11" s="516"/>
      <c r="D11" s="516"/>
      <c r="E11" s="516"/>
      <c r="F11" s="517">
        <f t="shared" si="0"/>
        <v>0</v>
      </c>
    </row>
    <row r="12" spans="1:6">
      <c r="A12" s="515"/>
      <c r="B12" s="516"/>
      <c r="C12" s="516"/>
      <c r="D12" s="516"/>
      <c r="E12" s="516"/>
      <c r="F12" s="517">
        <f t="shared" si="0"/>
        <v>0</v>
      </c>
    </row>
    <row r="13" hidden="1" spans="1:6">
      <c r="A13" s="515"/>
      <c r="B13" s="516"/>
      <c r="C13" s="516"/>
      <c r="D13" s="516"/>
      <c r="E13" s="516"/>
      <c r="F13" s="517"/>
    </row>
    <row r="14" hidden="1" spans="1:6">
      <c r="A14" s="515"/>
      <c r="B14" s="516"/>
      <c r="C14" s="516"/>
      <c r="D14" s="516">
        <v>0</v>
      </c>
      <c r="E14" s="516">
        <v>0</v>
      </c>
      <c r="F14" s="517">
        <f>+B14-C14-D14-E14</f>
        <v>0</v>
      </c>
    </row>
    <row r="15" ht="27" spans="1:6">
      <c r="A15" s="515" t="s">
        <v>865</v>
      </c>
      <c r="B15" s="518">
        <f>SUM(B3:B14)</f>
        <v>0</v>
      </c>
      <c r="C15" s="518">
        <f>SUM(C3:C14)</f>
        <v>0</v>
      </c>
      <c r="D15" s="518">
        <f>SUM(D3:D14)</f>
        <v>0</v>
      </c>
      <c r="E15" s="518">
        <f>SUM(E3:E14)</f>
        <v>0</v>
      </c>
      <c r="F15" s="518">
        <f>SUM(F3:F14)</f>
        <v>0</v>
      </c>
    </row>
    <row r="16" ht="27" spans="1:6">
      <c r="A16" s="515" t="s">
        <v>866</v>
      </c>
      <c r="B16" s="519">
        <f>+B2-B15</f>
        <v>0</v>
      </c>
      <c r="C16" s="519">
        <f>+C2-C15</f>
        <v>0</v>
      </c>
      <c r="D16" s="519">
        <f>+D2-D15</f>
        <v>0</v>
      </c>
      <c r="E16" s="519">
        <f>+E2-E15</f>
        <v>0</v>
      </c>
      <c r="F16" s="519">
        <f>+F2-F15</f>
        <v>0</v>
      </c>
    </row>
    <row r="17" spans="1:6">
      <c r="A17" s="520"/>
      <c r="B17" s="521"/>
      <c r="C17" s="521"/>
      <c r="D17" s="521"/>
      <c r="E17" s="521"/>
      <c r="F17" s="520"/>
    </row>
    <row r="19" spans="1:6">
      <c r="A19" s="511" t="s">
        <v>867</v>
      </c>
      <c r="B19" s="522">
        <f>+รายจ่ายจริง!P80</f>
        <v>1474414000</v>
      </c>
      <c r="C19" s="522"/>
      <c r="D19" s="522">
        <f>+รายจ่ายจริง!P81</f>
        <v>76695558.87</v>
      </c>
      <c r="E19" s="522">
        <f>+รายจ่ายจริง!P82</f>
        <v>1047048476.99</v>
      </c>
      <c r="F19" s="522">
        <f>+B19-C19-D19-E19</f>
        <v>350669964.14</v>
      </c>
    </row>
    <row r="20" s="510" customFormat="1" spans="1:6">
      <c r="A20" s="510" t="s">
        <v>868</v>
      </c>
      <c r="B20" s="523">
        <f>+B16-B19</f>
        <v>-1474414000</v>
      </c>
      <c r="C20" s="523">
        <f>+C16-C19</f>
        <v>0</v>
      </c>
      <c r="D20" s="523">
        <f>+D16-D19</f>
        <v>-76695558.87</v>
      </c>
      <c r="E20" s="523">
        <f>+E16-E19</f>
        <v>-1047048476.99</v>
      </c>
      <c r="F20" s="523">
        <f>+F16-F19</f>
        <v>-350669964.14</v>
      </c>
    </row>
    <row r="22" hidden="1" spans="1:4">
      <c r="A22" s="511" t="s">
        <v>869</v>
      </c>
      <c r="B22" s="512">
        <v>181782377.8</v>
      </c>
      <c r="D22" s="512">
        <v>181782377.8</v>
      </c>
    </row>
    <row r="23" hidden="1" spans="1:4">
      <c r="A23" s="511" t="s">
        <v>870</v>
      </c>
      <c r="B23" s="512">
        <v>119500</v>
      </c>
      <c r="D23" s="512">
        <v>119500</v>
      </c>
    </row>
    <row r="24" hidden="1" spans="1:4">
      <c r="A24" s="511" t="s">
        <v>871</v>
      </c>
      <c r="B24" s="512">
        <f>+B22-B23</f>
        <v>181662877.8</v>
      </c>
      <c r="C24" s="512">
        <f>+C22-C23</f>
        <v>0</v>
      </c>
      <c r="D24" s="512">
        <f>+D22-D23</f>
        <v>181662877.8</v>
      </c>
    </row>
    <row r="25" spans="1:6">
      <c r="A25" s="511" t="s">
        <v>6</v>
      </c>
      <c r="B25" s="512" t="e">
        <f>+รายจ่ายจริง!#REF!</f>
        <v>#REF!</v>
      </c>
      <c r="D25" s="512" t="e">
        <f>+รายจ่ายจริง!#REF!</f>
        <v>#REF!</v>
      </c>
      <c r="E25" s="512" t="e">
        <f>+รายจ่ายจริง!#REF!</f>
        <v>#REF!</v>
      </c>
      <c r="F25" s="524" t="e">
        <f>+B25-C25-D25-E25</f>
        <v>#REF!</v>
      </c>
    </row>
    <row r="26" spans="2:6">
      <c r="B26" s="512" t="e">
        <f>+B25+B20</f>
        <v>#REF!</v>
      </c>
      <c r="C26" s="512">
        <f>+C25+C20</f>
        <v>0</v>
      </c>
      <c r="D26" s="512" t="e">
        <f>+D25+D20</f>
        <v>#REF!</v>
      </c>
      <c r="E26" s="512" t="e">
        <f>+E25+E20</f>
        <v>#REF!</v>
      </c>
      <c r="F26" s="512" t="e">
        <f>+F25+F20</f>
        <v>#REF!</v>
      </c>
    </row>
    <row r="28" spans="2:6">
      <c r="B28" s="525">
        <v>43443127</v>
      </c>
      <c r="C28" s="525"/>
      <c r="D28" s="525">
        <v>4828500</v>
      </c>
      <c r="E28" s="525">
        <v>38589387.73</v>
      </c>
      <c r="F28" s="526">
        <f>+B28-C28-D28-E28</f>
        <v>25239.2700000033</v>
      </c>
    </row>
    <row r="29" spans="2:6">
      <c r="B29" s="525">
        <v>97567324</v>
      </c>
      <c r="C29" s="525">
        <v>10692000</v>
      </c>
      <c r="D29" s="525">
        <v>50048348.22</v>
      </c>
      <c r="E29" s="525">
        <v>36672845.18</v>
      </c>
      <c r="F29" s="526">
        <f>+B29-C29-D29-E29</f>
        <v>154130.600000001</v>
      </c>
    </row>
    <row r="30" spans="2:6">
      <c r="B30" s="525">
        <v>24046058</v>
      </c>
      <c r="C30" s="525"/>
      <c r="D30" s="525"/>
      <c r="E30" s="525">
        <v>24044510.1</v>
      </c>
      <c r="F30" s="526">
        <f>+B30-C30-D30-E30</f>
        <v>1547.89999999851</v>
      </c>
    </row>
    <row r="31" spans="2:6">
      <c r="B31" s="525">
        <v>72778942</v>
      </c>
      <c r="C31" s="525"/>
      <c r="D31" s="525">
        <v>21011266.74</v>
      </c>
      <c r="E31" s="525">
        <v>51765141.03</v>
      </c>
      <c r="F31" s="526">
        <f>+B31-C31-D31-E31</f>
        <v>2534.23000000417</v>
      </c>
    </row>
    <row r="32" spans="2:6">
      <c r="B32" s="525">
        <f>SUM(B28:B31)</f>
        <v>237835451</v>
      </c>
      <c r="C32" s="525">
        <f>SUM(C28:C31)</f>
        <v>10692000</v>
      </c>
      <c r="D32" s="525">
        <f>SUM(D28:D31)</f>
        <v>75888114.96</v>
      </c>
      <c r="E32" s="525">
        <f>SUM(E28:E31)</f>
        <v>151071884.04</v>
      </c>
      <c r="F32" s="525">
        <f>SUM(F28:F31)</f>
        <v>183452.000000007</v>
      </c>
    </row>
    <row r="33" spans="2:6">
      <c r="B33" s="512">
        <f>+B32+B16</f>
        <v>237835451</v>
      </c>
      <c r="C33" s="512">
        <f>+C32+C16</f>
        <v>10692000</v>
      </c>
      <c r="D33" s="512">
        <f>+D32+D16</f>
        <v>75888114.96</v>
      </c>
      <c r="E33" s="512">
        <f>+E32+E16</f>
        <v>151071884.04</v>
      </c>
      <c r="F33" s="512">
        <f>+F32+F16</f>
        <v>183452.000000007</v>
      </c>
    </row>
    <row r="34" spans="6:6">
      <c r="F34" s="512"/>
    </row>
    <row r="35" spans="2:2">
      <c r="B35" s="512">
        <v>363976.87</v>
      </c>
    </row>
    <row r="36" spans="2:2">
      <c r="B36" s="512">
        <v>19207006.5</v>
      </c>
    </row>
    <row r="37" spans="2:2">
      <c r="B37" s="512">
        <v>17075529</v>
      </c>
    </row>
    <row r="38" spans="2:6">
      <c r="B38" s="512">
        <f>SUM(B35:B37)</f>
        <v>36646512.37</v>
      </c>
      <c r="C38" s="512">
        <f>SUM(C35:C37)</f>
        <v>0</v>
      </c>
      <c r="D38" s="512">
        <f>SUM(D35:D37)</f>
        <v>0</v>
      </c>
      <c r="E38" s="512">
        <f>SUM(E35:E37)</f>
        <v>0</v>
      </c>
      <c r="F38" s="512">
        <f>SUM(F35:F37)</f>
        <v>0</v>
      </c>
    </row>
    <row r="39" spans="2:6">
      <c r="B39" s="512">
        <f>+B33+B38</f>
        <v>274481963.37</v>
      </c>
      <c r="C39" s="512">
        <f>+C33+C38</f>
        <v>10692000</v>
      </c>
      <c r="D39" s="512">
        <f>+D33+D38</f>
        <v>75888114.96</v>
      </c>
      <c r="E39" s="512">
        <f>+E33+E38</f>
        <v>151071884.04</v>
      </c>
      <c r="F39" s="512">
        <f>+F33+F38</f>
        <v>183452.000000007</v>
      </c>
    </row>
    <row r="40" spans="2:5">
      <c r="B40" s="512">
        <v>5000000</v>
      </c>
      <c r="E40" s="512">
        <v>5000000</v>
      </c>
    </row>
    <row r="41" spans="2:5">
      <c r="B41" s="512">
        <f>+B39+B40</f>
        <v>279481963.37</v>
      </c>
      <c r="C41" s="512">
        <f>+C39+C40</f>
        <v>10692000</v>
      </c>
      <c r="D41" s="512">
        <f>+D39+D40</f>
        <v>75888114.96</v>
      </c>
      <c r="E41" s="512">
        <f>+E39+E40</f>
        <v>156071884.04</v>
      </c>
    </row>
    <row r="42" spans="2:5">
      <c r="B42" s="512">
        <v>493000</v>
      </c>
      <c r="E42" s="512">
        <v>493000</v>
      </c>
    </row>
    <row r="43" spans="2:5">
      <c r="B43" s="512">
        <f>+B41+B42</f>
        <v>279974963.37</v>
      </c>
      <c r="C43" s="512">
        <f>+C41+C42</f>
        <v>10692000</v>
      </c>
      <c r="D43" s="512">
        <f>+D41+D42</f>
        <v>75888114.96</v>
      </c>
      <c r="E43" s="512">
        <f>+E41+E42</f>
        <v>156564884.04</v>
      </c>
    </row>
    <row r="44" spans="2:5">
      <c r="B44" s="512">
        <f>+B19</f>
        <v>1474414000</v>
      </c>
      <c r="C44" s="512">
        <f>+C19</f>
        <v>0</v>
      </c>
      <c r="D44" s="512">
        <f>+D19</f>
        <v>76695558.87</v>
      </c>
      <c r="E44" s="512">
        <f>+E19</f>
        <v>1047048476.99</v>
      </c>
    </row>
    <row r="45" spans="2:5">
      <c r="B45" s="512">
        <f>+B43-B44</f>
        <v>-1194439036.63</v>
      </c>
      <c r="E45" s="512">
        <f>+E43-E44</f>
        <v>-890483592.95</v>
      </c>
    </row>
  </sheetData>
  <pageMargins left="0.7" right="0.7" top="0.75" bottom="0.75" header="0.3" footer="0.3"/>
  <pageSetup paperSize="1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R66"/>
  <sheetViews>
    <sheetView zoomScale="80" zoomScaleNormal="80" topLeftCell="D8" workbookViewId="0">
      <pane ySplit="2010" topLeftCell="A6" activePane="bottomLeft"/>
      <selection/>
      <selection pane="bottomLeft" activeCell="K11" sqref="K11"/>
    </sheetView>
  </sheetViews>
  <sheetFormatPr defaultColWidth="9.14285714285714" defaultRowHeight="26.25"/>
  <cols>
    <col min="1" max="1" width="6.85714285714286" style="414" customWidth="1"/>
    <col min="2" max="2" width="22.2857142857143" style="415" hidden="1" customWidth="1"/>
    <col min="3" max="3" width="6" style="416" customWidth="1"/>
    <col min="4" max="4" width="48.7142857142857" style="417" customWidth="1"/>
    <col min="5" max="5" width="20.5714285714286" style="418" customWidth="1"/>
    <col min="6" max="6" width="22.8571428571429" style="418" customWidth="1"/>
    <col min="7" max="7" width="12.8571428571429" style="418" hidden="1" customWidth="1"/>
    <col min="8" max="8" width="24.4285714285714" style="411" hidden="1" customWidth="1"/>
    <col min="9" max="9" width="17.8571428571429" style="419" customWidth="1"/>
    <col min="10" max="10" width="17.8571428571429" style="418" customWidth="1"/>
    <col min="11" max="11" width="19.1428571428571" style="418" customWidth="1"/>
    <col min="12" max="12" width="21.7142857142857" style="418" customWidth="1"/>
    <col min="13" max="13" width="11.5714285714286" style="419" customWidth="1"/>
    <col min="14" max="14" width="16" style="419" customWidth="1"/>
    <col min="15" max="15" width="21" style="419" customWidth="1"/>
    <col min="16" max="16" width="17.5714285714286" style="419" customWidth="1"/>
    <col min="17" max="17" width="36.8571428571429" style="420" customWidth="1"/>
    <col min="18" max="18" width="1.57142857142857" style="418" hidden="1" customWidth="1"/>
    <col min="19" max="39" width="9.14285714285714" style="418" hidden="1" customWidth="1"/>
    <col min="40" max="44" width="9.14285714285714" style="418" customWidth="1"/>
    <col min="45" max="16384" width="9.14285714285714" style="418"/>
  </cols>
  <sheetData>
    <row r="1" ht="29.25" spans="1:17">
      <c r="A1" s="421" t="s">
        <v>0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</row>
    <row r="2" ht="29.25" spans="1:17">
      <c r="A2" s="421" t="s">
        <v>872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</row>
    <row r="3" ht="29.25" spans="1:17">
      <c r="A3" s="421" t="s">
        <v>352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</row>
    <row r="4" ht="29.25" spans="1:17">
      <c r="A4" s="422" t="str">
        <f>+รายจ่ายจริง!A3:P3</f>
        <v>ตั้งแต่วันที่ 1  ตุลาคม 2564 ถึงวันที่ 30 เมษายน 2565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</row>
    <row r="5" s="408" customFormat="1" ht="36.75" customHeight="1" spans="1:17">
      <c r="A5" s="423" t="s">
        <v>155</v>
      </c>
      <c r="B5" s="424"/>
      <c r="C5" s="425" t="s">
        <v>105</v>
      </c>
      <c r="D5" s="425"/>
      <c r="E5" s="426" t="s">
        <v>873</v>
      </c>
      <c r="F5" s="427"/>
      <c r="G5" s="427"/>
      <c r="H5" s="427"/>
      <c r="I5" s="427"/>
      <c r="J5" s="427"/>
      <c r="K5" s="427"/>
      <c r="L5" s="427"/>
      <c r="M5" s="427"/>
      <c r="N5" s="427"/>
      <c r="O5" s="473"/>
      <c r="P5" s="474" t="s">
        <v>874</v>
      </c>
      <c r="Q5" s="500" t="s">
        <v>165</v>
      </c>
    </row>
    <row r="6" s="409" customFormat="1" spans="1:17">
      <c r="A6" s="428"/>
      <c r="B6" s="429"/>
      <c r="C6" s="425"/>
      <c r="D6" s="425"/>
      <c r="E6" s="430" t="s">
        <v>225</v>
      </c>
      <c r="F6" s="431" t="s">
        <v>875</v>
      </c>
      <c r="G6" s="431" t="s">
        <v>876</v>
      </c>
      <c r="H6" s="431" t="s">
        <v>877</v>
      </c>
      <c r="I6" s="431" t="s">
        <v>109</v>
      </c>
      <c r="J6" s="431" t="s">
        <v>26</v>
      </c>
      <c r="K6" s="431" t="s">
        <v>226</v>
      </c>
      <c r="L6" s="431" t="s">
        <v>162</v>
      </c>
      <c r="M6" s="474" t="s">
        <v>118</v>
      </c>
      <c r="N6" s="474" t="s">
        <v>118</v>
      </c>
      <c r="O6" s="475" t="s">
        <v>878</v>
      </c>
      <c r="P6" s="476" t="s">
        <v>879</v>
      </c>
      <c r="Q6" s="500"/>
    </row>
    <row r="7" s="409" customFormat="1" spans="1:17">
      <c r="A7" s="432" t="s">
        <v>227</v>
      </c>
      <c r="B7" s="433" t="s">
        <v>159</v>
      </c>
      <c r="C7" s="425"/>
      <c r="D7" s="425"/>
      <c r="E7" s="434" t="s">
        <v>880</v>
      </c>
      <c r="F7" s="435" t="s">
        <v>881</v>
      </c>
      <c r="G7" s="436" t="s">
        <v>365</v>
      </c>
      <c r="H7" s="436"/>
      <c r="I7" s="436" t="s">
        <v>229</v>
      </c>
      <c r="J7" s="436" t="s">
        <v>230</v>
      </c>
      <c r="K7" s="436" t="s">
        <v>231</v>
      </c>
      <c r="L7" s="436" t="s">
        <v>232</v>
      </c>
      <c r="M7" s="477" t="s">
        <v>233</v>
      </c>
      <c r="N7" s="477" t="s">
        <v>233</v>
      </c>
      <c r="O7" s="478" t="s">
        <v>882</v>
      </c>
      <c r="P7" s="477" t="s">
        <v>883</v>
      </c>
      <c r="Q7" s="500"/>
    </row>
    <row r="8" s="409" customFormat="1" spans="1:17">
      <c r="A8" s="437"/>
      <c r="B8" s="438"/>
      <c r="C8" s="425"/>
      <c r="D8" s="425"/>
      <c r="E8" s="439" t="s">
        <v>234</v>
      </c>
      <c r="F8" s="440" t="s">
        <v>235</v>
      </c>
      <c r="G8" s="440" t="s">
        <v>884</v>
      </c>
      <c r="H8" s="440" t="s">
        <v>885</v>
      </c>
      <c r="I8" s="440" t="s">
        <v>236</v>
      </c>
      <c r="J8" s="440" t="s">
        <v>237</v>
      </c>
      <c r="K8" s="479" t="s">
        <v>367</v>
      </c>
      <c r="L8" s="479" t="s">
        <v>368</v>
      </c>
      <c r="M8" s="480" t="s">
        <v>240</v>
      </c>
      <c r="N8" s="480" t="s">
        <v>241</v>
      </c>
      <c r="O8" s="481" t="s">
        <v>886</v>
      </c>
      <c r="P8" s="482" t="s">
        <v>887</v>
      </c>
      <c r="Q8" s="500"/>
    </row>
    <row r="9" s="410" customFormat="1" ht="36.75" customHeight="1" spans="1:18">
      <c r="A9" s="441" t="s">
        <v>888</v>
      </c>
      <c r="B9" s="442"/>
      <c r="C9" s="443"/>
      <c r="D9" s="444"/>
      <c r="E9" s="445">
        <f>SUM(E10:E17)</f>
        <v>145666300</v>
      </c>
      <c r="F9" s="445">
        <f>SUM(F10:F17)</f>
        <v>40819000</v>
      </c>
      <c r="G9" s="445">
        <f t="shared" ref="G9:L9" si="0">SUM(G10:G17)</f>
        <v>0</v>
      </c>
      <c r="H9" s="445">
        <f t="shared" si="0"/>
        <v>40819000</v>
      </c>
      <c r="I9" s="445">
        <f t="shared" si="0"/>
        <v>30192654.93</v>
      </c>
      <c r="J9" s="445">
        <f t="shared" si="0"/>
        <v>10626345.07</v>
      </c>
      <c r="K9" s="445">
        <f t="shared" si="0"/>
        <v>135039954.93</v>
      </c>
      <c r="L9" s="445">
        <f t="shared" si="0"/>
        <v>104847300</v>
      </c>
      <c r="M9" s="483">
        <f t="shared" ref="M9:M17" si="1">+J9*100/E9</f>
        <v>7.29499209494578</v>
      </c>
      <c r="N9" s="445">
        <f t="shared" ref="N9:N22" si="2">+R9*100/E9</f>
        <v>28.0222673329384</v>
      </c>
      <c r="O9" s="484">
        <f>SUM(O10:O17)</f>
        <v>104847300</v>
      </c>
      <c r="P9" s="445">
        <f>SUM(P10:P17)</f>
        <v>26383184.75</v>
      </c>
      <c r="Q9" s="501"/>
      <c r="R9" s="421">
        <f t="shared" ref="R9:R22" si="3">+I9+J9</f>
        <v>40819000</v>
      </c>
    </row>
    <row r="10" s="411" customFormat="1" ht="104.25" customHeight="1" spans="1:18">
      <c r="A10" s="446"/>
      <c r="B10" s="447" t="s">
        <v>171</v>
      </c>
      <c r="C10" s="448" t="s">
        <v>234</v>
      </c>
      <c r="D10" s="449" t="s">
        <v>889</v>
      </c>
      <c r="E10" s="450">
        <v>14508000</v>
      </c>
      <c r="F10" s="451">
        <v>2418000</v>
      </c>
      <c r="G10" s="452">
        <v>0</v>
      </c>
      <c r="H10" s="453">
        <f>SUM(F10:G10)</f>
        <v>2418000</v>
      </c>
      <c r="I10" s="453">
        <v>2418000</v>
      </c>
      <c r="J10" s="453">
        <v>0</v>
      </c>
      <c r="K10" s="485">
        <f t="shared" ref="K10:K17" si="4">+E10-J10</f>
        <v>14508000</v>
      </c>
      <c r="L10" s="485">
        <f t="shared" ref="L10:L17" si="5">+E10-I10-J10</f>
        <v>12090000</v>
      </c>
      <c r="M10" s="486">
        <f t="shared" si="1"/>
        <v>0</v>
      </c>
      <c r="N10" s="486">
        <f t="shared" si="2"/>
        <v>16.6666666666667</v>
      </c>
      <c r="O10" s="487">
        <f>+E10-F10</f>
        <v>12090000</v>
      </c>
      <c r="P10" s="486">
        <v>4668200</v>
      </c>
      <c r="Q10" s="405" t="s">
        <v>890</v>
      </c>
      <c r="R10" s="409">
        <f t="shared" si="3"/>
        <v>2418000</v>
      </c>
    </row>
    <row r="11" s="411" customFormat="1" ht="89.25" customHeight="1" spans="1:18">
      <c r="A11" s="446"/>
      <c r="B11" s="447" t="s">
        <v>168</v>
      </c>
      <c r="C11" s="448" t="s">
        <v>235</v>
      </c>
      <c r="D11" s="449" t="s">
        <v>169</v>
      </c>
      <c r="E11" s="450">
        <v>5632000</v>
      </c>
      <c r="F11" s="451">
        <v>2825700</v>
      </c>
      <c r="G11" s="452">
        <v>0</v>
      </c>
      <c r="H11" s="453">
        <f t="shared" ref="H11:H17" si="6">SUM(F11:G11)</f>
        <v>2825700</v>
      </c>
      <c r="I11" s="453">
        <v>2825700</v>
      </c>
      <c r="J11" s="453">
        <v>0</v>
      </c>
      <c r="K11" s="485">
        <f t="shared" si="4"/>
        <v>5632000</v>
      </c>
      <c r="L11" s="485">
        <f t="shared" si="5"/>
        <v>2806300</v>
      </c>
      <c r="M11" s="486">
        <f t="shared" si="1"/>
        <v>0</v>
      </c>
      <c r="N11" s="486">
        <f t="shared" si="2"/>
        <v>50.1722301136364</v>
      </c>
      <c r="O11" s="487">
        <f t="shared" ref="O11:O17" si="7">+E11-F11</f>
        <v>2806300</v>
      </c>
      <c r="P11" s="486">
        <v>7191566.75</v>
      </c>
      <c r="Q11" s="405" t="s">
        <v>891</v>
      </c>
      <c r="R11" s="409">
        <f t="shared" si="3"/>
        <v>2825700</v>
      </c>
    </row>
    <row r="12" s="411" customFormat="1" ht="89.25" customHeight="1" spans="1:18">
      <c r="A12" s="446"/>
      <c r="B12" s="447" t="s">
        <v>304</v>
      </c>
      <c r="C12" s="448" t="s">
        <v>236</v>
      </c>
      <c r="D12" s="449" t="s">
        <v>892</v>
      </c>
      <c r="E12" s="450">
        <v>18890000</v>
      </c>
      <c r="F12" s="451">
        <v>5440000</v>
      </c>
      <c r="G12" s="452">
        <v>0</v>
      </c>
      <c r="H12" s="453">
        <f t="shared" si="6"/>
        <v>5440000</v>
      </c>
      <c r="I12" s="453">
        <v>0</v>
      </c>
      <c r="J12" s="453">
        <v>5440000</v>
      </c>
      <c r="K12" s="485">
        <f t="shared" si="4"/>
        <v>13450000</v>
      </c>
      <c r="L12" s="485">
        <f t="shared" si="5"/>
        <v>13450000</v>
      </c>
      <c r="M12" s="486">
        <f t="shared" si="1"/>
        <v>28.7983059820011</v>
      </c>
      <c r="N12" s="486">
        <f t="shared" si="2"/>
        <v>28.7983059820011</v>
      </c>
      <c r="O12" s="487">
        <f t="shared" si="7"/>
        <v>13450000</v>
      </c>
      <c r="P12" s="486">
        <v>0</v>
      </c>
      <c r="Q12" s="502" t="s">
        <v>893</v>
      </c>
      <c r="R12" s="409">
        <f t="shared" si="3"/>
        <v>5440000</v>
      </c>
    </row>
    <row r="13" s="411" customFormat="1" ht="72.75" customHeight="1" spans="1:18">
      <c r="A13" s="446"/>
      <c r="B13" s="447" t="s">
        <v>306</v>
      </c>
      <c r="C13" s="448" t="s">
        <v>237</v>
      </c>
      <c r="D13" s="449" t="s">
        <v>894</v>
      </c>
      <c r="E13" s="450">
        <v>8400000</v>
      </c>
      <c r="F13" s="451">
        <v>5186400</v>
      </c>
      <c r="G13" s="452">
        <v>0</v>
      </c>
      <c r="H13" s="453">
        <f t="shared" si="6"/>
        <v>5186400</v>
      </c>
      <c r="I13" s="453">
        <v>54.93</v>
      </c>
      <c r="J13" s="453">
        <v>5186345.07</v>
      </c>
      <c r="K13" s="485">
        <f t="shared" si="4"/>
        <v>3213654.93</v>
      </c>
      <c r="L13" s="485">
        <f t="shared" si="5"/>
        <v>3213600</v>
      </c>
      <c r="M13" s="486">
        <f t="shared" si="1"/>
        <v>61.7422032142857</v>
      </c>
      <c r="N13" s="486">
        <f t="shared" si="2"/>
        <v>61.7428571428571</v>
      </c>
      <c r="O13" s="487">
        <f t="shared" si="7"/>
        <v>3213600</v>
      </c>
      <c r="P13" s="486">
        <v>0</v>
      </c>
      <c r="Q13" s="405" t="s">
        <v>895</v>
      </c>
      <c r="R13" s="409">
        <f t="shared" si="3"/>
        <v>5186400</v>
      </c>
    </row>
    <row r="14" s="411" customFormat="1" ht="72.75" customHeight="1" spans="1:18">
      <c r="A14" s="446"/>
      <c r="B14" s="447" t="s">
        <v>174</v>
      </c>
      <c r="C14" s="448" t="s">
        <v>309</v>
      </c>
      <c r="D14" s="449" t="s">
        <v>175</v>
      </c>
      <c r="E14" s="450">
        <v>27525700</v>
      </c>
      <c r="F14" s="451">
        <v>7800000</v>
      </c>
      <c r="G14" s="452">
        <v>0</v>
      </c>
      <c r="H14" s="453">
        <f t="shared" si="6"/>
        <v>7800000</v>
      </c>
      <c r="I14" s="453">
        <v>7800000</v>
      </c>
      <c r="J14" s="453">
        <v>0</v>
      </c>
      <c r="K14" s="485">
        <f t="shared" si="4"/>
        <v>27525700</v>
      </c>
      <c r="L14" s="485">
        <f t="shared" si="5"/>
        <v>19725700</v>
      </c>
      <c r="M14" s="486">
        <f t="shared" si="1"/>
        <v>0</v>
      </c>
      <c r="N14" s="486">
        <f t="shared" si="2"/>
        <v>28.3371540051661</v>
      </c>
      <c r="O14" s="487">
        <f t="shared" si="7"/>
        <v>19725700</v>
      </c>
      <c r="P14" s="488" t="s">
        <v>896</v>
      </c>
      <c r="Q14" s="405" t="s">
        <v>897</v>
      </c>
      <c r="R14" s="409">
        <f t="shared" si="3"/>
        <v>7800000</v>
      </c>
    </row>
    <row r="15" s="411" customFormat="1" ht="72.75" customHeight="1" spans="1:18">
      <c r="A15" s="446"/>
      <c r="B15" s="447" t="s">
        <v>180</v>
      </c>
      <c r="C15" s="448" t="s">
        <v>311</v>
      </c>
      <c r="D15" s="449" t="s">
        <v>181</v>
      </c>
      <c r="E15" s="450">
        <v>13195000</v>
      </c>
      <c r="F15" s="451">
        <v>3770000</v>
      </c>
      <c r="G15" s="452">
        <v>0</v>
      </c>
      <c r="H15" s="453">
        <f t="shared" si="6"/>
        <v>3770000</v>
      </c>
      <c r="I15" s="453">
        <v>3770000</v>
      </c>
      <c r="J15" s="453">
        <v>0</v>
      </c>
      <c r="K15" s="485">
        <f t="shared" si="4"/>
        <v>13195000</v>
      </c>
      <c r="L15" s="485">
        <f t="shared" si="5"/>
        <v>9425000</v>
      </c>
      <c r="M15" s="486">
        <f t="shared" si="1"/>
        <v>0</v>
      </c>
      <c r="N15" s="486">
        <f t="shared" si="2"/>
        <v>28.5714285714286</v>
      </c>
      <c r="O15" s="487">
        <f t="shared" si="7"/>
        <v>9425000</v>
      </c>
      <c r="P15" s="486">
        <v>2805000</v>
      </c>
      <c r="Q15" s="405" t="s">
        <v>898</v>
      </c>
      <c r="R15" s="409">
        <f t="shared" si="3"/>
        <v>3770000</v>
      </c>
    </row>
    <row r="16" s="411" customFormat="1" ht="138" customHeight="1" spans="1:18">
      <c r="A16" s="446"/>
      <c r="B16" s="447" t="s">
        <v>189</v>
      </c>
      <c r="C16" s="448" t="s">
        <v>315</v>
      </c>
      <c r="D16" s="449" t="s">
        <v>190</v>
      </c>
      <c r="E16" s="450">
        <v>20000000</v>
      </c>
      <c r="F16" s="454">
        <v>4000000</v>
      </c>
      <c r="G16" s="453">
        <v>0</v>
      </c>
      <c r="H16" s="453">
        <f t="shared" si="6"/>
        <v>4000000</v>
      </c>
      <c r="I16" s="453">
        <v>4000000</v>
      </c>
      <c r="J16" s="453">
        <v>0</v>
      </c>
      <c r="K16" s="485">
        <f t="shared" si="4"/>
        <v>20000000</v>
      </c>
      <c r="L16" s="485">
        <f t="shared" si="5"/>
        <v>16000000</v>
      </c>
      <c r="M16" s="486">
        <f t="shared" si="1"/>
        <v>0</v>
      </c>
      <c r="N16" s="486">
        <f t="shared" si="2"/>
        <v>20</v>
      </c>
      <c r="O16" s="487">
        <f t="shared" si="7"/>
        <v>16000000</v>
      </c>
      <c r="P16" s="486">
        <v>582768</v>
      </c>
      <c r="Q16" s="405" t="s">
        <v>899</v>
      </c>
      <c r="R16" s="409">
        <f t="shared" si="3"/>
        <v>4000000</v>
      </c>
    </row>
    <row r="17" s="411" customFormat="1" ht="87.75" customHeight="1" spans="1:18">
      <c r="A17" s="455"/>
      <c r="B17" s="447" t="s">
        <v>177</v>
      </c>
      <c r="C17" s="448" t="s">
        <v>384</v>
      </c>
      <c r="D17" s="449" t="s">
        <v>178</v>
      </c>
      <c r="E17" s="450">
        <v>37515600</v>
      </c>
      <c r="F17" s="454">
        <v>9378900</v>
      </c>
      <c r="G17" s="453">
        <v>0</v>
      </c>
      <c r="H17" s="453">
        <f t="shared" si="6"/>
        <v>9378900</v>
      </c>
      <c r="I17" s="453">
        <v>9378900</v>
      </c>
      <c r="J17" s="453">
        <v>0</v>
      </c>
      <c r="K17" s="485">
        <f t="shared" si="4"/>
        <v>37515600</v>
      </c>
      <c r="L17" s="485">
        <f t="shared" si="5"/>
        <v>28136700</v>
      </c>
      <c r="M17" s="486">
        <f t="shared" si="1"/>
        <v>0</v>
      </c>
      <c r="N17" s="486">
        <f t="shared" si="2"/>
        <v>25</v>
      </c>
      <c r="O17" s="487">
        <f t="shared" si="7"/>
        <v>28136700</v>
      </c>
      <c r="P17" s="486">
        <v>11135650</v>
      </c>
      <c r="Q17" s="405" t="s">
        <v>900</v>
      </c>
      <c r="R17" s="409">
        <f t="shared" si="3"/>
        <v>9378900</v>
      </c>
    </row>
    <row r="18" s="412" customFormat="1" ht="32.25" hidden="1" customHeight="1" spans="1:18">
      <c r="A18" s="456" t="s">
        <v>6</v>
      </c>
      <c r="B18" s="457"/>
      <c r="C18" s="457"/>
      <c r="D18" s="458"/>
      <c r="E18" s="459" t="e">
        <f>+#REF!/1000000</f>
        <v>#REF!</v>
      </c>
      <c r="F18" s="459" t="e">
        <f>+#REF!/1000000</f>
        <v>#REF!</v>
      </c>
      <c r="G18" s="459" t="e">
        <f>+#REF!/1000000</f>
        <v>#REF!</v>
      </c>
      <c r="H18" s="459" t="e">
        <f>+#REF!/1000000</f>
        <v>#REF!</v>
      </c>
      <c r="I18" s="459" t="e">
        <f>+#REF!/1000000</f>
        <v>#REF!</v>
      </c>
      <c r="J18" s="459" t="e">
        <f>+#REF!/1000000</f>
        <v>#REF!</v>
      </c>
      <c r="K18" s="489" t="e">
        <f>+#REF!/1000000</f>
        <v>#REF!</v>
      </c>
      <c r="L18" s="489" t="e">
        <f>+#REF!/1000000</f>
        <v>#REF!</v>
      </c>
      <c r="M18" s="383"/>
      <c r="N18" s="490" t="e">
        <f t="shared" si="2"/>
        <v>#REF!</v>
      </c>
      <c r="O18" s="491"/>
      <c r="P18" s="491"/>
      <c r="Q18" s="503"/>
      <c r="R18" s="504" t="e">
        <f t="shared" si="3"/>
        <v>#REF!</v>
      </c>
    </row>
    <row r="19" s="412" customFormat="1" ht="32.25" hidden="1" customHeight="1" spans="1:18">
      <c r="A19" s="456" t="s">
        <v>15</v>
      </c>
      <c r="B19" s="457"/>
      <c r="C19" s="457"/>
      <c r="D19" s="458"/>
      <c r="E19" s="459" t="e">
        <f>+#REF!/1000000</f>
        <v>#REF!</v>
      </c>
      <c r="F19" s="459" t="e">
        <f>+#REF!/1000000</f>
        <v>#REF!</v>
      </c>
      <c r="G19" s="459" t="e">
        <f>+#REF!/1000000</f>
        <v>#REF!</v>
      </c>
      <c r="H19" s="459" t="e">
        <f>+#REF!/1000000</f>
        <v>#REF!</v>
      </c>
      <c r="I19" s="459" t="e">
        <f>+#REF!/1000000</f>
        <v>#REF!</v>
      </c>
      <c r="J19" s="459" t="e">
        <f>+#REF!/1000000</f>
        <v>#REF!</v>
      </c>
      <c r="K19" s="489" t="e">
        <f>+#REF!/1000000</f>
        <v>#REF!</v>
      </c>
      <c r="L19" s="489" t="e">
        <f>+#REF!/1000000</f>
        <v>#REF!</v>
      </c>
      <c r="M19" s="383"/>
      <c r="N19" s="490" t="e">
        <f t="shared" si="2"/>
        <v>#REF!</v>
      </c>
      <c r="O19" s="491"/>
      <c r="P19" s="491"/>
      <c r="Q19" s="503"/>
      <c r="R19" s="504" t="e">
        <f t="shared" si="3"/>
        <v>#REF!</v>
      </c>
    </row>
    <row r="20" s="412" customFormat="1" ht="32.25" hidden="1" customHeight="1" spans="1:18">
      <c r="A20" s="456" t="s">
        <v>901</v>
      </c>
      <c r="B20" s="457"/>
      <c r="C20" s="457"/>
      <c r="D20" s="458"/>
      <c r="E20" s="459" t="e">
        <f>+#REF!/1000000</f>
        <v>#REF!</v>
      </c>
      <c r="F20" s="459" t="e">
        <f>+#REF!/1000000</f>
        <v>#REF!</v>
      </c>
      <c r="G20" s="459" t="e">
        <f>+#REF!/1000000</f>
        <v>#REF!</v>
      </c>
      <c r="H20" s="459" t="e">
        <f>+#REF!/1000000</f>
        <v>#REF!</v>
      </c>
      <c r="I20" s="459" t="e">
        <f>+#REF!/1000000</f>
        <v>#REF!</v>
      </c>
      <c r="J20" s="459" t="e">
        <f>+#REF!/1000000</f>
        <v>#REF!</v>
      </c>
      <c r="K20" s="489" t="e">
        <f>+#REF!/1000000</f>
        <v>#REF!</v>
      </c>
      <c r="L20" s="489" t="e">
        <f>+#REF!/1000000</f>
        <v>#REF!</v>
      </c>
      <c r="M20" s="383"/>
      <c r="N20" s="490" t="e">
        <f t="shared" si="2"/>
        <v>#REF!</v>
      </c>
      <c r="O20" s="491"/>
      <c r="P20" s="491"/>
      <c r="Q20" s="503"/>
      <c r="R20" s="504" t="e">
        <f t="shared" si="3"/>
        <v>#REF!</v>
      </c>
    </row>
    <row r="21" s="412" customFormat="1" ht="42.75" hidden="1" customHeight="1" spans="1:18">
      <c r="A21" s="456" t="s">
        <v>902</v>
      </c>
      <c r="B21" s="457"/>
      <c r="C21" s="457"/>
      <c r="D21" s="458"/>
      <c r="E21" s="383">
        <f t="shared" ref="E21:L21" si="8">+E9</f>
        <v>145666300</v>
      </c>
      <c r="F21" s="383">
        <f t="shared" si="8"/>
        <v>40819000</v>
      </c>
      <c r="G21" s="383">
        <f t="shared" si="8"/>
        <v>0</v>
      </c>
      <c r="H21" s="383">
        <f t="shared" si="8"/>
        <v>40819000</v>
      </c>
      <c r="I21" s="383">
        <f t="shared" si="8"/>
        <v>30192654.93</v>
      </c>
      <c r="J21" s="383">
        <f t="shared" si="8"/>
        <v>10626345.07</v>
      </c>
      <c r="K21" s="383">
        <f t="shared" si="8"/>
        <v>135039954.93</v>
      </c>
      <c r="L21" s="383">
        <f t="shared" si="8"/>
        <v>104847300</v>
      </c>
      <c r="M21" s="383">
        <f t="shared" ref="M21:N44" si="9">+J21*100/H21</f>
        <v>26.0328402704623</v>
      </c>
      <c r="N21" s="490">
        <f t="shared" si="2"/>
        <v>28.0222673329384</v>
      </c>
      <c r="O21" s="490"/>
      <c r="P21" s="490"/>
      <c r="Q21" s="405"/>
      <c r="R21" s="504">
        <f t="shared" si="3"/>
        <v>40819000</v>
      </c>
    </row>
    <row r="22" s="412" customFormat="1" ht="42.75" hidden="1" customHeight="1" spans="1:18">
      <c r="A22" s="456" t="s">
        <v>140</v>
      </c>
      <c r="B22" s="457"/>
      <c r="C22" s="457"/>
      <c r="D22" s="458"/>
      <c r="E22" s="460" t="e">
        <f>+#REF!+#REF!</f>
        <v>#REF!</v>
      </c>
      <c r="F22" s="460" t="e">
        <f>+#REF!+#REF!</f>
        <v>#REF!</v>
      </c>
      <c r="G22" s="460" t="e">
        <f>+#REF!+#REF!</f>
        <v>#REF!</v>
      </c>
      <c r="H22" s="460" t="e">
        <f>+#REF!+#REF!</f>
        <v>#REF!</v>
      </c>
      <c r="I22" s="460" t="e">
        <f>+#REF!+#REF!</f>
        <v>#REF!</v>
      </c>
      <c r="J22" s="460" t="e">
        <f>+#REF!+#REF!</f>
        <v>#REF!</v>
      </c>
      <c r="K22" s="460" t="e">
        <f>+#REF!+#REF!</f>
        <v>#REF!</v>
      </c>
      <c r="L22" s="460" t="e">
        <f>+#REF!+#REF!</f>
        <v>#REF!</v>
      </c>
      <c r="M22" s="383" t="e">
        <f t="shared" si="9"/>
        <v>#REF!</v>
      </c>
      <c r="N22" s="490" t="e">
        <f t="shared" si="2"/>
        <v>#REF!</v>
      </c>
      <c r="O22" s="490"/>
      <c r="P22" s="490"/>
      <c r="Q22" s="405"/>
      <c r="R22" s="504" t="e">
        <f t="shared" si="3"/>
        <v>#REF!</v>
      </c>
    </row>
    <row r="23" s="412" customFormat="1" ht="88.5" hidden="1" customHeight="1" spans="1:18">
      <c r="A23" s="461" t="s">
        <v>903</v>
      </c>
      <c r="B23" s="462"/>
      <c r="C23" s="462"/>
      <c r="D23" s="462"/>
      <c r="E23" s="462"/>
      <c r="F23" s="462"/>
      <c r="G23" s="462"/>
      <c r="H23" s="462"/>
      <c r="I23" s="492"/>
      <c r="J23" s="493" t="s">
        <v>904</v>
      </c>
      <c r="K23" s="494"/>
      <c r="L23" s="460">
        <f>27700+22000+7100</f>
        <v>56800</v>
      </c>
      <c r="M23" s="383"/>
      <c r="N23" s="490"/>
      <c r="O23" s="490"/>
      <c r="P23" s="490"/>
      <c r="Q23" s="405"/>
      <c r="R23" s="504"/>
    </row>
    <row r="24" s="412" customFormat="1" ht="113.25" hidden="1" customHeight="1" spans="1:18">
      <c r="A24" s="463"/>
      <c r="B24" s="464"/>
      <c r="C24" s="464"/>
      <c r="D24" s="464"/>
      <c r="E24" s="464"/>
      <c r="F24" s="464"/>
      <c r="G24" s="464"/>
      <c r="H24" s="464"/>
      <c r="I24" s="495"/>
      <c r="J24" s="493" t="s">
        <v>905</v>
      </c>
      <c r="K24" s="494"/>
      <c r="L24" s="460">
        <f>370276+495000+497550</f>
        <v>1362826</v>
      </c>
      <c r="M24" s="383"/>
      <c r="N24" s="490"/>
      <c r="O24" s="490"/>
      <c r="P24" s="490"/>
      <c r="Q24" s="405"/>
      <c r="R24" s="504"/>
    </row>
    <row r="25" s="412" customFormat="1" ht="87" hidden="1" customHeight="1" spans="1:18">
      <c r="A25" s="463"/>
      <c r="B25" s="464"/>
      <c r="C25" s="464"/>
      <c r="D25" s="464"/>
      <c r="E25" s="464"/>
      <c r="F25" s="464"/>
      <c r="G25" s="464"/>
      <c r="H25" s="464"/>
      <c r="I25" s="495"/>
      <c r="J25" s="493" t="s">
        <v>906</v>
      </c>
      <c r="K25" s="494"/>
      <c r="L25" s="496">
        <f>2814262.07+8000</f>
        <v>2822262.07</v>
      </c>
      <c r="M25" s="383"/>
      <c r="N25" s="490"/>
      <c r="O25" s="490"/>
      <c r="P25" s="490"/>
      <c r="Q25" s="505" t="e">
        <f>+L22-L26-L23</f>
        <v>#REF!</v>
      </c>
      <c r="R25" s="504"/>
    </row>
    <row r="26" s="412" customFormat="1" ht="116.25" hidden="1" customHeight="1" spans="1:18">
      <c r="A26" s="463"/>
      <c r="B26" s="464"/>
      <c r="C26" s="464"/>
      <c r="D26" s="464"/>
      <c r="E26" s="464"/>
      <c r="F26" s="464"/>
      <c r="G26" s="464"/>
      <c r="H26" s="464"/>
      <c r="I26" s="495"/>
      <c r="J26" s="493" t="s">
        <v>907</v>
      </c>
      <c r="K26" s="494"/>
      <c r="L26" s="460">
        <v>1700000</v>
      </c>
      <c r="M26" s="383"/>
      <c r="N26" s="490"/>
      <c r="O26" s="490"/>
      <c r="P26" s="490"/>
      <c r="Q26" s="405"/>
      <c r="R26" s="504"/>
    </row>
    <row r="27" s="412" customFormat="1" ht="147" hidden="1" customHeight="1" spans="1:18">
      <c r="A27" s="463"/>
      <c r="B27" s="464"/>
      <c r="C27" s="464"/>
      <c r="D27" s="464"/>
      <c r="E27" s="464"/>
      <c r="F27" s="464"/>
      <c r="G27" s="464"/>
      <c r="H27" s="464"/>
      <c r="I27" s="495"/>
      <c r="J27" s="493" t="s">
        <v>908</v>
      </c>
      <c r="K27" s="494"/>
      <c r="L27" s="460" t="e">
        <f>+#REF!+#REF!+#REF!+#REF!+#REF!+#REF!+#REF!+#REF!+#REF!+#REF!+#REF!+#REF!+#REF!+#REF!+#REF!+#REF!</f>
        <v>#REF!</v>
      </c>
      <c r="M27" s="383"/>
      <c r="N27" s="490"/>
      <c r="O27" s="490"/>
      <c r="P27" s="490"/>
      <c r="Q27" s="506" t="e">
        <f>+L22-Q28</f>
        <v>#REF!</v>
      </c>
      <c r="R27" s="504"/>
    </row>
    <row r="28" s="412" customFormat="1" ht="141" hidden="1" customHeight="1" spans="1:18">
      <c r="A28" s="463"/>
      <c r="B28" s="464"/>
      <c r="C28" s="464"/>
      <c r="D28" s="464"/>
      <c r="E28" s="464"/>
      <c r="F28" s="464"/>
      <c r="G28" s="464"/>
      <c r="H28" s="464"/>
      <c r="I28" s="495"/>
      <c r="J28" s="493" t="s">
        <v>909</v>
      </c>
      <c r="K28" s="494"/>
      <c r="L28" s="460">
        <v>2044100.02</v>
      </c>
      <c r="M28" s="383"/>
      <c r="N28" s="490"/>
      <c r="O28" s="490"/>
      <c r="P28" s="490"/>
      <c r="Q28" s="506" t="e">
        <f>SUM(L23:L28)</f>
        <v>#REF!</v>
      </c>
      <c r="R28" s="504"/>
    </row>
    <row r="29" s="412" customFormat="1" ht="110.25" hidden="1" customHeight="1" spans="1:18">
      <c r="A29" s="456"/>
      <c r="B29" s="457"/>
      <c r="C29" s="464"/>
      <c r="D29" s="458"/>
      <c r="E29" s="460"/>
      <c r="F29" s="460"/>
      <c r="G29" s="460"/>
      <c r="H29" s="460"/>
      <c r="I29" s="460"/>
      <c r="J29" s="493"/>
      <c r="K29" s="494"/>
      <c r="L29" s="460"/>
      <c r="M29" s="497"/>
      <c r="N29" s="498"/>
      <c r="O29" s="491"/>
      <c r="P29" s="491"/>
      <c r="Q29" s="507" t="e">
        <f>+L22-Q28</f>
        <v>#REF!</v>
      </c>
      <c r="R29" s="504"/>
    </row>
    <row r="30" s="412" customFormat="1" ht="42.75" hidden="1" customHeight="1" spans="1:18">
      <c r="A30" s="456"/>
      <c r="B30" s="457"/>
      <c r="C30" s="464"/>
      <c r="D30" s="458"/>
      <c r="E30" s="460"/>
      <c r="F30" s="460"/>
      <c r="G30" s="460"/>
      <c r="H30" s="460"/>
      <c r="I30" s="460"/>
      <c r="J30" s="460"/>
      <c r="K30" s="460"/>
      <c r="L30" s="460"/>
      <c r="M30" s="383"/>
      <c r="N30" s="490"/>
      <c r="O30" s="491"/>
      <c r="P30" s="491"/>
      <c r="Q30" s="503"/>
      <c r="R30" s="504"/>
    </row>
    <row r="31" s="412" customFormat="1" ht="42.75" hidden="1" customHeight="1" spans="1:18">
      <c r="A31" s="456"/>
      <c r="B31" s="457"/>
      <c r="C31" s="464"/>
      <c r="D31" s="458"/>
      <c r="E31" s="460"/>
      <c r="F31" s="460"/>
      <c r="G31" s="460"/>
      <c r="H31" s="460"/>
      <c r="I31" s="460"/>
      <c r="J31" s="460"/>
      <c r="K31" s="460"/>
      <c r="L31" s="460"/>
      <c r="M31" s="383"/>
      <c r="N31" s="490"/>
      <c r="O31" s="491"/>
      <c r="P31" s="491"/>
      <c r="Q31" s="503"/>
      <c r="R31" s="504"/>
    </row>
    <row r="32" s="412" customFormat="1" ht="42.75" hidden="1" customHeight="1" spans="1:18">
      <c r="A32" s="456"/>
      <c r="B32" s="457"/>
      <c r="C32" s="464"/>
      <c r="D32" s="458"/>
      <c r="E32" s="460"/>
      <c r="F32" s="460"/>
      <c r="G32" s="460"/>
      <c r="H32" s="460"/>
      <c r="I32" s="460"/>
      <c r="J32" s="460"/>
      <c r="K32" s="460"/>
      <c r="L32" s="460"/>
      <c r="M32" s="383"/>
      <c r="N32" s="490"/>
      <c r="O32" s="491"/>
      <c r="P32" s="491"/>
      <c r="Q32" s="503"/>
      <c r="R32" s="504"/>
    </row>
    <row r="33" s="412" customFormat="1" ht="42.75" hidden="1" customHeight="1" spans="1:18">
      <c r="A33" s="456"/>
      <c r="B33" s="457"/>
      <c r="C33" s="464"/>
      <c r="D33" s="458"/>
      <c r="E33" s="460"/>
      <c r="F33" s="460"/>
      <c r="G33" s="460"/>
      <c r="H33" s="460"/>
      <c r="I33" s="460"/>
      <c r="J33" s="460"/>
      <c r="K33" s="460"/>
      <c r="L33" s="460"/>
      <c r="M33" s="383"/>
      <c r="N33" s="490"/>
      <c r="O33" s="491"/>
      <c r="P33" s="491"/>
      <c r="Q33" s="503"/>
      <c r="R33" s="504"/>
    </row>
    <row r="34" s="412" customFormat="1" ht="42.75" hidden="1" customHeight="1" spans="1:18">
      <c r="A34" s="456"/>
      <c r="B34" s="457"/>
      <c r="C34" s="464"/>
      <c r="D34" s="458"/>
      <c r="E34" s="460"/>
      <c r="F34" s="460"/>
      <c r="G34" s="460"/>
      <c r="H34" s="460"/>
      <c r="I34" s="460"/>
      <c r="J34" s="460"/>
      <c r="K34" s="460"/>
      <c r="L34" s="460"/>
      <c r="M34" s="383"/>
      <c r="N34" s="490"/>
      <c r="O34" s="491"/>
      <c r="P34" s="491"/>
      <c r="Q34" s="503"/>
      <c r="R34" s="504"/>
    </row>
    <row r="35" s="412" customFormat="1" ht="42.75" hidden="1" customHeight="1" spans="1:18">
      <c r="A35" s="456"/>
      <c r="B35" s="457"/>
      <c r="C35" s="464"/>
      <c r="D35" s="458"/>
      <c r="E35" s="460"/>
      <c r="F35" s="460"/>
      <c r="G35" s="460"/>
      <c r="H35" s="460"/>
      <c r="I35" s="460"/>
      <c r="J35" s="460"/>
      <c r="K35" s="460"/>
      <c r="L35" s="460"/>
      <c r="M35" s="383"/>
      <c r="N35" s="490"/>
      <c r="O35" s="491"/>
      <c r="P35" s="491"/>
      <c r="Q35" s="503"/>
      <c r="R35" s="504"/>
    </row>
    <row r="36" s="412" customFormat="1" ht="42.75" hidden="1" customHeight="1" spans="1:18">
      <c r="A36" s="456"/>
      <c r="B36" s="457"/>
      <c r="C36" s="464"/>
      <c r="D36" s="458"/>
      <c r="E36" s="460"/>
      <c r="F36" s="460"/>
      <c r="G36" s="460"/>
      <c r="H36" s="460"/>
      <c r="I36" s="460"/>
      <c r="J36" s="460"/>
      <c r="K36" s="460"/>
      <c r="L36" s="460"/>
      <c r="M36" s="383"/>
      <c r="N36" s="490"/>
      <c r="O36" s="491"/>
      <c r="P36" s="491"/>
      <c r="Q36" s="503"/>
      <c r="R36" s="504"/>
    </row>
    <row r="37" s="412" customFormat="1" ht="42.75" hidden="1" customHeight="1" spans="1:18">
      <c r="A37" s="456"/>
      <c r="B37" s="457"/>
      <c r="C37" s="464"/>
      <c r="D37" s="458"/>
      <c r="E37" s="460"/>
      <c r="F37" s="460"/>
      <c r="G37" s="460"/>
      <c r="H37" s="460"/>
      <c r="I37" s="460"/>
      <c r="J37" s="460"/>
      <c r="K37" s="460"/>
      <c r="L37" s="460"/>
      <c r="M37" s="383"/>
      <c r="N37" s="490"/>
      <c r="O37" s="491"/>
      <c r="P37" s="491"/>
      <c r="Q37" s="503"/>
      <c r="R37" s="504"/>
    </row>
    <row r="38" s="412" customFormat="1" hidden="1" spans="1:18">
      <c r="A38" s="456" t="s">
        <v>910</v>
      </c>
      <c r="B38" s="457"/>
      <c r="C38" s="457"/>
      <c r="D38" s="458"/>
      <c r="E38" s="460" t="e">
        <f>+#REF!+#REF!+#REF!+#REF!+#REF!+#REF!+#REF!+#REF!+#REF!+#REF!+#REF!+#REF!+#REF!+#REF!+#REF!+#REF!+#REF!+#REF!+#REF!+#REF!+#REF!+#REF!+#REF!+#REF!+#REF!</f>
        <v>#REF!</v>
      </c>
      <c r="F38" s="460" t="e">
        <f>+#REF!+#REF!+#REF!+#REF!+#REF!+#REF!+#REF!+#REF!+#REF!+#REF!+#REF!+#REF!+#REF!+#REF!+#REF!+#REF!+#REF!+#REF!+#REF!+#REF!+#REF!+#REF!+#REF!+#REF!+#REF!</f>
        <v>#REF!</v>
      </c>
      <c r="G38" s="460" t="e">
        <f>+#REF!+#REF!+#REF!+#REF!+#REF!+#REF!+#REF!+#REF!+#REF!+#REF!+#REF!+#REF!+#REF!+#REF!+#REF!+#REF!+#REF!+#REF!+#REF!+#REF!+#REF!+#REF!+#REF!+#REF!+#REF!</f>
        <v>#REF!</v>
      </c>
      <c r="H38" s="460" t="e">
        <f>+#REF!+#REF!+#REF!+#REF!+#REF!+#REF!+#REF!+#REF!+#REF!+#REF!+#REF!+#REF!+#REF!+#REF!+#REF!+#REF!+#REF!+#REF!+#REF!+#REF!+#REF!+#REF!+#REF!+#REF!+#REF!</f>
        <v>#REF!</v>
      </c>
      <c r="I38" s="460" t="e">
        <f>+#REF!+#REF!+#REF!+#REF!+#REF!+#REF!+#REF!+#REF!+#REF!+#REF!+#REF!+#REF!+#REF!+#REF!+#REF!+#REF!+#REF!+#REF!+#REF!+#REF!+#REF!+#REF!+#REF!+#REF!+#REF!</f>
        <v>#REF!</v>
      </c>
      <c r="J38" s="460" t="e">
        <f>+#REF!+#REF!+#REF!+#REF!+#REF!+#REF!+#REF!+#REF!+#REF!+#REF!+#REF!+#REF!+#REF!+#REF!+#REF!+#REF!+#REF!+#REF!+#REF!+#REF!+#REF!+#REF!+#REF!+#REF!+#REF!</f>
        <v>#REF!</v>
      </c>
      <c r="K38" s="460" t="e">
        <f>+#REF!+#REF!+#REF!+#REF!+#REF!+#REF!+#REF!+#REF!+#REF!+#REF!+#REF!+#REF!+#REF!+#REF!+#REF!+#REF!+#REF!+#REF!+#REF!+#REF!+#REF!+#REF!+#REF!+#REF!+#REF!</f>
        <v>#REF!</v>
      </c>
      <c r="L38" s="460" t="e">
        <f>+#REF!+#REF!+#REF!+#REF!+#REF!+#REF!+#REF!+#REF!+#REF!+#REF!+#REF!+#REF!+#REF!+#REF!+#REF!+#REF!+#REF!+#REF!+#REF!+#REF!+#REF!+#REF!+#REF!+#REF!+#REF!</f>
        <v>#REF!</v>
      </c>
      <c r="M38" s="383" t="e">
        <f t="shared" si="9"/>
        <v>#REF!</v>
      </c>
      <c r="N38" s="383" t="e">
        <f t="shared" ref="N38" si="10">+R38*100/E38</f>
        <v>#REF!</v>
      </c>
      <c r="Q38" s="503"/>
      <c r="R38" s="504" t="e">
        <f t="shared" ref="R38:R51" si="11">+I38+J38</f>
        <v>#REF!</v>
      </c>
    </row>
    <row r="39" s="412" customFormat="1" hidden="1" spans="1:18">
      <c r="A39" s="456" t="s">
        <v>911</v>
      </c>
      <c r="B39" s="457"/>
      <c r="C39" s="457"/>
      <c r="D39" s="457"/>
      <c r="E39" s="457"/>
      <c r="F39" s="457"/>
      <c r="G39" s="457"/>
      <c r="H39" s="458"/>
      <c r="I39" s="463" t="e">
        <f>+I38+J38</f>
        <v>#REF!</v>
      </c>
      <c r="J39" s="495"/>
      <c r="K39" s="459" t="e">
        <f>+I39/1000000</f>
        <v>#REF!</v>
      </c>
      <c r="L39" s="383"/>
      <c r="M39" s="383"/>
      <c r="N39" s="383"/>
      <c r="Q39" s="503"/>
      <c r="R39" s="504" t="e">
        <f t="shared" si="11"/>
        <v>#REF!</v>
      </c>
    </row>
    <row r="40" s="412" customFormat="1" hidden="1" spans="1:18">
      <c r="A40" s="456" t="s">
        <v>912</v>
      </c>
      <c r="B40" s="457"/>
      <c r="C40" s="457"/>
      <c r="D40" s="458"/>
      <c r="E40" s="460" t="e">
        <f>+#REF!+#REF!+#REF!+#REF!+#REF!+#REF!+#REF!+#REF!+#REF!+#REF!+#REF!+#REF!+E9</f>
        <v>#REF!</v>
      </c>
      <c r="F40" s="460" t="e">
        <f>+#REF!+#REF!+#REF!+#REF!+#REF!+#REF!+#REF!+#REF!+#REF!+#REF!+#REF!+#REF!+F9</f>
        <v>#REF!</v>
      </c>
      <c r="G40" s="460" t="e">
        <f>+#REF!+#REF!+#REF!+#REF!+#REF!+#REF!+#REF!+#REF!+#REF!+#REF!+#REF!+#REF!+G9</f>
        <v>#REF!</v>
      </c>
      <c r="H40" s="460" t="e">
        <f>+#REF!+#REF!+#REF!+#REF!+#REF!+#REF!+#REF!+#REF!+#REF!+#REF!+#REF!+#REF!+H9</f>
        <v>#REF!</v>
      </c>
      <c r="I40" s="460" t="e">
        <f>+#REF!+#REF!+#REF!+#REF!+#REF!+#REF!+#REF!+#REF!+#REF!+#REF!+#REF!+#REF!+I9</f>
        <v>#REF!</v>
      </c>
      <c r="J40" s="460" t="e">
        <f>+#REF!+#REF!+#REF!+#REF!+#REF!+#REF!+#REF!+#REF!+#REF!+#REF!+#REF!+#REF!+J9</f>
        <v>#REF!</v>
      </c>
      <c r="K40" s="460" t="e">
        <f>+#REF!+#REF!+#REF!+#REF!+#REF!+#REF!+#REF!+#REF!+#REF!+#REF!+#REF!+#REF!+K9</f>
        <v>#REF!</v>
      </c>
      <c r="L40" s="460" t="e">
        <f>+#REF!+#REF!+#REF!+#REF!+#REF!+#REF!+#REF!+#REF!+#REF!+#REF!+#REF!+#REF!+L9</f>
        <v>#REF!</v>
      </c>
      <c r="M40" s="383" t="e">
        <f t="shared" si="9"/>
        <v>#REF!</v>
      </c>
      <c r="N40" s="383"/>
      <c r="Q40" s="503"/>
      <c r="R40" s="504" t="e">
        <f t="shared" si="11"/>
        <v>#REF!</v>
      </c>
    </row>
    <row r="41" s="412" customFormat="1" hidden="1" spans="1:18">
      <c r="A41" s="456" t="s">
        <v>913</v>
      </c>
      <c r="B41" s="457"/>
      <c r="C41" s="457"/>
      <c r="D41" s="457"/>
      <c r="E41" s="457"/>
      <c r="F41" s="457"/>
      <c r="G41" s="457"/>
      <c r="H41" s="458"/>
      <c r="I41" s="463" t="e">
        <f>+I40+J40</f>
        <v>#REF!</v>
      </c>
      <c r="J41" s="495"/>
      <c r="K41" s="459" t="e">
        <f>+I41/1000000</f>
        <v>#REF!</v>
      </c>
      <c r="L41" s="383"/>
      <c r="M41" s="383"/>
      <c r="N41" s="383"/>
      <c r="Q41" s="503"/>
      <c r="R41" s="504" t="e">
        <f t="shared" si="11"/>
        <v>#REF!</v>
      </c>
    </row>
    <row r="42" s="412" customFormat="1" hidden="1" spans="1:18">
      <c r="A42" s="456" t="s">
        <v>362</v>
      </c>
      <c r="B42" s="457"/>
      <c r="C42" s="457"/>
      <c r="D42" s="458"/>
      <c r="E42" s="460" t="e">
        <f>+E38+#REF!+#REF!+#REF!+#REF!+#REF!</f>
        <v>#REF!</v>
      </c>
      <c r="F42" s="460" t="e">
        <f>+F38+#REF!+#REF!+#REF!+#REF!+#REF!</f>
        <v>#REF!</v>
      </c>
      <c r="G42" s="460" t="e">
        <f>+G38+#REF!+#REF!+#REF!+#REF!+#REF!</f>
        <v>#REF!</v>
      </c>
      <c r="H42" s="460" t="e">
        <f>+H38+#REF!+#REF!+#REF!+#REF!+#REF!</f>
        <v>#REF!</v>
      </c>
      <c r="I42" s="460" t="e">
        <f>+I38+#REF!+#REF!+#REF!+#REF!+#REF!</f>
        <v>#REF!</v>
      </c>
      <c r="J42" s="460" t="e">
        <f>+J38+#REF!+#REF!+#REF!+#REF!+#REF!</f>
        <v>#REF!</v>
      </c>
      <c r="K42" s="460" t="e">
        <f>+K38+#REF!+#REF!+#REF!+#REF!+#REF!</f>
        <v>#REF!</v>
      </c>
      <c r="L42" s="460" t="e">
        <f>+L38+#REF!+#REF!+#REF!+#REF!+#REF!</f>
        <v>#REF!</v>
      </c>
      <c r="M42" s="383" t="e">
        <f t="shared" si="9"/>
        <v>#REF!</v>
      </c>
      <c r="N42" s="383" t="e">
        <f t="shared" si="9"/>
        <v>#REF!</v>
      </c>
      <c r="Q42" s="503"/>
      <c r="R42" s="504" t="e">
        <f t="shared" si="11"/>
        <v>#REF!</v>
      </c>
    </row>
    <row r="43" s="412" customFormat="1" hidden="1" spans="1:18">
      <c r="A43" s="456" t="s">
        <v>363</v>
      </c>
      <c r="B43" s="457"/>
      <c r="C43" s="457"/>
      <c r="D43" s="457"/>
      <c r="E43" s="457"/>
      <c r="F43" s="457"/>
      <c r="G43" s="457"/>
      <c r="H43" s="458"/>
      <c r="I43" s="463" t="e">
        <f>+I42+J42</f>
        <v>#REF!</v>
      </c>
      <c r="J43" s="495"/>
      <c r="K43" s="459" t="e">
        <f>+I43/1000000</f>
        <v>#REF!</v>
      </c>
      <c r="L43" s="383"/>
      <c r="M43" s="383"/>
      <c r="N43" s="383"/>
      <c r="Q43" s="503"/>
      <c r="R43" s="504" t="e">
        <f t="shared" si="11"/>
        <v>#REF!</v>
      </c>
    </row>
    <row r="44" s="412" customFormat="1" hidden="1" spans="1:18">
      <c r="A44" s="456" t="s">
        <v>319</v>
      </c>
      <c r="B44" s="457"/>
      <c r="C44" s="457"/>
      <c r="D44" s="458"/>
      <c r="E44" s="460" t="e">
        <f>+#REF!+#REF!+#REF!+#REF!+#REF!+#REF!+#REF!+E9</f>
        <v>#REF!</v>
      </c>
      <c r="F44" s="460" t="e">
        <f>+#REF!+#REF!+#REF!+#REF!+#REF!+#REF!+#REF!+F9</f>
        <v>#REF!</v>
      </c>
      <c r="G44" s="460" t="e">
        <f>+#REF!+#REF!+#REF!+#REF!+#REF!+#REF!+#REF!+G9</f>
        <v>#REF!</v>
      </c>
      <c r="H44" s="460" t="e">
        <f>+#REF!+#REF!+#REF!+#REF!+#REF!+#REF!+#REF!+H9</f>
        <v>#REF!</v>
      </c>
      <c r="I44" s="460" t="e">
        <f>+#REF!+#REF!+#REF!+#REF!+#REF!+#REF!+#REF!+I9</f>
        <v>#REF!</v>
      </c>
      <c r="J44" s="460" t="e">
        <f>+#REF!+#REF!+#REF!+#REF!+#REF!+#REF!+#REF!+J9</f>
        <v>#REF!</v>
      </c>
      <c r="K44" s="460" t="e">
        <f>+#REF!+#REF!+#REF!+#REF!+#REF!+#REF!+#REF!+K9</f>
        <v>#REF!</v>
      </c>
      <c r="L44" s="460" t="e">
        <f>+#REF!+#REF!+#REF!+#REF!+#REF!+#REF!+#REF!+L9</f>
        <v>#REF!</v>
      </c>
      <c r="M44" s="383" t="e">
        <f t="shared" si="9"/>
        <v>#REF!</v>
      </c>
      <c r="N44" s="383" t="e">
        <f t="shared" si="9"/>
        <v>#REF!</v>
      </c>
      <c r="Q44" s="503"/>
      <c r="R44" s="504" t="e">
        <f t="shared" si="11"/>
        <v>#REF!</v>
      </c>
    </row>
    <row r="45" s="412" customFormat="1" hidden="1" spans="1:18">
      <c r="A45" s="456" t="s">
        <v>320</v>
      </c>
      <c r="B45" s="457"/>
      <c r="C45" s="457"/>
      <c r="D45" s="457"/>
      <c r="E45" s="457"/>
      <c r="F45" s="457"/>
      <c r="G45" s="457"/>
      <c r="H45" s="458"/>
      <c r="I45" s="463" t="e">
        <f>+I44+J44</f>
        <v>#REF!</v>
      </c>
      <c r="J45" s="495"/>
      <c r="K45" s="459" t="e">
        <f>+I45/1000000</f>
        <v>#REF!</v>
      </c>
      <c r="L45" s="383"/>
      <c r="M45" s="383"/>
      <c r="N45" s="383"/>
      <c r="Q45" s="503"/>
      <c r="R45" s="504" t="e">
        <f t="shared" si="11"/>
        <v>#REF!</v>
      </c>
    </row>
    <row r="46" s="412" customFormat="1" hidden="1" spans="1:18">
      <c r="A46" s="456" t="s">
        <v>321</v>
      </c>
      <c r="B46" s="457"/>
      <c r="C46" s="457"/>
      <c r="D46" s="457"/>
      <c r="E46" s="457"/>
      <c r="F46" s="457"/>
      <c r="G46" s="457"/>
      <c r="H46" s="458"/>
      <c r="I46" s="463" t="e">
        <f>+#REF!+#REF!</f>
        <v>#REF!</v>
      </c>
      <c r="J46" s="495"/>
      <c r="K46" s="459" t="e">
        <f>+I46/1000000</f>
        <v>#REF!</v>
      </c>
      <c r="L46" s="383"/>
      <c r="M46" s="383"/>
      <c r="N46" s="383"/>
      <c r="Q46" s="503"/>
      <c r="R46" s="504" t="e">
        <f t="shared" si="11"/>
        <v>#REF!</v>
      </c>
    </row>
    <row r="47" s="412" customFormat="1" hidden="1" spans="1:18">
      <c r="A47" s="456" t="s">
        <v>322</v>
      </c>
      <c r="B47" s="457"/>
      <c r="C47" s="457"/>
      <c r="D47" s="457"/>
      <c r="E47" s="457"/>
      <c r="F47" s="457"/>
      <c r="G47" s="457"/>
      <c r="H47" s="458"/>
      <c r="I47" s="463" t="e">
        <f>+#REF!</f>
        <v>#REF!</v>
      </c>
      <c r="J47" s="495"/>
      <c r="K47" s="459" t="e">
        <f>+I47/1000000</f>
        <v>#REF!</v>
      </c>
      <c r="L47" s="383"/>
      <c r="M47" s="383"/>
      <c r="N47" s="383"/>
      <c r="Q47" s="503"/>
      <c r="R47" s="504" t="e">
        <f t="shared" si="11"/>
        <v>#REF!</v>
      </c>
    </row>
    <row r="48" s="412" customFormat="1" hidden="1" spans="1:18">
      <c r="A48" s="456" t="s">
        <v>914</v>
      </c>
      <c r="B48" s="457"/>
      <c r="C48" s="457"/>
      <c r="D48" s="458"/>
      <c r="E48" s="460" t="e">
        <f>+#REF!+E11+E13</f>
        <v>#REF!</v>
      </c>
      <c r="F48" s="460" t="e">
        <f>+#REF!+F11+F13</f>
        <v>#REF!</v>
      </c>
      <c r="G48" s="460" t="e">
        <f>+#REF!+G11+G13</f>
        <v>#REF!</v>
      </c>
      <c r="H48" s="460" t="e">
        <f>+#REF!+H11+H13</f>
        <v>#REF!</v>
      </c>
      <c r="I48" s="460" t="e">
        <f>+#REF!+I11+I13</f>
        <v>#REF!</v>
      </c>
      <c r="J48" s="460" t="e">
        <f>+#REF!+J11+J13</f>
        <v>#REF!</v>
      </c>
      <c r="K48" s="460" t="e">
        <f>+#REF!+K11+K13</f>
        <v>#REF!</v>
      </c>
      <c r="L48" s="452" t="e">
        <f>+#REF!+L11+L13</f>
        <v>#REF!</v>
      </c>
      <c r="M48" s="383" t="e">
        <f>+J48*100/H48</f>
        <v>#REF!</v>
      </c>
      <c r="N48" s="383" t="e">
        <f>+K48*100/I48</f>
        <v>#REF!</v>
      </c>
      <c r="Q48" s="503"/>
      <c r="R48" s="504" t="e">
        <f t="shared" si="11"/>
        <v>#REF!</v>
      </c>
    </row>
    <row r="49" s="412" customFormat="1" hidden="1" spans="1:18">
      <c r="A49" s="456" t="s">
        <v>915</v>
      </c>
      <c r="B49" s="457"/>
      <c r="C49" s="457"/>
      <c r="D49" s="457"/>
      <c r="E49" s="457"/>
      <c r="F49" s="457"/>
      <c r="G49" s="457"/>
      <c r="H49" s="458"/>
      <c r="I49" s="463" t="e">
        <f>+I48+J48</f>
        <v>#REF!</v>
      </c>
      <c r="J49" s="495"/>
      <c r="K49" s="459" t="e">
        <f>+I49/1000000</f>
        <v>#REF!</v>
      </c>
      <c r="L49" s="383"/>
      <c r="M49" s="383"/>
      <c r="N49" s="383"/>
      <c r="Q49" s="503"/>
      <c r="R49" s="504" t="e">
        <f t="shared" si="11"/>
        <v>#REF!</v>
      </c>
    </row>
    <row r="50" s="412" customFormat="1" hidden="1" spans="1:18">
      <c r="A50" s="456" t="s">
        <v>916</v>
      </c>
      <c r="B50" s="457"/>
      <c r="C50" s="457"/>
      <c r="D50" s="458"/>
      <c r="E50" s="460">
        <f>+E10+E12+E14+E15+E16+E17</f>
        <v>131634300</v>
      </c>
      <c r="F50" s="460">
        <f t="shared" ref="F50:L50" si="12">+F10+F12+F14+F15+F16+F17</f>
        <v>32806900</v>
      </c>
      <c r="G50" s="460">
        <f t="shared" si="12"/>
        <v>0</v>
      </c>
      <c r="H50" s="460">
        <f t="shared" si="12"/>
        <v>32806900</v>
      </c>
      <c r="I50" s="460">
        <f t="shared" si="12"/>
        <v>27366900</v>
      </c>
      <c r="J50" s="460">
        <f t="shared" si="12"/>
        <v>5440000</v>
      </c>
      <c r="K50" s="460">
        <f t="shared" si="12"/>
        <v>126194300</v>
      </c>
      <c r="L50" s="452">
        <f t="shared" si="12"/>
        <v>98827400</v>
      </c>
      <c r="M50" s="383">
        <f>+J50*100/H50</f>
        <v>16.5818775928235</v>
      </c>
      <c r="N50" s="383">
        <f>+K50*100/I50</f>
        <v>461.120185333377</v>
      </c>
      <c r="Q50" s="503"/>
      <c r="R50" s="504">
        <f t="shared" si="11"/>
        <v>32806900</v>
      </c>
    </row>
    <row r="51" s="412" customFormat="1" hidden="1" spans="1:18">
      <c r="A51" s="456" t="s">
        <v>915</v>
      </c>
      <c r="B51" s="457"/>
      <c r="C51" s="457"/>
      <c r="D51" s="457"/>
      <c r="E51" s="457"/>
      <c r="F51" s="457"/>
      <c r="G51" s="457"/>
      <c r="H51" s="458"/>
      <c r="I51" s="463">
        <f>+I50+J50</f>
        <v>32806900</v>
      </c>
      <c r="J51" s="495"/>
      <c r="K51" s="459">
        <f>+I51/1000000</f>
        <v>32.8069</v>
      </c>
      <c r="L51" s="383"/>
      <c r="M51" s="383"/>
      <c r="N51" s="383"/>
      <c r="Q51" s="503"/>
      <c r="R51" s="504">
        <f t="shared" si="11"/>
        <v>32806900</v>
      </c>
    </row>
    <row r="52" s="413" customFormat="1" ht="32.25" hidden="1" customHeight="1" spans="1:17">
      <c r="A52" s="465" t="s">
        <v>917</v>
      </c>
      <c r="B52" s="465"/>
      <c r="C52" s="465"/>
      <c r="D52" s="465"/>
      <c r="E52" s="465"/>
      <c r="F52" s="465"/>
      <c r="G52" s="465"/>
      <c r="H52" s="465"/>
      <c r="I52" s="465"/>
      <c r="J52" s="465"/>
      <c r="K52" s="465"/>
      <c r="L52" s="465"/>
      <c r="M52" s="465"/>
      <c r="N52" s="465"/>
      <c r="O52" s="465"/>
      <c r="P52" s="465"/>
      <c r="Q52" s="465"/>
    </row>
    <row r="53" s="413" customFormat="1" ht="32.25" hidden="1" customHeight="1" spans="1:17">
      <c r="A53" s="466"/>
      <c r="B53" s="466"/>
      <c r="C53" s="467"/>
      <c r="D53" s="468" t="s">
        <v>918</v>
      </c>
      <c r="E53" s="468"/>
      <c r="F53" s="468"/>
      <c r="G53" s="468"/>
      <c r="H53" s="468"/>
      <c r="I53" s="468"/>
      <c r="J53" s="468"/>
      <c r="K53" s="468"/>
      <c r="L53" s="468"/>
      <c r="M53" s="468"/>
      <c r="N53" s="466"/>
      <c r="O53" s="466"/>
      <c r="P53" s="466"/>
      <c r="Q53" s="508"/>
    </row>
    <row r="54" ht="32.25" hidden="1" customHeight="1" spans="1:17">
      <c r="A54" s="469"/>
      <c r="B54" s="470"/>
      <c r="C54" s="471"/>
      <c r="D54" s="468" t="s">
        <v>919</v>
      </c>
      <c r="E54" s="468"/>
      <c r="F54" s="468"/>
      <c r="G54" s="468"/>
      <c r="H54" s="468"/>
      <c r="I54" s="468"/>
      <c r="J54" s="468"/>
      <c r="K54" s="468"/>
      <c r="L54" s="468"/>
      <c r="M54" s="468"/>
      <c r="N54" s="499"/>
      <c r="O54" s="499"/>
      <c r="P54" s="499"/>
      <c r="Q54" s="509"/>
    </row>
    <row r="55" ht="32.25" hidden="1" customHeight="1" spans="1:17">
      <c r="A55" s="469"/>
      <c r="B55" s="470"/>
      <c r="C55" s="471"/>
      <c r="D55" s="468" t="s">
        <v>920</v>
      </c>
      <c r="E55" s="468"/>
      <c r="F55" s="468"/>
      <c r="G55" s="468"/>
      <c r="H55" s="468"/>
      <c r="I55" s="468"/>
      <c r="J55" s="468"/>
      <c r="K55" s="468"/>
      <c r="L55" s="468"/>
      <c r="M55" s="468"/>
      <c r="N55" s="499"/>
      <c r="O55" s="499"/>
      <c r="P55" s="499"/>
      <c r="Q55" s="509"/>
    </row>
    <row r="56" ht="32.25" hidden="1" customHeight="1" spans="1:17">
      <c r="A56" s="469"/>
      <c r="B56" s="470"/>
      <c r="C56" s="471"/>
      <c r="D56" s="468" t="s">
        <v>921</v>
      </c>
      <c r="E56" s="468"/>
      <c r="F56" s="468"/>
      <c r="G56" s="468"/>
      <c r="H56" s="468"/>
      <c r="I56" s="468"/>
      <c r="J56" s="468"/>
      <c r="K56" s="468"/>
      <c r="L56" s="468"/>
      <c r="M56" s="468"/>
      <c r="N56" s="499"/>
      <c r="O56" s="499"/>
      <c r="P56" s="499"/>
      <c r="Q56" s="509"/>
    </row>
    <row r="57" hidden="1" spans="4:13">
      <c r="D57" s="472"/>
      <c r="E57" s="472"/>
      <c r="F57" s="472"/>
      <c r="G57" s="472"/>
      <c r="H57" s="472"/>
      <c r="I57" s="472"/>
      <c r="J57" s="472"/>
      <c r="K57" s="472"/>
      <c r="L57" s="472"/>
      <c r="M57" s="472"/>
    </row>
    <row r="58" hidden="1"/>
    <row r="59" hidden="1"/>
    <row r="60" hidden="1"/>
    <row r="61" hidden="1"/>
    <row r="62" hidden="1"/>
    <row r="63" hidden="1"/>
    <row r="64" hidden="1"/>
    <row r="65" hidden="1"/>
    <row r="66" hidden="1"/>
  </sheetData>
  <mergeCells count="46">
    <mergeCell ref="A1:Q1"/>
    <mergeCell ref="A2:Q2"/>
    <mergeCell ref="A3:Q3"/>
    <mergeCell ref="A4:Q4"/>
    <mergeCell ref="E5:O5"/>
    <mergeCell ref="A18:D18"/>
    <mergeCell ref="A19:D19"/>
    <mergeCell ref="A20:D20"/>
    <mergeCell ref="A21:D21"/>
    <mergeCell ref="A22:D22"/>
    <mergeCell ref="A23:I23"/>
    <mergeCell ref="J23:K23"/>
    <mergeCell ref="A24:I24"/>
    <mergeCell ref="J24:K24"/>
    <mergeCell ref="A25:I25"/>
    <mergeCell ref="J25:K25"/>
    <mergeCell ref="A26:I26"/>
    <mergeCell ref="J26:K26"/>
    <mergeCell ref="A27:I27"/>
    <mergeCell ref="J27:K27"/>
    <mergeCell ref="A28:I28"/>
    <mergeCell ref="J28:K28"/>
    <mergeCell ref="J29:K29"/>
    <mergeCell ref="A38:D38"/>
    <mergeCell ref="A39:F39"/>
    <mergeCell ref="A40:D40"/>
    <mergeCell ref="A41:F41"/>
    <mergeCell ref="A42:D42"/>
    <mergeCell ref="A43:F43"/>
    <mergeCell ref="A44:D44"/>
    <mergeCell ref="A45:F45"/>
    <mergeCell ref="A46:F46"/>
    <mergeCell ref="A47:F47"/>
    <mergeCell ref="A48:D48"/>
    <mergeCell ref="A49:F49"/>
    <mergeCell ref="A50:D50"/>
    <mergeCell ref="A51:F51"/>
    <mergeCell ref="A52:Q52"/>
    <mergeCell ref="D53:M53"/>
    <mergeCell ref="D54:M54"/>
    <mergeCell ref="D55:M55"/>
    <mergeCell ref="D56:M56"/>
    <mergeCell ref="D57:M57"/>
    <mergeCell ref="A5:A6"/>
    <mergeCell ref="Q5:Q8"/>
    <mergeCell ref="C5:D8"/>
  </mergeCells>
  <pageMargins left="0.236220472440945" right="0" top="0.669291338582677" bottom="0.433070866141732" header="0.236220472440945" footer="0.196850393700787"/>
  <pageSetup paperSize="9" scale="55" orientation="landscape"/>
  <headerFooter alignWithMargins="0">
    <oddHeader>&amp;R&amp;"+,ตัวหนา"&amp;25งบลงทุน</oddHeader>
    <oddFooter>&amp;Lกลุ่มบริหารงานบัญชีและงบประมาณ&amp;Rหน้าที่ &amp;P จาก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P47"/>
  <sheetViews>
    <sheetView zoomScale="80" zoomScaleNormal="80" topLeftCell="A22" workbookViewId="0">
      <selection activeCell="F52" sqref="F52"/>
    </sheetView>
  </sheetViews>
  <sheetFormatPr defaultColWidth="9" defaultRowHeight="26.25"/>
  <cols>
    <col min="1" max="1" width="8" style="355" customWidth="1"/>
    <col min="2" max="2" width="27.2857142857143" style="356" customWidth="1"/>
    <col min="3" max="3" width="13.4285714285714" style="355" customWidth="1"/>
    <col min="4" max="4" width="14.4285714285714" style="355" customWidth="1"/>
    <col min="5" max="5" width="19.5714285714286" style="357" customWidth="1"/>
    <col min="6" max="6" width="12.4285714285714" style="355" customWidth="1"/>
    <col min="7" max="7" width="33.4285714285714" style="358" customWidth="1"/>
    <col min="8" max="9" width="17.5714285714286" style="356" customWidth="1"/>
    <col min="10" max="10" width="17.7142857142857" style="359" customWidth="1"/>
    <col min="11" max="11" width="8.71428571428571" style="354" customWidth="1"/>
    <col min="12" max="12" width="30.2857142857143" style="360" customWidth="1"/>
    <col min="13" max="13" width="25" style="356" hidden="1" customWidth="1"/>
    <col min="14" max="15" width="12.2857142857143" style="356" hidden="1" customWidth="1"/>
    <col min="16" max="16" width="24.7142857142857" style="356" hidden="1" customWidth="1"/>
    <col min="17" max="261" width="9.14285714285714" style="356"/>
    <col min="262" max="262" width="6.42857142857143" style="356" customWidth="1"/>
    <col min="263" max="263" width="32" style="356" customWidth="1"/>
    <col min="264" max="264" width="14.5714285714286" style="356" customWidth="1"/>
    <col min="265" max="265" width="12.4285714285714" style="356" customWidth="1"/>
    <col min="266" max="266" width="51.2857142857143" style="356" customWidth="1"/>
    <col min="267" max="267" width="14.8571428571429" style="356" customWidth="1"/>
    <col min="268" max="268" width="25" style="356" customWidth="1"/>
    <col min="269" max="270" width="12.2857142857143" style="356" customWidth="1"/>
    <col min="271" max="271" width="24.7142857142857" style="356" customWidth="1"/>
    <col min="272" max="272" width="15" style="356" customWidth="1"/>
    <col min="273" max="517" width="9.14285714285714" style="356"/>
    <col min="518" max="518" width="6.42857142857143" style="356" customWidth="1"/>
    <col min="519" max="519" width="32" style="356" customWidth="1"/>
    <col min="520" max="520" width="14.5714285714286" style="356" customWidth="1"/>
    <col min="521" max="521" width="12.4285714285714" style="356" customWidth="1"/>
    <col min="522" max="522" width="51.2857142857143" style="356" customWidth="1"/>
    <col min="523" max="523" width="14.8571428571429" style="356" customWidth="1"/>
    <col min="524" max="524" width="25" style="356" customWidth="1"/>
    <col min="525" max="526" width="12.2857142857143" style="356" customWidth="1"/>
    <col min="527" max="527" width="24.7142857142857" style="356" customWidth="1"/>
    <col min="528" max="528" width="15" style="356" customWidth="1"/>
    <col min="529" max="773" width="9.14285714285714" style="356"/>
    <col min="774" max="774" width="6.42857142857143" style="356" customWidth="1"/>
    <col min="775" max="775" width="32" style="356" customWidth="1"/>
    <col min="776" max="776" width="14.5714285714286" style="356" customWidth="1"/>
    <col min="777" max="777" width="12.4285714285714" style="356" customWidth="1"/>
    <col min="778" max="778" width="51.2857142857143" style="356" customWidth="1"/>
    <col min="779" max="779" width="14.8571428571429" style="356" customWidth="1"/>
    <col min="780" max="780" width="25" style="356" customWidth="1"/>
    <col min="781" max="782" width="12.2857142857143" style="356" customWidth="1"/>
    <col min="783" max="783" width="24.7142857142857" style="356" customWidth="1"/>
    <col min="784" max="784" width="15" style="356" customWidth="1"/>
    <col min="785" max="1029" width="9.14285714285714" style="356"/>
    <col min="1030" max="1030" width="6.42857142857143" style="356" customWidth="1"/>
    <col min="1031" max="1031" width="32" style="356" customWidth="1"/>
    <col min="1032" max="1032" width="14.5714285714286" style="356" customWidth="1"/>
    <col min="1033" max="1033" width="12.4285714285714" style="356" customWidth="1"/>
    <col min="1034" max="1034" width="51.2857142857143" style="356" customWidth="1"/>
    <col min="1035" max="1035" width="14.8571428571429" style="356" customWidth="1"/>
    <col min="1036" max="1036" width="25" style="356" customWidth="1"/>
    <col min="1037" max="1038" width="12.2857142857143" style="356" customWidth="1"/>
    <col min="1039" max="1039" width="24.7142857142857" style="356" customWidth="1"/>
    <col min="1040" max="1040" width="15" style="356" customWidth="1"/>
    <col min="1041" max="1285" width="9.14285714285714" style="356"/>
    <col min="1286" max="1286" width="6.42857142857143" style="356" customWidth="1"/>
    <col min="1287" max="1287" width="32" style="356" customWidth="1"/>
    <col min="1288" max="1288" width="14.5714285714286" style="356" customWidth="1"/>
    <col min="1289" max="1289" width="12.4285714285714" style="356" customWidth="1"/>
    <col min="1290" max="1290" width="51.2857142857143" style="356" customWidth="1"/>
    <col min="1291" max="1291" width="14.8571428571429" style="356" customWidth="1"/>
    <col min="1292" max="1292" width="25" style="356" customWidth="1"/>
    <col min="1293" max="1294" width="12.2857142857143" style="356" customWidth="1"/>
    <col min="1295" max="1295" width="24.7142857142857" style="356" customWidth="1"/>
    <col min="1296" max="1296" width="15" style="356" customWidth="1"/>
    <col min="1297" max="1541" width="9.14285714285714" style="356"/>
    <col min="1542" max="1542" width="6.42857142857143" style="356" customWidth="1"/>
    <col min="1543" max="1543" width="32" style="356" customWidth="1"/>
    <col min="1544" max="1544" width="14.5714285714286" style="356" customWidth="1"/>
    <col min="1545" max="1545" width="12.4285714285714" style="356" customWidth="1"/>
    <col min="1546" max="1546" width="51.2857142857143" style="356" customWidth="1"/>
    <col min="1547" max="1547" width="14.8571428571429" style="356" customWidth="1"/>
    <col min="1548" max="1548" width="25" style="356" customWidth="1"/>
    <col min="1549" max="1550" width="12.2857142857143" style="356" customWidth="1"/>
    <col min="1551" max="1551" width="24.7142857142857" style="356" customWidth="1"/>
    <col min="1552" max="1552" width="15" style="356" customWidth="1"/>
    <col min="1553" max="1797" width="9.14285714285714" style="356"/>
    <col min="1798" max="1798" width="6.42857142857143" style="356" customWidth="1"/>
    <col min="1799" max="1799" width="32" style="356" customWidth="1"/>
    <col min="1800" max="1800" width="14.5714285714286" style="356" customWidth="1"/>
    <col min="1801" max="1801" width="12.4285714285714" style="356" customWidth="1"/>
    <col min="1802" max="1802" width="51.2857142857143" style="356" customWidth="1"/>
    <col min="1803" max="1803" width="14.8571428571429" style="356" customWidth="1"/>
    <col min="1804" max="1804" width="25" style="356" customWidth="1"/>
    <col min="1805" max="1806" width="12.2857142857143" style="356" customWidth="1"/>
    <col min="1807" max="1807" width="24.7142857142857" style="356" customWidth="1"/>
    <col min="1808" max="1808" width="15" style="356" customWidth="1"/>
    <col min="1809" max="2053" width="9.14285714285714" style="356"/>
    <col min="2054" max="2054" width="6.42857142857143" style="356" customWidth="1"/>
    <col min="2055" max="2055" width="32" style="356" customWidth="1"/>
    <col min="2056" max="2056" width="14.5714285714286" style="356" customWidth="1"/>
    <col min="2057" max="2057" width="12.4285714285714" style="356" customWidth="1"/>
    <col min="2058" max="2058" width="51.2857142857143" style="356" customWidth="1"/>
    <col min="2059" max="2059" width="14.8571428571429" style="356" customWidth="1"/>
    <col min="2060" max="2060" width="25" style="356" customWidth="1"/>
    <col min="2061" max="2062" width="12.2857142857143" style="356" customWidth="1"/>
    <col min="2063" max="2063" width="24.7142857142857" style="356" customWidth="1"/>
    <col min="2064" max="2064" width="15" style="356" customWidth="1"/>
    <col min="2065" max="2309" width="9.14285714285714" style="356"/>
    <col min="2310" max="2310" width="6.42857142857143" style="356" customWidth="1"/>
    <col min="2311" max="2311" width="32" style="356" customWidth="1"/>
    <col min="2312" max="2312" width="14.5714285714286" style="356" customWidth="1"/>
    <col min="2313" max="2313" width="12.4285714285714" style="356" customWidth="1"/>
    <col min="2314" max="2314" width="51.2857142857143" style="356" customWidth="1"/>
    <col min="2315" max="2315" width="14.8571428571429" style="356" customWidth="1"/>
    <col min="2316" max="2316" width="25" style="356" customWidth="1"/>
    <col min="2317" max="2318" width="12.2857142857143" style="356" customWidth="1"/>
    <col min="2319" max="2319" width="24.7142857142857" style="356" customWidth="1"/>
    <col min="2320" max="2320" width="15" style="356" customWidth="1"/>
    <col min="2321" max="2565" width="9.14285714285714" style="356"/>
    <col min="2566" max="2566" width="6.42857142857143" style="356" customWidth="1"/>
    <col min="2567" max="2567" width="32" style="356" customWidth="1"/>
    <col min="2568" max="2568" width="14.5714285714286" style="356" customWidth="1"/>
    <col min="2569" max="2569" width="12.4285714285714" style="356" customWidth="1"/>
    <col min="2570" max="2570" width="51.2857142857143" style="356" customWidth="1"/>
    <col min="2571" max="2571" width="14.8571428571429" style="356" customWidth="1"/>
    <col min="2572" max="2572" width="25" style="356" customWidth="1"/>
    <col min="2573" max="2574" width="12.2857142857143" style="356" customWidth="1"/>
    <col min="2575" max="2575" width="24.7142857142857" style="356" customWidth="1"/>
    <col min="2576" max="2576" width="15" style="356" customWidth="1"/>
    <col min="2577" max="2821" width="9.14285714285714" style="356"/>
    <col min="2822" max="2822" width="6.42857142857143" style="356" customWidth="1"/>
    <col min="2823" max="2823" width="32" style="356" customWidth="1"/>
    <col min="2824" max="2824" width="14.5714285714286" style="356" customWidth="1"/>
    <col min="2825" max="2825" width="12.4285714285714" style="356" customWidth="1"/>
    <col min="2826" max="2826" width="51.2857142857143" style="356" customWidth="1"/>
    <col min="2827" max="2827" width="14.8571428571429" style="356" customWidth="1"/>
    <col min="2828" max="2828" width="25" style="356" customWidth="1"/>
    <col min="2829" max="2830" width="12.2857142857143" style="356" customWidth="1"/>
    <col min="2831" max="2831" width="24.7142857142857" style="356" customWidth="1"/>
    <col min="2832" max="2832" width="15" style="356" customWidth="1"/>
    <col min="2833" max="3077" width="9.14285714285714" style="356"/>
    <col min="3078" max="3078" width="6.42857142857143" style="356" customWidth="1"/>
    <col min="3079" max="3079" width="32" style="356" customWidth="1"/>
    <col min="3080" max="3080" width="14.5714285714286" style="356" customWidth="1"/>
    <col min="3081" max="3081" width="12.4285714285714" style="356" customWidth="1"/>
    <col min="3082" max="3082" width="51.2857142857143" style="356" customWidth="1"/>
    <col min="3083" max="3083" width="14.8571428571429" style="356" customWidth="1"/>
    <col min="3084" max="3084" width="25" style="356" customWidth="1"/>
    <col min="3085" max="3086" width="12.2857142857143" style="356" customWidth="1"/>
    <col min="3087" max="3087" width="24.7142857142857" style="356" customWidth="1"/>
    <col min="3088" max="3088" width="15" style="356" customWidth="1"/>
    <col min="3089" max="3333" width="9.14285714285714" style="356"/>
    <col min="3334" max="3334" width="6.42857142857143" style="356" customWidth="1"/>
    <col min="3335" max="3335" width="32" style="356" customWidth="1"/>
    <col min="3336" max="3336" width="14.5714285714286" style="356" customWidth="1"/>
    <col min="3337" max="3337" width="12.4285714285714" style="356" customWidth="1"/>
    <col min="3338" max="3338" width="51.2857142857143" style="356" customWidth="1"/>
    <col min="3339" max="3339" width="14.8571428571429" style="356" customWidth="1"/>
    <col min="3340" max="3340" width="25" style="356" customWidth="1"/>
    <col min="3341" max="3342" width="12.2857142857143" style="356" customWidth="1"/>
    <col min="3343" max="3343" width="24.7142857142857" style="356" customWidth="1"/>
    <col min="3344" max="3344" width="15" style="356" customWidth="1"/>
    <col min="3345" max="3589" width="9.14285714285714" style="356"/>
    <col min="3590" max="3590" width="6.42857142857143" style="356" customWidth="1"/>
    <col min="3591" max="3591" width="32" style="356" customWidth="1"/>
    <col min="3592" max="3592" width="14.5714285714286" style="356" customWidth="1"/>
    <col min="3593" max="3593" width="12.4285714285714" style="356" customWidth="1"/>
    <col min="3594" max="3594" width="51.2857142857143" style="356" customWidth="1"/>
    <col min="3595" max="3595" width="14.8571428571429" style="356" customWidth="1"/>
    <col min="3596" max="3596" width="25" style="356" customWidth="1"/>
    <col min="3597" max="3598" width="12.2857142857143" style="356" customWidth="1"/>
    <col min="3599" max="3599" width="24.7142857142857" style="356" customWidth="1"/>
    <col min="3600" max="3600" width="15" style="356" customWidth="1"/>
    <col min="3601" max="3845" width="9.14285714285714" style="356"/>
    <col min="3846" max="3846" width="6.42857142857143" style="356" customWidth="1"/>
    <col min="3847" max="3847" width="32" style="356" customWidth="1"/>
    <col min="3848" max="3848" width="14.5714285714286" style="356" customWidth="1"/>
    <col min="3849" max="3849" width="12.4285714285714" style="356" customWidth="1"/>
    <col min="3850" max="3850" width="51.2857142857143" style="356" customWidth="1"/>
    <col min="3851" max="3851" width="14.8571428571429" style="356" customWidth="1"/>
    <col min="3852" max="3852" width="25" style="356" customWidth="1"/>
    <col min="3853" max="3854" width="12.2857142857143" style="356" customWidth="1"/>
    <col min="3855" max="3855" width="24.7142857142857" style="356" customWidth="1"/>
    <col min="3856" max="3856" width="15" style="356" customWidth="1"/>
    <col min="3857" max="4101" width="9.14285714285714" style="356"/>
    <col min="4102" max="4102" width="6.42857142857143" style="356" customWidth="1"/>
    <col min="4103" max="4103" width="32" style="356" customWidth="1"/>
    <col min="4104" max="4104" width="14.5714285714286" style="356" customWidth="1"/>
    <col min="4105" max="4105" width="12.4285714285714" style="356" customWidth="1"/>
    <col min="4106" max="4106" width="51.2857142857143" style="356" customWidth="1"/>
    <col min="4107" max="4107" width="14.8571428571429" style="356" customWidth="1"/>
    <col min="4108" max="4108" width="25" style="356" customWidth="1"/>
    <col min="4109" max="4110" width="12.2857142857143" style="356" customWidth="1"/>
    <col min="4111" max="4111" width="24.7142857142857" style="356" customWidth="1"/>
    <col min="4112" max="4112" width="15" style="356" customWidth="1"/>
    <col min="4113" max="4357" width="9.14285714285714" style="356"/>
    <col min="4358" max="4358" width="6.42857142857143" style="356" customWidth="1"/>
    <col min="4359" max="4359" width="32" style="356" customWidth="1"/>
    <col min="4360" max="4360" width="14.5714285714286" style="356" customWidth="1"/>
    <col min="4361" max="4361" width="12.4285714285714" style="356" customWidth="1"/>
    <col min="4362" max="4362" width="51.2857142857143" style="356" customWidth="1"/>
    <col min="4363" max="4363" width="14.8571428571429" style="356" customWidth="1"/>
    <col min="4364" max="4364" width="25" style="356" customWidth="1"/>
    <col min="4365" max="4366" width="12.2857142857143" style="356" customWidth="1"/>
    <col min="4367" max="4367" width="24.7142857142857" style="356" customWidth="1"/>
    <col min="4368" max="4368" width="15" style="356" customWidth="1"/>
    <col min="4369" max="4613" width="9.14285714285714" style="356"/>
    <col min="4614" max="4614" width="6.42857142857143" style="356" customWidth="1"/>
    <col min="4615" max="4615" width="32" style="356" customWidth="1"/>
    <col min="4616" max="4616" width="14.5714285714286" style="356" customWidth="1"/>
    <col min="4617" max="4617" width="12.4285714285714" style="356" customWidth="1"/>
    <col min="4618" max="4618" width="51.2857142857143" style="356" customWidth="1"/>
    <col min="4619" max="4619" width="14.8571428571429" style="356" customWidth="1"/>
    <col min="4620" max="4620" width="25" style="356" customWidth="1"/>
    <col min="4621" max="4622" width="12.2857142857143" style="356" customWidth="1"/>
    <col min="4623" max="4623" width="24.7142857142857" style="356" customWidth="1"/>
    <col min="4624" max="4624" width="15" style="356" customWidth="1"/>
    <col min="4625" max="4869" width="9.14285714285714" style="356"/>
    <col min="4870" max="4870" width="6.42857142857143" style="356" customWidth="1"/>
    <col min="4871" max="4871" width="32" style="356" customWidth="1"/>
    <col min="4872" max="4872" width="14.5714285714286" style="356" customWidth="1"/>
    <col min="4873" max="4873" width="12.4285714285714" style="356" customWidth="1"/>
    <col min="4874" max="4874" width="51.2857142857143" style="356" customWidth="1"/>
    <col min="4875" max="4875" width="14.8571428571429" style="356" customWidth="1"/>
    <col min="4876" max="4876" width="25" style="356" customWidth="1"/>
    <col min="4877" max="4878" width="12.2857142857143" style="356" customWidth="1"/>
    <col min="4879" max="4879" width="24.7142857142857" style="356" customWidth="1"/>
    <col min="4880" max="4880" width="15" style="356" customWidth="1"/>
    <col min="4881" max="5125" width="9.14285714285714" style="356"/>
    <col min="5126" max="5126" width="6.42857142857143" style="356" customWidth="1"/>
    <col min="5127" max="5127" width="32" style="356" customWidth="1"/>
    <col min="5128" max="5128" width="14.5714285714286" style="356" customWidth="1"/>
    <col min="5129" max="5129" width="12.4285714285714" style="356" customWidth="1"/>
    <col min="5130" max="5130" width="51.2857142857143" style="356" customWidth="1"/>
    <col min="5131" max="5131" width="14.8571428571429" style="356" customWidth="1"/>
    <col min="5132" max="5132" width="25" style="356" customWidth="1"/>
    <col min="5133" max="5134" width="12.2857142857143" style="356" customWidth="1"/>
    <col min="5135" max="5135" width="24.7142857142857" style="356" customWidth="1"/>
    <col min="5136" max="5136" width="15" style="356" customWidth="1"/>
    <col min="5137" max="5381" width="9.14285714285714" style="356"/>
    <col min="5382" max="5382" width="6.42857142857143" style="356" customWidth="1"/>
    <col min="5383" max="5383" width="32" style="356" customWidth="1"/>
    <col min="5384" max="5384" width="14.5714285714286" style="356" customWidth="1"/>
    <col min="5385" max="5385" width="12.4285714285714" style="356" customWidth="1"/>
    <col min="5386" max="5386" width="51.2857142857143" style="356" customWidth="1"/>
    <col min="5387" max="5387" width="14.8571428571429" style="356" customWidth="1"/>
    <col min="5388" max="5388" width="25" style="356" customWidth="1"/>
    <col min="5389" max="5390" width="12.2857142857143" style="356" customWidth="1"/>
    <col min="5391" max="5391" width="24.7142857142857" style="356" customWidth="1"/>
    <col min="5392" max="5392" width="15" style="356" customWidth="1"/>
    <col min="5393" max="5637" width="9.14285714285714" style="356"/>
    <col min="5638" max="5638" width="6.42857142857143" style="356" customWidth="1"/>
    <col min="5639" max="5639" width="32" style="356" customWidth="1"/>
    <col min="5640" max="5640" width="14.5714285714286" style="356" customWidth="1"/>
    <col min="5641" max="5641" width="12.4285714285714" style="356" customWidth="1"/>
    <col min="5642" max="5642" width="51.2857142857143" style="356" customWidth="1"/>
    <col min="5643" max="5643" width="14.8571428571429" style="356" customWidth="1"/>
    <col min="5644" max="5644" width="25" style="356" customWidth="1"/>
    <col min="5645" max="5646" width="12.2857142857143" style="356" customWidth="1"/>
    <col min="5647" max="5647" width="24.7142857142857" style="356" customWidth="1"/>
    <col min="5648" max="5648" width="15" style="356" customWidth="1"/>
    <col min="5649" max="5893" width="9.14285714285714" style="356"/>
    <col min="5894" max="5894" width="6.42857142857143" style="356" customWidth="1"/>
    <col min="5895" max="5895" width="32" style="356" customWidth="1"/>
    <col min="5896" max="5896" width="14.5714285714286" style="356" customWidth="1"/>
    <col min="5897" max="5897" width="12.4285714285714" style="356" customWidth="1"/>
    <col min="5898" max="5898" width="51.2857142857143" style="356" customWidth="1"/>
    <col min="5899" max="5899" width="14.8571428571429" style="356" customWidth="1"/>
    <col min="5900" max="5900" width="25" style="356" customWidth="1"/>
    <col min="5901" max="5902" width="12.2857142857143" style="356" customWidth="1"/>
    <col min="5903" max="5903" width="24.7142857142857" style="356" customWidth="1"/>
    <col min="5904" max="5904" width="15" style="356" customWidth="1"/>
    <col min="5905" max="6149" width="9.14285714285714" style="356"/>
    <col min="6150" max="6150" width="6.42857142857143" style="356" customWidth="1"/>
    <col min="6151" max="6151" width="32" style="356" customWidth="1"/>
    <col min="6152" max="6152" width="14.5714285714286" style="356" customWidth="1"/>
    <col min="6153" max="6153" width="12.4285714285714" style="356" customWidth="1"/>
    <col min="6154" max="6154" width="51.2857142857143" style="356" customWidth="1"/>
    <col min="6155" max="6155" width="14.8571428571429" style="356" customWidth="1"/>
    <col min="6156" max="6156" width="25" style="356" customWidth="1"/>
    <col min="6157" max="6158" width="12.2857142857143" style="356" customWidth="1"/>
    <col min="6159" max="6159" width="24.7142857142857" style="356" customWidth="1"/>
    <col min="6160" max="6160" width="15" style="356" customWidth="1"/>
    <col min="6161" max="6405" width="9.14285714285714" style="356"/>
    <col min="6406" max="6406" width="6.42857142857143" style="356" customWidth="1"/>
    <col min="6407" max="6407" width="32" style="356" customWidth="1"/>
    <col min="6408" max="6408" width="14.5714285714286" style="356" customWidth="1"/>
    <col min="6409" max="6409" width="12.4285714285714" style="356" customWidth="1"/>
    <col min="6410" max="6410" width="51.2857142857143" style="356" customWidth="1"/>
    <col min="6411" max="6411" width="14.8571428571429" style="356" customWidth="1"/>
    <col min="6412" max="6412" width="25" style="356" customWidth="1"/>
    <col min="6413" max="6414" width="12.2857142857143" style="356" customWidth="1"/>
    <col min="6415" max="6415" width="24.7142857142857" style="356" customWidth="1"/>
    <col min="6416" max="6416" width="15" style="356" customWidth="1"/>
    <col min="6417" max="6661" width="9.14285714285714" style="356"/>
    <col min="6662" max="6662" width="6.42857142857143" style="356" customWidth="1"/>
    <col min="6663" max="6663" width="32" style="356" customWidth="1"/>
    <col min="6664" max="6664" width="14.5714285714286" style="356" customWidth="1"/>
    <col min="6665" max="6665" width="12.4285714285714" style="356" customWidth="1"/>
    <col min="6666" max="6666" width="51.2857142857143" style="356" customWidth="1"/>
    <col min="6667" max="6667" width="14.8571428571429" style="356" customWidth="1"/>
    <col min="6668" max="6668" width="25" style="356" customWidth="1"/>
    <col min="6669" max="6670" width="12.2857142857143" style="356" customWidth="1"/>
    <col min="6671" max="6671" width="24.7142857142857" style="356" customWidth="1"/>
    <col min="6672" max="6672" width="15" style="356" customWidth="1"/>
    <col min="6673" max="6917" width="9.14285714285714" style="356"/>
    <col min="6918" max="6918" width="6.42857142857143" style="356" customWidth="1"/>
    <col min="6919" max="6919" width="32" style="356" customWidth="1"/>
    <col min="6920" max="6920" width="14.5714285714286" style="356" customWidth="1"/>
    <col min="6921" max="6921" width="12.4285714285714" style="356" customWidth="1"/>
    <col min="6922" max="6922" width="51.2857142857143" style="356" customWidth="1"/>
    <col min="6923" max="6923" width="14.8571428571429" style="356" customWidth="1"/>
    <col min="6924" max="6924" width="25" style="356" customWidth="1"/>
    <col min="6925" max="6926" width="12.2857142857143" style="356" customWidth="1"/>
    <col min="6927" max="6927" width="24.7142857142857" style="356" customWidth="1"/>
    <col min="6928" max="6928" width="15" style="356" customWidth="1"/>
    <col min="6929" max="7173" width="9.14285714285714" style="356"/>
    <col min="7174" max="7174" width="6.42857142857143" style="356" customWidth="1"/>
    <col min="7175" max="7175" width="32" style="356" customWidth="1"/>
    <col min="7176" max="7176" width="14.5714285714286" style="356" customWidth="1"/>
    <col min="7177" max="7177" width="12.4285714285714" style="356" customWidth="1"/>
    <col min="7178" max="7178" width="51.2857142857143" style="356" customWidth="1"/>
    <col min="7179" max="7179" width="14.8571428571429" style="356" customWidth="1"/>
    <col min="7180" max="7180" width="25" style="356" customWidth="1"/>
    <col min="7181" max="7182" width="12.2857142857143" style="356" customWidth="1"/>
    <col min="7183" max="7183" width="24.7142857142857" style="356" customWidth="1"/>
    <col min="7184" max="7184" width="15" style="356" customWidth="1"/>
    <col min="7185" max="7429" width="9.14285714285714" style="356"/>
    <col min="7430" max="7430" width="6.42857142857143" style="356" customWidth="1"/>
    <col min="7431" max="7431" width="32" style="356" customWidth="1"/>
    <col min="7432" max="7432" width="14.5714285714286" style="356" customWidth="1"/>
    <col min="7433" max="7433" width="12.4285714285714" style="356" customWidth="1"/>
    <col min="7434" max="7434" width="51.2857142857143" style="356" customWidth="1"/>
    <col min="7435" max="7435" width="14.8571428571429" style="356" customWidth="1"/>
    <col min="7436" max="7436" width="25" style="356" customWidth="1"/>
    <col min="7437" max="7438" width="12.2857142857143" style="356" customWidth="1"/>
    <col min="7439" max="7439" width="24.7142857142857" style="356" customWidth="1"/>
    <col min="7440" max="7440" width="15" style="356" customWidth="1"/>
    <col min="7441" max="7685" width="9.14285714285714" style="356"/>
    <col min="7686" max="7686" width="6.42857142857143" style="356" customWidth="1"/>
    <col min="7687" max="7687" width="32" style="356" customWidth="1"/>
    <col min="7688" max="7688" width="14.5714285714286" style="356" customWidth="1"/>
    <col min="7689" max="7689" width="12.4285714285714" style="356" customWidth="1"/>
    <col min="7690" max="7690" width="51.2857142857143" style="356" customWidth="1"/>
    <col min="7691" max="7691" width="14.8571428571429" style="356" customWidth="1"/>
    <col min="7692" max="7692" width="25" style="356" customWidth="1"/>
    <col min="7693" max="7694" width="12.2857142857143" style="356" customWidth="1"/>
    <col min="7695" max="7695" width="24.7142857142857" style="356" customWidth="1"/>
    <col min="7696" max="7696" width="15" style="356" customWidth="1"/>
    <col min="7697" max="7941" width="9.14285714285714" style="356"/>
    <col min="7942" max="7942" width="6.42857142857143" style="356" customWidth="1"/>
    <col min="7943" max="7943" width="32" style="356" customWidth="1"/>
    <col min="7944" max="7944" width="14.5714285714286" style="356" customWidth="1"/>
    <col min="7945" max="7945" width="12.4285714285714" style="356" customWidth="1"/>
    <col min="7946" max="7946" width="51.2857142857143" style="356" customWidth="1"/>
    <col min="7947" max="7947" width="14.8571428571429" style="356" customWidth="1"/>
    <col min="7948" max="7948" width="25" style="356" customWidth="1"/>
    <col min="7949" max="7950" width="12.2857142857143" style="356" customWidth="1"/>
    <col min="7951" max="7951" width="24.7142857142857" style="356" customWidth="1"/>
    <col min="7952" max="7952" width="15" style="356" customWidth="1"/>
    <col min="7953" max="8197" width="9.14285714285714" style="356"/>
    <col min="8198" max="8198" width="6.42857142857143" style="356" customWidth="1"/>
    <col min="8199" max="8199" width="32" style="356" customWidth="1"/>
    <col min="8200" max="8200" width="14.5714285714286" style="356" customWidth="1"/>
    <col min="8201" max="8201" width="12.4285714285714" style="356" customWidth="1"/>
    <col min="8202" max="8202" width="51.2857142857143" style="356" customWidth="1"/>
    <col min="8203" max="8203" width="14.8571428571429" style="356" customWidth="1"/>
    <col min="8204" max="8204" width="25" style="356" customWidth="1"/>
    <col min="8205" max="8206" width="12.2857142857143" style="356" customWidth="1"/>
    <col min="8207" max="8207" width="24.7142857142857" style="356" customWidth="1"/>
    <col min="8208" max="8208" width="15" style="356" customWidth="1"/>
    <col min="8209" max="8453" width="9.14285714285714" style="356"/>
    <col min="8454" max="8454" width="6.42857142857143" style="356" customWidth="1"/>
    <col min="8455" max="8455" width="32" style="356" customWidth="1"/>
    <col min="8456" max="8456" width="14.5714285714286" style="356" customWidth="1"/>
    <col min="8457" max="8457" width="12.4285714285714" style="356" customWidth="1"/>
    <col min="8458" max="8458" width="51.2857142857143" style="356" customWidth="1"/>
    <col min="8459" max="8459" width="14.8571428571429" style="356" customWidth="1"/>
    <col min="8460" max="8460" width="25" style="356" customWidth="1"/>
    <col min="8461" max="8462" width="12.2857142857143" style="356" customWidth="1"/>
    <col min="8463" max="8463" width="24.7142857142857" style="356" customWidth="1"/>
    <col min="8464" max="8464" width="15" style="356" customWidth="1"/>
    <col min="8465" max="8709" width="9.14285714285714" style="356"/>
    <col min="8710" max="8710" width="6.42857142857143" style="356" customWidth="1"/>
    <col min="8711" max="8711" width="32" style="356" customWidth="1"/>
    <col min="8712" max="8712" width="14.5714285714286" style="356" customWidth="1"/>
    <col min="8713" max="8713" width="12.4285714285714" style="356" customWidth="1"/>
    <col min="8714" max="8714" width="51.2857142857143" style="356" customWidth="1"/>
    <col min="8715" max="8715" width="14.8571428571429" style="356" customWidth="1"/>
    <col min="8716" max="8716" width="25" style="356" customWidth="1"/>
    <col min="8717" max="8718" width="12.2857142857143" style="356" customWidth="1"/>
    <col min="8719" max="8719" width="24.7142857142857" style="356" customWidth="1"/>
    <col min="8720" max="8720" width="15" style="356" customWidth="1"/>
    <col min="8721" max="8965" width="9.14285714285714" style="356"/>
    <col min="8966" max="8966" width="6.42857142857143" style="356" customWidth="1"/>
    <col min="8967" max="8967" width="32" style="356" customWidth="1"/>
    <col min="8968" max="8968" width="14.5714285714286" style="356" customWidth="1"/>
    <col min="8969" max="8969" width="12.4285714285714" style="356" customWidth="1"/>
    <col min="8970" max="8970" width="51.2857142857143" style="356" customWidth="1"/>
    <col min="8971" max="8971" width="14.8571428571429" style="356" customWidth="1"/>
    <col min="8972" max="8972" width="25" style="356" customWidth="1"/>
    <col min="8973" max="8974" width="12.2857142857143" style="356" customWidth="1"/>
    <col min="8975" max="8975" width="24.7142857142857" style="356" customWidth="1"/>
    <col min="8976" max="8976" width="15" style="356" customWidth="1"/>
    <col min="8977" max="9221" width="9.14285714285714" style="356"/>
    <col min="9222" max="9222" width="6.42857142857143" style="356" customWidth="1"/>
    <col min="9223" max="9223" width="32" style="356" customWidth="1"/>
    <col min="9224" max="9224" width="14.5714285714286" style="356" customWidth="1"/>
    <col min="9225" max="9225" width="12.4285714285714" style="356" customWidth="1"/>
    <col min="9226" max="9226" width="51.2857142857143" style="356" customWidth="1"/>
    <col min="9227" max="9227" width="14.8571428571429" style="356" customWidth="1"/>
    <col min="9228" max="9228" width="25" style="356" customWidth="1"/>
    <col min="9229" max="9230" width="12.2857142857143" style="356" customWidth="1"/>
    <col min="9231" max="9231" width="24.7142857142857" style="356" customWidth="1"/>
    <col min="9232" max="9232" width="15" style="356" customWidth="1"/>
    <col min="9233" max="9477" width="9.14285714285714" style="356"/>
    <col min="9478" max="9478" width="6.42857142857143" style="356" customWidth="1"/>
    <col min="9479" max="9479" width="32" style="356" customWidth="1"/>
    <col min="9480" max="9480" width="14.5714285714286" style="356" customWidth="1"/>
    <col min="9481" max="9481" width="12.4285714285714" style="356" customWidth="1"/>
    <col min="9482" max="9482" width="51.2857142857143" style="356" customWidth="1"/>
    <col min="9483" max="9483" width="14.8571428571429" style="356" customWidth="1"/>
    <col min="9484" max="9484" width="25" style="356" customWidth="1"/>
    <col min="9485" max="9486" width="12.2857142857143" style="356" customWidth="1"/>
    <col min="9487" max="9487" width="24.7142857142857" style="356" customWidth="1"/>
    <col min="9488" max="9488" width="15" style="356" customWidth="1"/>
    <col min="9489" max="9733" width="9.14285714285714" style="356"/>
    <col min="9734" max="9734" width="6.42857142857143" style="356" customWidth="1"/>
    <col min="9735" max="9735" width="32" style="356" customWidth="1"/>
    <col min="9736" max="9736" width="14.5714285714286" style="356" customWidth="1"/>
    <col min="9737" max="9737" width="12.4285714285714" style="356" customWidth="1"/>
    <col min="9738" max="9738" width="51.2857142857143" style="356" customWidth="1"/>
    <col min="9739" max="9739" width="14.8571428571429" style="356" customWidth="1"/>
    <col min="9740" max="9740" width="25" style="356" customWidth="1"/>
    <col min="9741" max="9742" width="12.2857142857143" style="356" customWidth="1"/>
    <col min="9743" max="9743" width="24.7142857142857" style="356" customWidth="1"/>
    <col min="9744" max="9744" width="15" style="356" customWidth="1"/>
    <col min="9745" max="9989" width="9.14285714285714" style="356"/>
    <col min="9990" max="9990" width="6.42857142857143" style="356" customWidth="1"/>
    <col min="9991" max="9991" width="32" style="356" customWidth="1"/>
    <col min="9992" max="9992" width="14.5714285714286" style="356" customWidth="1"/>
    <col min="9993" max="9993" width="12.4285714285714" style="356" customWidth="1"/>
    <col min="9994" max="9994" width="51.2857142857143" style="356" customWidth="1"/>
    <col min="9995" max="9995" width="14.8571428571429" style="356" customWidth="1"/>
    <col min="9996" max="9996" width="25" style="356" customWidth="1"/>
    <col min="9997" max="9998" width="12.2857142857143" style="356" customWidth="1"/>
    <col min="9999" max="9999" width="24.7142857142857" style="356" customWidth="1"/>
    <col min="10000" max="10000" width="15" style="356" customWidth="1"/>
    <col min="10001" max="10245" width="9.14285714285714" style="356"/>
    <col min="10246" max="10246" width="6.42857142857143" style="356" customWidth="1"/>
    <col min="10247" max="10247" width="32" style="356" customWidth="1"/>
    <col min="10248" max="10248" width="14.5714285714286" style="356" customWidth="1"/>
    <col min="10249" max="10249" width="12.4285714285714" style="356" customWidth="1"/>
    <col min="10250" max="10250" width="51.2857142857143" style="356" customWidth="1"/>
    <col min="10251" max="10251" width="14.8571428571429" style="356" customWidth="1"/>
    <col min="10252" max="10252" width="25" style="356" customWidth="1"/>
    <col min="10253" max="10254" width="12.2857142857143" style="356" customWidth="1"/>
    <col min="10255" max="10255" width="24.7142857142857" style="356" customWidth="1"/>
    <col min="10256" max="10256" width="15" style="356" customWidth="1"/>
    <col min="10257" max="10501" width="9.14285714285714" style="356"/>
    <col min="10502" max="10502" width="6.42857142857143" style="356" customWidth="1"/>
    <col min="10503" max="10503" width="32" style="356" customWidth="1"/>
    <col min="10504" max="10504" width="14.5714285714286" style="356" customWidth="1"/>
    <col min="10505" max="10505" width="12.4285714285714" style="356" customWidth="1"/>
    <col min="10506" max="10506" width="51.2857142857143" style="356" customWidth="1"/>
    <col min="10507" max="10507" width="14.8571428571429" style="356" customWidth="1"/>
    <col min="10508" max="10508" width="25" style="356" customWidth="1"/>
    <col min="10509" max="10510" width="12.2857142857143" style="356" customWidth="1"/>
    <col min="10511" max="10511" width="24.7142857142857" style="356" customWidth="1"/>
    <col min="10512" max="10512" width="15" style="356" customWidth="1"/>
    <col min="10513" max="10757" width="9.14285714285714" style="356"/>
    <col min="10758" max="10758" width="6.42857142857143" style="356" customWidth="1"/>
    <col min="10759" max="10759" width="32" style="356" customWidth="1"/>
    <col min="10760" max="10760" width="14.5714285714286" style="356" customWidth="1"/>
    <col min="10761" max="10761" width="12.4285714285714" style="356" customWidth="1"/>
    <col min="10762" max="10762" width="51.2857142857143" style="356" customWidth="1"/>
    <col min="10763" max="10763" width="14.8571428571429" style="356" customWidth="1"/>
    <col min="10764" max="10764" width="25" style="356" customWidth="1"/>
    <col min="10765" max="10766" width="12.2857142857143" style="356" customWidth="1"/>
    <col min="10767" max="10767" width="24.7142857142857" style="356" customWidth="1"/>
    <col min="10768" max="10768" width="15" style="356" customWidth="1"/>
    <col min="10769" max="11013" width="9.14285714285714" style="356"/>
    <col min="11014" max="11014" width="6.42857142857143" style="356" customWidth="1"/>
    <col min="11015" max="11015" width="32" style="356" customWidth="1"/>
    <col min="11016" max="11016" width="14.5714285714286" style="356" customWidth="1"/>
    <col min="11017" max="11017" width="12.4285714285714" style="356" customWidth="1"/>
    <col min="11018" max="11018" width="51.2857142857143" style="356" customWidth="1"/>
    <col min="11019" max="11019" width="14.8571428571429" style="356" customWidth="1"/>
    <col min="11020" max="11020" width="25" style="356" customWidth="1"/>
    <col min="11021" max="11022" width="12.2857142857143" style="356" customWidth="1"/>
    <col min="11023" max="11023" width="24.7142857142857" style="356" customWidth="1"/>
    <col min="11024" max="11024" width="15" style="356" customWidth="1"/>
    <col min="11025" max="11269" width="9.14285714285714" style="356"/>
    <col min="11270" max="11270" width="6.42857142857143" style="356" customWidth="1"/>
    <col min="11271" max="11271" width="32" style="356" customWidth="1"/>
    <col min="11272" max="11272" width="14.5714285714286" style="356" customWidth="1"/>
    <col min="11273" max="11273" width="12.4285714285714" style="356" customWidth="1"/>
    <col min="11274" max="11274" width="51.2857142857143" style="356" customWidth="1"/>
    <col min="11275" max="11275" width="14.8571428571429" style="356" customWidth="1"/>
    <col min="11276" max="11276" width="25" style="356" customWidth="1"/>
    <col min="11277" max="11278" width="12.2857142857143" style="356" customWidth="1"/>
    <col min="11279" max="11279" width="24.7142857142857" style="356" customWidth="1"/>
    <col min="11280" max="11280" width="15" style="356" customWidth="1"/>
    <col min="11281" max="11525" width="9.14285714285714" style="356"/>
    <col min="11526" max="11526" width="6.42857142857143" style="356" customWidth="1"/>
    <col min="11527" max="11527" width="32" style="356" customWidth="1"/>
    <col min="11528" max="11528" width="14.5714285714286" style="356" customWidth="1"/>
    <col min="11529" max="11529" width="12.4285714285714" style="356" customWidth="1"/>
    <col min="11530" max="11530" width="51.2857142857143" style="356" customWidth="1"/>
    <col min="11531" max="11531" width="14.8571428571429" style="356" customWidth="1"/>
    <col min="11532" max="11532" width="25" style="356" customWidth="1"/>
    <col min="11533" max="11534" width="12.2857142857143" style="356" customWidth="1"/>
    <col min="11535" max="11535" width="24.7142857142857" style="356" customWidth="1"/>
    <col min="11536" max="11536" width="15" style="356" customWidth="1"/>
    <col min="11537" max="11781" width="9.14285714285714" style="356"/>
    <col min="11782" max="11782" width="6.42857142857143" style="356" customWidth="1"/>
    <col min="11783" max="11783" width="32" style="356" customWidth="1"/>
    <col min="11784" max="11784" width="14.5714285714286" style="356" customWidth="1"/>
    <col min="11785" max="11785" width="12.4285714285714" style="356" customWidth="1"/>
    <col min="11786" max="11786" width="51.2857142857143" style="356" customWidth="1"/>
    <col min="11787" max="11787" width="14.8571428571429" style="356" customWidth="1"/>
    <col min="11788" max="11788" width="25" style="356" customWidth="1"/>
    <col min="11789" max="11790" width="12.2857142857143" style="356" customWidth="1"/>
    <col min="11791" max="11791" width="24.7142857142857" style="356" customWidth="1"/>
    <col min="11792" max="11792" width="15" style="356" customWidth="1"/>
    <col min="11793" max="12037" width="9.14285714285714" style="356"/>
    <col min="12038" max="12038" width="6.42857142857143" style="356" customWidth="1"/>
    <col min="12039" max="12039" width="32" style="356" customWidth="1"/>
    <col min="12040" max="12040" width="14.5714285714286" style="356" customWidth="1"/>
    <col min="12041" max="12041" width="12.4285714285714" style="356" customWidth="1"/>
    <col min="12042" max="12042" width="51.2857142857143" style="356" customWidth="1"/>
    <col min="12043" max="12043" width="14.8571428571429" style="356" customWidth="1"/>
    <col min="12044" max="12044" width="25" style="356" customWidth="1"/>
    <col min="12045" max="12046" width="12.2857142857143" style="356" customWidth="1"/>
    <col min="12047" max="12047" width="24.7142857142857" style="356" customWidth="1"/>
    <col min="12048" max="12048" width="15" style="356" customWidth="1"/>
    <col min="12049" max="12293" width="9.14285714285714" style="356"/>
    <col min="12294" max="12294" width="6.42857142857143" style="356" customWidth="1"/>
    <col min="12295" max="12295" width="32" style="356" customWidth="1"/>
    <col min="12296" max="12296" width="14.5714285714286" style="356" customWidth="1"/>
    <col min="12297" max="12297" width="12.4285714285714" style="356" customWidth="1"/>
    <col min="12298" max="12298" width="51.2857142857143" style="356" customWidth="1"/>
    <col min="12299" max="12299" width="14.8571428571429" style="356" customWidth="1"/>
    <col min="12300" max="12300" width="25" style="356" customWidth="1"/>
    <col min="12301" max="12302" width="12.2857142857143" style="356" customWidth="1"/>
    <col min="12303" max="12303" width="24.7142857142857" style="356" customWidth="1"/>
    <col min="12304" max="12304" width="15" style="356" customWidth="1"/>
    <col min="12305" max="12549" width="9.14285714285714" style="356"/>
    <col min="12550" max="12550" width="6.42857142857143" style="356" customWidth="1"/>
    <col min="12551" max="12551" width="32" style="356" customWidth="1"/>
    <col min="12552" max="12552" width="14.5714285714286" style="356" customWidth="1"/>
    <col min="12553" max="12553" width="12.4285714285714" style="356" customWidth="1"/>
    <col min="12554" max="12554" width="51.2857142857143" style="356" customWidth="1"/>
    <col min="12555" max="12555" width="14.8571428571429" style="356" customWidth="1"/>
    <col min="12556" max="12556" width="25" style="356" customWidth="1"/>
    <col min="12557" max="12558" width="12.2857142857143" style="356" customWidth="1"/>
    <col min="12559" max="12559" width="24.7142857142857" style="356" customWidth="1"/>
    <col min="12560" max="12560" width="15" style="356" customWidth="1"/>
    <col min="12561" max="12805" width="9.14285714285714" style="356"/>
    <col min="12806" max="12806" width="6.42857142857143" style="356" customWidth="1"/>
    <col min="12807" max="12807" width="32" style="356" customWidth="1"/>
    <col min="12808" max="12808" width="14.5714285714286" style="356" customWidth="1"/>
    <col min="12809" max="12809" width="12.4285714285714" style="356" customWidth="1"/>
    <col min="12810" max="12810" width="51.2857142857143" style="356" customWidth="1"/>
    <col min="12811" max="12811" width="14.8571428571429" style="356" customWidth="1"/>
    <col min="12812" max="12812" width="25" style="356" customWidth="1"/>
    <col min="12813" max="12814" width="12.2857142857143" style="356" customWidth="1"/>
    <col min="12815" max="12815" width="24.7142857142857" style="356" customWidth="1"/>
    <col min="12816" max="12816" width="15" style="356" customWidth="1"/>
    <col min="12817" max="13061" width="9.14285714285714" style="356"/>
    <col min="13062" max="13062" width="6.42857142857143" style="356" customWidth="1"/>
    <col min="13063" max="13063" width="32" style="356" customWidth="1"/>
    <col min="13064" max="13064" width="14.5714285714286" style="356" customWidth="1"/>
    <col min="13065" max="13065" width="12.4285714285714" style="356" customWidth="1"/>
    <col min="13066" max="13066" width="51.2857142857143" style="356" customWidth="1"/>
    <col min="13067" max="13067" width="14.8571428571429" style="356" customWidth="1"/>
    <col min="13068" max="13068" width="25" style="356" customWidth="1"/>
    <col min="13069" max="13070" width="12.2857142857143" style="356" customWidth="1"/>
    <col min="13071" max="13071" width="24.7142857142857" style="356" customWidth="1"/>
    <col min="13072" max="13072" width="15" style="356" customWidth="1"/>
    <col min="13073" max="13317" width="9.14285714285714" style="356"/>
    <col min="13318" max="13318" width="6.42857142857143" style="356" customWidth="1"/>
    <col min="13319" max="13319" width="32" style="356" customWidth="1"/>
    <col min="13320" max="13320" width="14.5714285714286" style="356" customWidth="1"/>
    <col min="13321" max="13321" width="12.4285714285714" style="356" customWidth="1"/>
    <col min="13322" max="13322" width="51.2857142857143" style="356" customWidth="1"/>
    <col min="13323" max="13323" width="14.8571428571429" style="356" customWidth="1"/>
    <col min="13324" max="13324" width="25" style="356" customWidth="1"/>
    <col min="13325" max="13326" width="12.2857142857143" style="356" customWidth="1"/>
    <col min="13327" max="13327" width="24.7142857142857" style="356" customWidth="1"/>
    <col min="13328" max="13328" width="15" style="356" customWidth="1"/>
    <col min="13329" max="13573" width="9.14285714285714" style="356"/>
    <col min="13574" max="13574" width="6.42857142857143" style="356" customWidth="1"/>
    <col min="13575" max="13575" width="32" style="356" customWidth="1"/>
    <col min="13576" max="13576" width="14.5714285714286" style="356" customWidth="1"/>
    <col min="13577" max="13577" width="12.4285714285714" style="356" customWidth="1"/>
    <col min="13578" max="13578" width="51.2857142857143" style="356" customWidth="1"/>
    <col min="13579" max="13579" width="14.8571428571429" style="356" customWidth="1"/>
    <col min="13580" max="13580" width="25" style="356" customWidth="1"/>
    <col min="13581" max="13582" width="12.2857142857143" style="356" customWidth="1"/>
    <col min="13583" max="13583" width="24.7142857142857" style="356" customWidth="1"/>
    <col min="13584" max="13584" width="15" style="356" customWidth="1"/>
    <col min="13585" max="13829" width="9.14285714285714" style="356"/>
    <col min="13830" max="13830" width="6.42857142857143" style="356" customWidth="1"/>
    <col min="13831" max="13831" width="32" style="356" customWidth="1"/>
    <col min="13832" max="13832" width="14.5714285714286" style="356" customWidth="1"/>
    <col min="13833" max="13833" width="12.4285714285714" style="356" customWidth="1"/>
    <col min="13834" max="13834" width="51.2857142857143" style="356" customWidth="1"/>
    <col min="13835" max="13835" width="14.8571428571429" style="356" customWidth="1"/>
    <col min="13836" max="13836" width="25" style="356" customWidth="1"/>
    <col min="13837" max="13838" width="12.2857142857143" style="356" customWidth="1"/>
    <col min="13839" max="13839" width="24.7142857142857" style="356" customWidth="1"/>
    <col min="13840" max="13840" width="15" style="356" customWidth="1"/>
    <col min="13841" max="14085" width="9.14285714285714" style="356"/>
    <col min="14086" max="14086" width="6.42857142857143" style="356" customWidth="1"/>
    <col min="14087" max="14087" width="32" style="356" customWidth="1"/>
    <col min="14088" max="14088" width="14.5714285714286" style="356" customWidth="1"/>
    <col min="14089" max="14089" width="12.4285714285714" style="356" customWidth="1"/>
    <col min="14090" max="14090" width="51.2857142857143" style="356" customWidth="1"/>
    <col min="14091" max="14091" width="14.8571428571429" style="356" customWidth="1"/>
    <col min="14092" max="14092" width="25" style="356" customWidth="1"/>
    <col min="14093" max="14094" width="12.2857142857143" style="356" customWidth="1"/>
    <col min="14095" max="14095" width="24.7142857142857" style="356" customWidth="1"/>
    <col min="14096" max="14096" width="15" style="356" customWidth="1"/>
    <col min="14097" max="14341" width="9.14285714285714" style="356"/>
    <col min="14342" max="14342" width="6.42857142857143" style="356" customWidth="1"/>
    <col min="14343" max="14343" width="32" style="356" customWidth="1"/>
    <col min="14344" max="14344" width="14.5714285714286" style="356" customWidth="1"/>
    <col min="14345" max="14345" width="12.4285714285714" style="356" customWidth="1"/>
    <col min="14346" max="14346" width="51.2857142857143" style="356" customWidth="1"/>
    <col min="14347" max="14347" width="14.8571428571429" style="356" customWidth="1"/>
    <col min="14348" max="14348" width="25" style="356" customWidth="1"/>
    <col min="14349" max="14350" width="12.2857142857143" style="356" customWidth="1"/>
    <col min="14351" max="14351" width="24.7142857142857" style="356" customWidth="1"/>
    <col min="14352" max="14352" width="15" style="356" customWidth="1"/>
    <col min="14353" max="14597" width="9.14285714285714" style="356"/>
    <col min="14598" max="14598" width="6.42857142857143" style="356" customWidth="1"/>
    <col min="14599" max="14599" width="32" style="356" customWidth="1"/>
    <col min="14600" max="14600" width="14.5714285714286" style="356" customWidth="1"/>
    <col min="14601" max="14601" width="12.4285714285714" style="356" customWidth="1"/>
    <col min="14602" max="14602" width="51.2857142857143" style="356" customWidth="1"/>
    <col min="14603" max="14603" width="14.8571428571429" style="356" customWidth="1"/>
    <col min="14604" max="14604" width="25" style="356" customWidth="1"/>
    <col min="14605" max="14606" width="12.2857142857143" style="356" customWidth="1"/>
    <col min="14607" max="14607" width="24.7142857142857" style="356" customWidth="1"/>
    <col min="14608" max="14608" width="15" style="356" customWidth="1"/>
    <col min="14609" max="14853" width="9.14285714285714" style="356"/>
    <col min="14854" max="14854" width="6.42857142857143" style="356" customWidth="1"/>
    <col min="14855" max="14855" width="32" style="356" customWidth="1"/>
    <col min="14856" max="14856" width="14.5714285714286" style="356" customWidth="1"/>
    <col min="14857" max="14857" width="12.4285714285714" style="356" customWidth="1"/>
    <col min="14858" max="14858" width="51.2857142857143" style="356" customWidth="1"/>
    <col min="14859" max="14859" width="14.8571428571429" style="356" customWidth="1"/>
    <col min="14860" max="14860" width="25" style="356" customWidth="1"/>
    <col min="14861" max="14862" width="12.2857142857143" style="356" customWidth="1"/>
    <col min="14863" max="14863" width="24.7142857142857" style="356" customWidth="1"/>
    <col min="14864" max="14864" width="15" style="356" customWidth="1"/>
    <col min="14865" max="15109" width="9.14285714285714" style="356"/>
    <col min="15110" max="15110" width="6.42857142857143" style="356" customWidth="1"/>
    <col min="15111" max="15111" width="32" style="356" customWidth="1"/>
    <col min="15112" max="15112" width="14.5714285714286" style="356" customWidth="1"/>
    <col min="15113" max="15113" width="12.4285714285714" style="356" customWidth="1"/>
    <col min="15114" max="15114" width="51.2857142857143" style="356" customWidth="1"/>
    <col min="15115" max="15115" width="14.8571428571429" style="356" customWidth="1"/>
    <col min="15116" max="15116" width="25" style="356" customWidth="1"/>
    <col min="15117" max="15118" width="12.2857142857143" style="356" customWidth="1"/>
    <col min="15119" max="15119" width="24.7142857142857" style="356" customWidth="1"/>
    <col min="15120" max="15120" width="15" style="356" customWidth="1"/>
    <col min="15121" max="15365" width="9.14285714285714" style="356"/>
    <col min="15366" max="15366" width="6.42857142857143" style="356" customWidth="1"/>
    <col min="15367" max="15367" width="32" style="356" customWidth="1"/>
    <col min="15368" max="15368" width="14.5714285714286" style="356" customWidth="1"/>
    <col min="15369" max="15369" width="12.4285714285714" style="356" customWidth="1"/>
    <col min="15370" max="15370" width="51.2857142857143" style="356" customWidth="1"/>
    <col min="15371" max="15371" width="14.8571428571429" style="356" customWidth="1"/>
    <col min="15372" max="15372" width="25" style="356" customWidth="1"/>
    <col min="15373" max="15374" width="12.2857142857143" style="356" customWidth="1"/>
    <col min="15375" max="15375" width="24.7142857142857" style="356" customWidth="1"/>
    <col min="15376" max="15376" width="15" style="356" customWidth="1"/>
    <col min="15377" max="15621" width="9.14285714285714" style="356"/>
    <col min="15622" max="15622" width="6.42857142857143" style="356" customWidth="1"/>
    <col min="15623" max="15623" width="32" style="356" customWidth="1"/>
    <col min="15624" max="15624" width="14.5714285714286" style="356" customWidth="1"/>
    <col min="15625" max="15625" width="12.4285714285714" style="356" customWidth="1"/>
    <col min="15626" max="15626" width="51.2857142857143" style="356" customWidth="1"/>
    <col min="15627" max="15627" width="14.8571428571429" style="356" customWidth="1"/>
    <col min="15628" max="15628" width="25" style="356" customWidth="1"/>
    <col min="15629" max="15630" width="12.2857142857143" style="356" customWidth="1"/>
    <col min="15631" max="15631" width="24.7142857142857" style="356" customWidth="1"/>
    <col min="15632" max="15632" width="15" style="356" customWidth="1"/>
    <col min="15633" max="15877" width="9.14285714285714" style="356"/>
    <col min="15878" max="15878" width="6.42857142857143" style="356" customWidth="1"/>
    <col min="15879" max="15879" width="32" style="356" customWidth="1"/>
    <col min="15880" max="15880" width="14.5714285714286" style="356" customWidth="1"/>
    <col min="15881" max="15881" width="12.4285714285714" style="356" customWidth="1"/>
    <col min="15882" max="15882" width="51.2857142857143" style="356" customWidth="1"/>
    <col min="15883" max="15883" width="14.8571428571429" style="356" customWidth="1"/>
    <col min="15884" max="15884" width="25" style="356" customWidth="1"/>
    <col min="15885" max="15886" width="12.2857142857143" style="356" customWidth="1"/>
    <col min="15887" max="15887" width="24.7142857142857" style="356" customWidth="1"/>
    <col min="15888" max="15888" width="15" style="356" customWidth="1"/>
    <col min="15889" max="16133" width="9.14285714285714" style="356"/>
    <col min="16134" max="16134" width="6.42857142857143" style="356" customWidth="1"/>
    <col min="16135" max="16135" width="32" style="356" customWidth="1"/>
    <col min="16136" max="16136" width="14.5714285714286" style="356" customWidth="1"/>
    <col min="16137" max="16137" width="12.4285714285714" style="356" customWidth="1"/>
    <col min="16138" max="16138" width="51.2857142857143" style="356" customWidth="1"/>
    <col min="16139" max="16139" width="14.8571428571429" style="356" customWidth="1"/>
    <col min="16140" max="16140" width="25" style="356" customWidth="1"/>
    <col min="16141" max="16142" width="12.2857142857143" style="356" customWidth="1"/>
    <col min="16143" max="16143" width="24.7142857142857" style="356" customWidth="1"/>
    <col min="16144" max="16144" width="15" style="356" customWidth="1"/>
    <col min="16145" max="16384" width="9.14285714285714" style="356"/>
  </cols>
  <sheetData>
    <row r="1" spans="1:12">
      <c r="A1" s="361" t="s">
        <v>152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</row>
    <row r="2" spans="1:12">
      <c r="A2" s="361" t="s">
        <v>630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</row>
    <row r="3" spans="1:12">
      <c r="A3" s="362" t="str">
        <f>+รายจ่ายจริง!A3:P3</f>
        <v>ตั้งแต่วันที่ 1  ตุลาคม 2564 ถึงวันที่ 30 เมษายน 2565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</row>
    <row r="4" s="352" customFormat="1" ht="23.25" spans="1:16">
      <c r="A4" s="363" t="s">
        <v>155</v>
      </c>
      <c r="B4" s="364" t="s">
        <v>156</v>
      </c>
      <c r="C4" s="364" t="s">
        <v>157</v>
      </c>
      <c r="D4" s="364" t="s">
        <v>158</v>
      </c>
      <c r="E4" s="365" t="s">
        <v>159</v>
      </c>
      <c r="F4" s="364" t="s">
        <v>160</v>
      </c>
      <c r="G4" s="366" t="s">
        <v>161</v>
      </c>
      <c r="H4" s="363" t="s">
        <v>117</v>
      </c>
      <c r="I4" s="363" t="s">
        <v>26</v>
      </c>
      <c r="J4" s="385" t="s">
        <v>162</v>
      </c>
      <c r="K4" s="363" t="s">
        <v>163</v>
      </c>
      <c r="L4" s="386" t="s">
        <v>631</v>
      </c>
      <c r="M4" s="387" t="s">
        <v>632</v>
      </c>
      <c r="N4" s="387" t="s">
        <v>633</v>
      </c>
      <c r="O4" s="387" t="s">
        <v>634</v>
      </c>
      <c r="P4" s="352" t="s">
        <v>635</v>
      </c>
    </row>
    <row r="5" s="352" customFormat="1" ht="23.25" spans="1:15">
      <c r="A5" s="367" t="s">
        <v>105</v>
      </c>
      <c r="B5" s="364"/>
      <c r="C5" s="364"/>
      <c r="D5" s="364"/>
      <c r="E5" s="365"/>
      <c r="F5" s="364"/>
      <c r="G5" s="366"/>
      <c r="H5" s="367"/>
      <c r="I5" s="367" t="s">
        <v>166</v>
      </c>
      <c r="J5" s="388"/>
      <c r="K5" s="367" t="s">
        <v>118</v>
      </c>
      <c r="L5" s="389" t="s">
        <v>636</v>
      </c>
      <c r="M5" s="390"/>
      <c r="N5" s="390"/>
      <c r="O5" s="390"/>
    </row>
    <row r="6" s="353" customFormat="1" ht="38.25" customHeight="1" spans="1:16">
      <c r="A6" s="368">
        <v>1</v>
      </c>
      <c r="B6" s="369" t="s">
        <v>613</v>
      </c>
      <c r="C6" s="368">
        <v>1600699998</v>
      </c>
      <c r="D6" s="368" t="s">
        <v>5</v>
      </c>
      <c r="E6" s="370" t="s">
        <v>637</v>
      </c>
      <c r="F6" s="368">
        <v>7014096956</v>
      </c>
      <c r="G6" s="371" t="s">
        <v>638</v>
      </c>
      <c r="H6" s="372">
        <v>43000</v>
      </c>
      <c r="I6" s="391">
        <v>43000</v>
      </c>
      <c r="J6" s="391">
        <f t="shared" ref="J6:J20" si="0">+H6-I6</f>
        <v>0</v>
      </c>
      <c r="K6" s="392">
        <f t="shared" ref="K6:K44" si="1">+I6*100/H6</f>
        <v>100</v>
      </c>
      <c r="L6" s="393" t="s">
        <v>639</v>
      </c>
      <c r="M6" s="394" t="s">
        <v>640</v>
      </c>
      <c r="N6" s="395" t="s">
        <v>641</v>
      </c>
      <c r="O6" s="395" t="s">
        <v>642</v>
      </c>
      <c r="P6" s="395" t="s">
        <v>643</v>
      </c>
    </row>
    <row r="7" s="353" customFormat="1" ht="38.25" customHeight="1" spans="1:16">
      <c r="A7" s="368">
        <v>2</v>
      </c>
      <c r="B7" s="369" t="s">
        <v>613</v>
      </c>
      <c r="C7" s="368">
        <v>1600699998</v>
      </c>
      <c r="D7" s="368" t="s">
        <v>5</v>
      </c>
      <c r="E7" s="370" t="s">
        <v>644</v>
      </c>
      <c r="F7" s="368">
        <v>7014150012</v>
      </c>
      <c r="G7" s="371" t="s">
        <v>645</v>
      </c>
      <c r="H7" s="372">
        <f>123750*3</f>
        <v>371250</v>
      </c>
      <c r="I7" s="391">
        <v>371250</v>
      </c>
      <c r="J7" s="391">
        <f t="shared" si="0"/>
        <v>0</v>
      </c>
      <c r="K7" s="392">
        <f t="shared" si="1"/>
        <v>100</v>
      </c>
      <c r="L7" s="393" t="s">
        <v>639</v>
      </c>
      <c r="M7" s="394" t="s">
        <v>646</v>
      </c>
      <c r="N7" s="395" t="s">
        <v>647</v>
      </c>
      <c r="O7" s="395" t="s">
        <v>642</v>
      </c>
      <c r="P7" s="395" t="s">
        <v>648</v>
      </c>
    </row>
    <row r="8" s="353" customFormat="1" ht="38.25" customHeight="1" spans="1:16">
      <c r="A8" s="368">
        <v>3</v>
      </c>
      <c r="B8" s="369" t="s">
        <v>613</v>
      </c>
      <c r="C8" s="368">
        <v>1600699998</v>
      </c>
      <c r="D8" s="368" t="s">
        <v>5</v>
      </c>
      <c r="E8" s="370" t="s">
        <v>637</v>
      </c>
      <c r="F8" s="368">
        <v>7014665430</v>
      </c>
      <c r="G8" s="371" t="s">
        <v>638</v>
      </c>
      <c r="H8" s="372">
        <v>41810</v>
      </c>
      <c r="I8" s="391">
        <v>41810</v>
      </c>
      <c r="J8" s="391">
        <f t="shared" si="0"/>
        <v>0</v>
      </c>
      <c r="K8" s="392">
        <f t="shared" si="1"/>
        <v>100</v>
      </c>
      <c r="L8" s="393" t="s">
        <v>639</v>
      </c>
      <c r="M8" s="394" t="s">
        <v>640</v>
      </c>
      <c r="N8" s="395" t="s">
        <v>649</v>
      </c>
      <c r="O8" s="395" t="s">
        <v>642</v>
      </c>
      <c r="P8" s="395" t="s">
        <v>643</v>
      </c>
    </row>
    <row r="9" s="353" customFormat="1" ht="38.25" customHeight="1" spans="1:16">
      <c r="A9" s="368">
        <v>4</v>
      </c>
      <c r="B9" s="369" t="s">
        <v>613</v>
      </c>
      <c r="C9" s="368">
        <v>1600600004</v>
      </c>
      <c r="D9" s="368" t="s">
        <v>5</v>
      </c>
      <c r="E9" s="370" t="s">
        <v>637</v>
      </c>
      <c r="F9" s="368">
        <v>7014789388</v>
      </c>
      <c r="G9" s="371" t="s">
        <v>650</v>
      </c>
      <c r="H9" s="372">
        <v>280730</v>
      </c>
      <c r="I9" s="391">
        <v>280730</v>
      </c>
      <c r="J9" s="391">
        <f t="shared" si="0"/>
        <v>0</v>
      </c>
      <c r="K9" s="392">
        <f t="shared" si="1"/>
        <v>100</v>
      </c>
      <c r="L9" s="393" t="s">
        <v>639</v>
      </c>
      <c r="M9" s="394" t="s">
        <v>651</v>
      </c>
      <c r="N9" s="395" t="s">
        <v>652</v>
      </c>
      <c r="O9" s="395" t="s">
        <v>653</v>
      </c>
      <c r="P9" s="395" t="s">
        <v>654</v>
      </c>
    </row>
    <row r="10" s="353" customFormat="1" ht="38.25" customHeight="1" spans="1:16">
      <c r="A10" s="368">
        <v>5</v>
      </c>
      <c r="B10" s="369" t="s">
        <v>613</v>
      </c>
      <c r="C10" s="368">
        <v>1600600005</v>
      </c>
      <c r="D10" s="368" t="s">
        <v>5</v>
      </c>
      <c r="E10" s="370" t="s">
        <v>637</v>
      </c>
      <c r="F10" s="368">
        <v>7014934640</v>
      </c>
      <c r="G10" s="371" t="s">
        <v>816</v>
      </c>
      <c r="H10" s="372">
        <v>7500</v>
      </c>
      <c r="I10" s="391">
        <v>7500</v>
      </c>
      <c r="J10" s="391">
        <f t="shared" si="0"/>
        <v>0</v>
      </c>
      <c r="K10" s="392">
        <f t="shared" si="1"/>
        <v>100</v>
      </c>
      <c r="L10" s="393" t="s">
        <v>639</v>
      </c>
      <c r="M10" s="394" t="s">
        <v>656</v>
      </c>
      <c r="N10" s="395" t="s">
        <v>657</v>
      </c>
      <c r="O10" s="395" t="s">
        <v>658</v>
      </c>
      <c r="P10" s="395" t="s">
        <v>659</v>
      </c>
    </row>
    <row r="11" s="353" customFormat="1" ht="58.5" customHeight="1" spans="1:16">
      <c r="A11" s="368">
        <v>6</v>
      </c>
      <c r="B11" s="369" t="s">
        <v>613</v>
      </c>
      <c r="C11" s="368">
        <v>1600600006</v>
      </c>
      <c r="D11" s="368" t="s">
        <v>5</v>
      </c>
      <c r="E11" s="370" t="s">
        <v>637</v>
      </c>
      <c r="F11" s="368">
        <v>7015013787</v>
      </c>
      <c r="G11" s="373" t="s">
        <v>660</v>
      </c>
      <c r="H11" s="372">
        <v>799000</v>
      </c>
      <c r="I11" s="391">
        <f>+H11-719100</f>
        <v>79900</v>
      </c>
      <c r="J11" s="396">
        <f t="shared" si="0"/>
        <v>719100</v>
      </c>
      <c r="K11" s="392">
        <f t="shared" si="1"/>
        <v>10</v>
      </c>
      <c r="L11" s="393" t="s">
        <v>922</v>
      </c>
      <c r="M11" s="394" t="s">
        <v>662</v>
      </c>
      <c r="N11" s="395" t="s">
        <v>663</v>
      </c>
      <c r="O11" s="395" t="s">
        <v>664</v>
      </c>
      <c r="P11" s="395" t="s">
        <v>665</v>
      </c>
    </row>
    <row r="12" s="353" customFormat="1" ht="249.75" customHeight="1" spans="1:16">
      <c r="A12" s="368">
        <v>7</v>
      </c>
      <c r="B12" s="369" t="s">
        <v>613</v>
      </c>
      <c r="C12" s="368">
        <v>1600699998</v>
      </c>
      <c r="D12" s="368" t="s">
        <v>5</v>
      </c>
      <c r="E12" s="370" t="s">
        <v>644</v>
      </c>
      <c r="F12" s="368">
        <v>7015636946</v>
      </c>
      <c r="G12" s="371" t="s">
        <v>423</v>
      </c>
      <c r="H12" s="372">
        <v>5505412.65</v>
      </c>
      <c r="I12" s="391">
        <v>3341712.15</v>
      </c>
      <c r="J12" s="396">
        <f t="shared" si="0"/>
        <v>2163700.5</v>
      </c>
      <c r="K12" s="392">
        <f t="shared" si="1"/>
        <v>60.6986680644184</v>
      </c>
      <c r="L12" s="397" t="s">
        <v>923</v>
      </c>
      <c r="M12" s="394" t="s">
        <v>668</v>
      </c>
      <c r="N12" s="395" t="s">
        <v>669</v>
      </c>
      <c r="O12" s="395" t="s">
        <v>670</v>
      </c>
      <c r="P12" s="395" t="s">
        <v>671</v>
      </c>
    </row>
    <row r="13" s="353" customFormat="1" customHeight="1" spans="1:16">
      <c r="A13" s="368">
        <v>8</v>
      </c>
      <c r="B13" s="369" t="s">
        <v>672</v>
      </c>
      <c r="C13" s="368">
        <v>1600600453</v>
      </c>
      <c r="D13" s="368" t="s">
        <v>5</v>
      </c>
      <c r="E13" s="370" t="s">
        <v>644</v>
      </c>
      <c r="F13" s="368">
        <v>7015155496</v>
      </c>
      <c r="G13" s="371" t="s">
        <v>673</v>
      </c>
      <c r="H13" s="372">
        <v>17983</v>
      </c>
      <c r="I13" s="391">
        <v>17983</v>
      </c>
      <c r="J13" s="391">
        <f t="shared" si="0"/>
        <v>0</v>
      </c>
      <c r="K13" s="392">
        <f t="shared" si="1"/>
        <v>100</v>
      </c>
      <c r="L13" s="393" t="s">
        <v>639</v>
      </c>
      <c r="M13" s="394" t="s">
        <v>674</v>
      </c>
      <c r="N13" s="395" t="s">
        <v>675</v>
      </c>
      <c r="O13" s="395" t="s">
        <v>676</v>
      </c>
      <c r="P13" s="395" t="s">
        <v>677</v>
      </c>
    </row>
    <row r="14" s="353" customFormat="1" customHeight="1" spans="1:16">
      <c r="A14" s="368">
        <v>9</v>
      </c>
      <c r="B14" s="369" t="s">
        <v>678</v>
      </c>
      <c r="C14" s="368">
        <v>1600600711</v>
      </c>
      <c r="D14" s="368" t="s">
        <v>5</v>
      </c>
      <c r="E14" s="370" t="s">
        <v>644</v>
      </c>
      <c r="F14" s="368">
        <v>7015264822</v>
      </c>
      <c r="G14" s="374" t="s">
        <v>679</v>
      </c>
      <c r="H14" s="372">
        <v>204000</v>
      </c>
      <c r="I14" s="391">
        <v>204000</v>
      </c>
      <c r="J14" s="391">
        <f t="shared" si="0"/>
        <v>0</v>
      </c>
      <c r="K14" s="392">
        <f t="shared" si="1"/>
        <v>100</v>
      </c>
      <c r="L14" s="393" t="s">
        <v>639</v>
      </c>
      <c r="M14" s="394" t="s">
        <v>680</v>
      </c>
      <c r="N14" s="395" t="s">
        <v>681</v>
      </c>
      <c r="O14" s="395" t="s">
        <v>642</v>
      </c>
      <c r="P14" s="395" t="s">
        <v>682</v>
      </c>
    </row>
    <row r="15" s="353" customFormat="1" customHeight="1" spans="1:16">
      <c r="A15" s="368">
        <v>10</v>
      </c>
      <c r="B15" s="369" t="s">
        <v>678</v>
      </c>
      <c r="C15" s="368">
        <v>1600600711</v>
      </c>
      <c r="D15" s="368" t="s">
        <v>5</v>
      </c>
      <c r="E15" s="370" t="s">
        <v>644</v>
      </c>
      <c r="F15" s="368">
        <v>7015272951</v>
      </c>
      <c r="G15" s="374" t="s">
        <v>683</v>
      </c>
      <c r="H15" s="372">
        <v>154404.6</v>
      </c>
      <c r="I15" s="391">
        <v>154404.6</v>
      </c>
      <c r="J15" s="391">
        <f t="shared" si="0"/>
        <v>0</v>
      </c>
      <c r="K15" s="392">
        <f t="shared" si="1"/>
        <v>100</v>
      </c>
      <c r="L15" s="393" t="s">
        <v>639</v>
      </c>
      <c r="M15" s="394" t="s">
        <v>684</v>
      </c>
      <c r="N15" s="395" t="s">
        <v>669</v>
      </c>
      <c r="O15" s="395" t="s">
        <v>642</v>
      </c>
      <c r="P15" s="395" t="s">
        <v>685</v>
      </c>
    </row>
    <row r="16" s="353" customFormat="1" customHeight="1" spans="1:16">
      <c r="A16" s="368">
        <v>11</v>
      </c>
      <c r="B16" s="369" t="s">
        <v>613</v>
      </c>
      <c r="C16" s="368">
        <v>1600600011</v>
      </c>
      <c r="D16" s="368" t="s">
        <v>5</v>
      </c>
      <c r="E16" s="370" t="s">
        <v>637</v>
      </c>
      <c r="F16" s="368">
        <v>7014733954</v>
      </c>
      <c r="G16" s="371" t="s">
        <v>686</v>
      </c>
      <c r="H16" s="372">
        <v>147660</v>
      </c>
      <c r="I16" s="391">
        <v>147660</v>
      </c>
      <c r="J16" s="391">
        <f t="shared" si="0"/>
        <v>0</v>
      </c>
      <c r="K16" s="392">
        <f t="shared" si="1"/>
        <v>100</v>
      </c>
      <c r="L16" s="393" t="s">
        <v>639</v>
      </c>
      <c r="M16" s="394" t="s">
        <v>687</v>
      </c>
      <c r="N16" s="395" t="s">
        <v>688</v>
      </c>
      <c r="O16" s="395" t="s">
        <v>689</v>
      </c>
      <c r="P16" s="395" t="s">
        <v>690</v>
      </c>
    </row>
    <row r="17" s="353" customFormat="1" customHeight="1" spans="1:16">
      <c r="A17" s="368">
        <v>12</v>
      </c>
      <c r="B17" s="369" t="s">
        <v>613</v>
      </c>
      <c r="C17" s="368">
        <v>1600699998</v>
      </c>
      <c r="D17" s="368" t="s">
        <v>5</v>
      </c>
      <c r="E17" s="370" t="s">
        <v>637</v>
      </c>
      <c r="F17" s="368">
        <v>7015254174</v>
      </c>
      <c r="G17" s="371" t="s">
        <v>691</v>
      </c>
      <c r="H17" s="372">
        <v>5700000</v>
      </c>
      <c r="I17" s="391">
        <v>5700000</v>
      </c>
      <c r="J17" s="391">
        <f t="shared" si="0"/>
        <v>0</v>
      </c>
      <c r="K17" s="392">
        <f t="shared" si="1"/>
        <v>100</v>
      </c>
      <c r="L17" s="393" t="s">
        <v>924</v>
      </c>
      <c r="M17" s="394" t="s">
        <v>640</v>
      </c>
      <c r="N17" s="395" t="s">
        <v>692</v>
      </c>
      <c r="O17" s="395" t="s">
        <v>693</v>
      </c>
      <c r="P17" s="395" t="s">
        <v>694</v>
      </c>
    </row>
    <row r="18" s="353" customFormat="1" ht="52.5" spans="1:16">
      <c r="A18" s="368">
        <v>13</v>
      </c>
      <c r="B18" s="369" t="s">
        <v>695</v>
      </c>
      <c r="C18" s="368">
        <v>1600600220</v>
      </c>
      <c r="D18" s="368" t="s">
        <v>5</v>
      </c>
      <c r="E18" s="370" t="s">
        <v>644</v>
      </c>
      <c r="F18" s="368">
        <v>2000459990</v>
      </c>
      <c r="G18" s="371" t="s">
        <v>696</v>
      </c>
      <c r="H18" s="372">
        <v>55800</v>
      </c>
      <c r="I18" s="391">
        <v>0</v>
      </c>
      <c r="J18" s="396">
        <f t="shared" si="0"/>
        <v>55800</v>
      </c>
      <c r="K18" s="392">
        <f t="shared" si="1"/>
        <v>0</v>
      </c>
      <c r="L18" s="398" t="s">
        <v>925</v>
      </c>
      <c r="M18" s="394" t="s">
        <v>698</v>
      </c>
      <c r="N18" s="395" t="s">
        <v>699</v>
      </c>
      <c r="O18" s="395" t="s">
        <v>642</v>
      </c>
      <c r="P18" s="395" t="s">
        <v>700</v>
      </c>
    </row>
    <row r="19" s="353" customFormat="1" ht="23.25" spans="1:16">
      <c r="A19" s="368">
        <v>14</v>
      </c>
      <c r="B19" s="369" t="s">
        <v>613</v>
      </c>
      <c r="C19" s="368">
        <v>1600699998</v>
      </c>
      <c r="D19" s="368" t="s">
        <v>5</v>
      </c>
      <c r="E19" s="370" t="s">
        <v>644</v>
      </c>
      <c r="F19" s="368">
        <v>7014299345</v>
      </c>
      <c r="G19" s="371" t="s">
        <v>442</v>
      </c>
      <c r="H19" s="372">
        <v>141240</v>
      </c>
      <c r="I19" s="391">
        <v>141240</v>
      </c>
      <c r="J19" s="391">
        <f t="shared" si="0"/>
        <v>0</v>
      </c>
      <c r="K19" s="392">
        <f t="shared" si="1"/>
        <v>100</v>
      </c>
      <c r="L19" s="393" t="s">
        <v>639</v>
      </c>
      <c r="M19" s="394" t="s">
        <v>701</v>
      </c>
      <c r="N19" s="395" t="s">
        <v>702</v>
      </c>
      <c r="O19" s="395" t="s">
        <v>703</v>
      </c>
      <c r="P19" s="395" t="s">
        <v>704</v>
      </c>
    </row>
    <row r="20" s="353" customFormat="1" ht="23.25" spans="1:16">
      <c r="A20" s="368">
        <v>15</v>
      </c>
      <c r="B20" s="369" t="s">
        <v>705</v>
      </c>
      <c r="C20" s="368">
        <v>1600600013</v>
      </c>
      <c r="D20" s="368" t="s">
        <v>5</v>
      </c>
      <c r="E20" s="370" t="s">
        <v>644</v>
      </c>
      <c r="F20" s="368">
        <v>7014896495</v>
      </c>
      <c r="G20" s="371" t="s">
        <v>706</v>
      </c>
      <c r="H20" s="372">
        <v>2782</v>
      </c>
      <c r="I20" s="391">
        <v>2782</v>
      </c>
      <c r="J20" s="391">
        <f t="shared" si="0"/>
        <v>0</v>
      </c>
      <c r="K20" s="392">
        <f t="shared" si="1"/>
        <v>100</v>
      </c>
      <c r="L20" s="393" t="s">
        <v>639</v>
      </c>
      <c r="M20" s="394" t="s">
        <v>707</v>
      </c>
      <c r="N20" s="395" t="s">
        <v>708</v>
      </c>
      <c r="O20" s="395" t="s">
        <v>709</v>
      </c>
      <c r="P20" s="395" t="s">
        <v>710</v>
      </c>
    </row>
    <row r="21" s="352" customFormat="1" ht="30" customHeight="1" spans="1:16">
      <c r="A21" s="375" t="s">
        <v>443</v>
      </c>
      <c r="B21" s="376"/>
      <c r="C21" s="376"/>
      <c r="D21" s="376"/>
      <c r="E21" s="376"/>
      <c r="F21" s="376"/>
      <c r="G21" s="377"/>
      <c r="H21" s="378">
        <f>SUM(H6:H20)</f>
        <v>13472572.25</v>
      </c>
      <c r="I21" s="378">
        <f>SUM(I6:I20)</f>
        <v>10533971.75</v>
      </c>
      <c r="J21" s="378">
        <f>SUM(J6:J20)</f>
        <v>2938600.5</v>
      </c>
      <c r="K21" s="392">
        <f t="shared" si="1"/>
        <v>78.1882743289798</v>
      </c>
      <c r="L21" s="393"/>
      <c r="M21" s="399"/>
      <c r="N21" s="400"/>
      <c r="O21" s="400"/>
      <c r="P21" s="400"/>
    </row>
    <row r="22" s="353" customFormat="1" ht="27.75" customHeight="1" spans="1:16">
      <c r="A22" s="368">
        <v>16</v>
      </c>
      <c r="B22" s="369" t="s">
        <v>613</v>
      </c>
      <c r="C22" s="368">
        <v>1600699998</v>
      </c>
      <c r="D22" s="368" t="s">
        <v>6</v>
      </c>
      <c r="E22" s="370" t="s">
        <v>711</v>
      </c>
      <c r="F22" s="368">
        <v>7014716158</v>
      </c>
      <c r="G22" s="371" t="s">
        <v>712</v>
      </c>
      <c r="H22" s="372">
        <v>2274000</v>
      </c>
      <c r="I22" s="391">
        <v>2274000</v>
      </c>
      <c r="J22" s="391">
        <f t="shared" ref="J22:J39" si="2">+H22-I22</f>
        <v>0</v>
      </c>
      <c r="K22" s="392">
        <f t="shared" si="1"/>
        <v>100</v>
      </c>
      <c r="L22" s="393" t="s">
        <v>639</v>
      </c>
      <c r="M22" s="394" t="s">
        <v>713</v>
      </c>
      <c r="N22" s="395" t="s">
        <v>714</v>
      </c>
      <c r="O22" s="395" t="s">
        <v>715</v>
      </c>
      <c r="P22" s="395" t="s">
        <v>716</v>
      </c>
    </row>
    <row r="23" s="353" customFormat="1" ht="27.75" customHeight="1" spans="1:16">
      <c r="A23" s="368">
        <v>17</v>
      </c>
      <c r="B23" s="369" t="s">
        <v>613</v>
      </c>
      <c r="C23" s="368">
        <v>1600600011</v>
      </c>
      <c r="D23" s="368" t="s">
        <v>6</v>
      </c>
      <c r="E23" s="370" t="s">
        <v>717</v>
      </c>
      <c r="F23" s="368">
        <v>7015248976</v>
      </c>
      <c r="G23" s="371" t="s">
        <v>718</v>
      </c>
      <c r="H23" s="372">
        <v>500000</v>
      </c>
      <c r="I23" s="391">
        <v>500000</v>
      </c>
      <c r="J23" s="391">
        <f t="shared" si="2"/>
        <v>0</v>
      </c>
      <c r="K23" s="392">
        <f t="shared" si="1"/>
        <v>100</v>
      </c>
      <c r="L23" s="393" t="s">
        <v>639</v>
      </c>
      <c r="M23" s="394" t="s">
        <v>719</v>
      </c>
      <c r="N23" s="395" t="s">
        <v>692</v>
      </c>
      <c r="O23" s="395" t="s">
        <v>720</v>
      </c>
      <c r="P23" s="395" t="s">
        <v>721</v>
      </c>
    </row>
    <row r="24" s="353" customFormat="1" ht="23.25" spans="1:16">
      <c r="A24" s="368">
        <v>18</v>
      </c>
      <c r="B24" s="369" t="s">
        <v>613</v>
      </c>
      <c r="C24" s="368">
        <v>1600600006</v>
      </c>
      <c r="D24" s="368" t="s">
        <v>6</v>
      </c>
      <c r="E24" s="370" t="s">
        <v>722</v>
      </c>
      <c r="F24" s="368">
        <v>7015254679</v>
      </c>
      <c r="G24" s="371" t="s">
        <v>723</v>
      </c>
      <c r="H24" s="372">
        <v>497015</v>
      </c>
      <c r="I24" s="391">
        <f>497015-49701.5</f>
        <v>447313.5</v>
      </c>
      <c r="J24" s="396">
        <f t="shared" si="2"/>
        <v>49701.5</v>
      </c>
      <c r="K24" s="392">
        <f t="shared" si="1"/>
        <v>90</v>
      </c>
      <c r="L24" s="393" t="s">
        <v>926</v>
      </c>
      <c r="M24" s="394" t="s">
        <v>724</v>
      </c>
      <c r="N24" s="395" t="s">
        <v>669</v>
      </c>
      <c r="O24" s="395" t="s">
        <v>670</v>
      </c>
      <c r="P24" s="395" t="s">
        <v>725</v>
      </c>
    </row>
    <row r="25" s="353" customFormat="1" ht="30" customHeight="1" spans="1:16">
      <c r="A25" s="368">
        <v>19</v>
      </c>
      <c r="B25" s="369" t="s">
        <v>613</v>
      </c>
      <c r="C25" s="368">
        <v>1600600001</v>
      </c>
      <c r="D25" s="368" t="s">
        <v>6</v>
      </c>
      <c r="E25" s="370" t="s">
        <v>726</v>
      </c>
      <c r="F25" s="368">
        <v>2000397264</v>
      </c>
      <c r="G25" s="371" t="s">
        <v>727</v>
      </c>
      <c r="H25" s="372">
        <v>11135650</v>
      </c>
      <c r="I25" s="391">
        <v>0</v>
      </c>
      <c r="J25" s="396">
        <f t="shared" si="2"/>
        <v>11135650</v>
      </c>
      <c r="K25" s="392">
        <f t="shared" si="1"/>
        <v>0</v>
      </c>
      <c r="L25" s="393" t="s">
        <v>927</v>
      </c>
      <c r="M25" s="394" t="s">
        <v>729</v>
      </c>
      <c r="N25" s="395" t="s">
        <v>669</v>
      </c>
      <c r="O25" s="395" t="s">
        <v>179</v>
      </c>
      <c r="P25" s="395"/>
    </row>
    <row r="26" s="353" customFormat="1" ht="30" customHeight="1" spans="1:16">
      <c r="A26" s="368">
        <v>20</v>
      </c>
      <c r="B26" s="369" t="s">
        <v>613</v>
      </c>
      <c r="C26" s="368">
        <v>1600600001</v>
      </c>
      <c r="D26" s="368" t="s">
        <v>6</v>
      </c>
      <c r="E26" s="370" t="s">
        <v>730</v>
      </c>
      <c r="F26" s="368">
        <v>2000420428</v>
      </c>
      <c r="G26" s="371" t="s">
        <v>731</v>
      </c>
      <c r="H26" s="372">
        <v>13054741.23</v>
      </c>
      <c r="I26" s="391">
        <v>13054741.23</v>
      </c>
      <c r="J26" s="391">
        <f t="shared" si="2"/>
        <v>0</v>
      </c>
      <c r="K26" s="392">
        <f t="shared" si="1"/>
        <v>100</v>
      </c>
      <c r="L26" s="401" t="s">
        <v>928</v>
      </c>
      <c r="M26" s="394" t="s">
        <v>732</v>
      </c>
      <c r="N26" s="395" t="s">
        <v>733</v>
      </c>
      <c r="O26" s="395" t="s">
        <v>734</v>
      </c>
      <c r="P26" s="395"/>
    </row>
    <row r="27" s="353" customFormat="1" ht="30" customHeight="1" spans="1:16">
      <c r="A27" s="368">
        <v>21</v>
      </c>
      <c r="B27" s="369" t="s">
        <v>613</v>
      </c>
      <c r="C27" s="368">
        <v>1600600001</v>
      </c>
      <c r="D27" s="368" t="s">
        <v>6</v>
      </c>
      <c r="E27" s="370" t="s">
        <v>735</v>
      </c>
      <c r="F27" s="368">
        <v>2000420910</v>
      </c>
      <c r="G27" s="371" t="s">
        <v>736</v>
      </c>
      <c r="H27" s="372">
        <v>5129331</v>
      </c>
      <c r="I27" s="391">
        <v>5129331</v>
      </c>
      <c r="J27" s="391">
        <f t="shared" si="2"/>
        <v>0</v>
      </c>
      <c r="K27" s="392">
        <f t="shared" si="1"/>
        <v>100</v>
      </c>
      <c r="L27" s="393" t="s">
        <v>639</v>
      </c>
      <c r="M27" s="394" t="s">
        <v>737</v>
      </c>
      <c r="N27" s="395" t="s">
        <v>738</v>
      </c>
      <c r="O27" s="395" t="s">
        <v>739</v>
      </c>
      <c r="P27" s="395"/>
    </row>
    <row r="28" s="353" customFormat="1" ht="30" customHeight="1" spans="1:16">
      <c r="A28" s="368">
        <v>22</v>
      </c>
      <c r="B28" s="369" t="s">
        <v>613</v>
      </c>
      <c r="C28" s="368">
        <v>1600600001</v>
      </c>
      <c r="D28" s="368" t="s">
        <v>6</v>
      </c>
      <c r="E28" s="370" t="s">
        <v>740</v>
      </c>
      <c r="F28" s="368">
        <v>2000434631</v>
      </c>
      <c r="G28" s="371" t="s">
        <v>741</v>
      </c>
      <c r="H28" s="372">
        <v>5002622</v>
      </c>
      <c r="I28" s="391">
        <v>5002622</v>
      </c>
      <c r="J28" s="391">
        <f t="shared" si="2"/>
        <v>0</v>
      </c>
      <c r="K28" s="392">
        <f t="shared" si="1"/>
        <v>100</v>
      </c>
      <c r="L28" s="393" t="s">
        <v>929</v>
      </c>
      <c r="M28" s="394" t="s">
        <v>742</v>
      </c>
      <c r="N28" s="395" t="s">
        <v>743</v>
      </c>
      <c r="O28" s="395" t="s">
        <v>744</v>
      </c>
      <c r="P28" s="395" t="s">
        <v>745</v>
      </c>
    </row>
    <row r="29" s="353" customFormat="1" ht="30" customHeight="1" spans="1:16">
      <c r="A29" s="368">
        <v>23</v>
      </c>
      <c r="B29" s="369" t="s">
        <v>613</v>
      </c>
      <c r="C29" s="368">
        <v>1600600001</v>
      </c>
      <c r="D29" s="368" t="s">
        <v>6</v>
      </c>
      <c r="E29" s="370" t="s">
        <v>746</v>
      </c>
      <c r="F29" s="368">
        <v>2000435147</v>
      </c>
      <c r="G29" s="371" t="s">
        <v>747</v>
      </c>
      <c r="H29" s="372">
        <v>4668200</v>
      </c>
      <c r="I29" s="391">
        <v>0</v>
      </c>
      <c r="J29" s="396">
        <f t="shared" si="2"/>
        <v>4668200</v>
      </c>
      <c r="K29" s="392">
        <f t="shared" si="1"/>
        <v>0</v>
      </c>
      <c r="L29" s="393" t="s">
        <v>930</v>
      </c>
      <c r="M29" s="394" t="s">
        <v>749</v>
      </c>
      <c r="N29" s="395" t="s">
        <v>744</v>
      </c>
      <c r="O29" s="395" t="s">
        <v>750</v>
      </c>
      <c r="P29" s="395" t="s">
        <v>751</v>
      </c>
    </row>
    <row r="30" s="353" customFormat="1" ht="46.5" spans="1:16">
      <c r="A30" s="368">
        <v>24</v>
      </c>
      <c r="B30" s="369" t="s">
        <v>613</v>
      </c>
      <c r="C30" s="368">
        <v>1600600001</v>
      </c>
      <c r="D30" s="368" t="s">
        <v>6</v>
      </c>
      <c r="E30" s="370" t="s">
        <v>752</v>
      </c>
      <c r="F30" s="368">
        <v>2000461421</v>
      </c>
      <c r="G30" s="379" t="s">
        <v>753</v>
      </c>
      <c r="H30" s="372">
        <v>2805000</v>
      </c>
      <c r="I30" s="391">
        <v>0</v>
      </c>
      <c r="J30" s="396">
        <f t="shared" si="2"/>
        <v>2805000</v>
      </c>
      <c r="K30" s="392">
        <f t="shared" si="1"/>
        <v>0</v>
      </c>
      <c r="L30" s="393" t="s">
        <v>931</v>
      </c>
      <c r="M30" s="394" t="s">
        <v>754</v>
      </c>
      <c r="N30" s="395" t="s">
        <v>755</v>
      </c>
      <c r="O30" s="395" t="s">
        <v>756</v>
      </c>
      <c r="P30" s="395" t="s">
        <v>751</v>
      </c>
    </row>
    <row r="31" s="353" customFormat="1" ht="46.5" spans="1:16">
      <c r="A31" s="368">
        <v>25</v>
      </c>
      <c r="B31" s="369" t="s">
        <v>613</v>
      </c>
      <c r="C31" s="368">
        <v>1600600001</v>
      </c>
      <c r="D31" s="368" t="s">
        <v>6</v>
      </c>
      <c r="E31" s="370" t="s">
        <v>757</v>
      </c>
      <c r="F31" s="368">
        <v>2000475789</v>
      </c>
      <c r="G31" s="379" t="s">
        <v>758</v>
      </c>
      <c r="H31" s="372">
        <v>9368000</v>
      </c>
      <c r="I31" s="391">
        <f>+H31-7191566.75</f>
        <v>2176433.25</v>
      </c>
      <c r="J31" s="396">
        <f t="shared" si="2"/>
        <v>7191566.75</v>
      </c>
      <c r="K31" s="392">
        <f t="shared" si="1"/>
        <v>23.2326350341588</v>
      </c>
      <c r="L31" s="393" t="s">
        <v>932</v>
      </c>
      <c r="M31" s="394" t="s">
        <v>760</v>
      </c>
      <c r="N31" s="395" t="s">
        <v>642</v>
      </c>
      <c r="O31" s="395" t="s">
        <v>761</v>
      </c>
      <c r="P31" s="395" t="s">
        <v>751</v>
      </c>
    </row>
    <row r="32" s="353" customFormat="1" ht="23.25" spans="1:16">
      <c r="A32" s="368">
        <v>26</v>
      </c>
      <c r="B32" s="369" t="s">
        <v>762</v>
      </c>
      <c r="C32" s="368">
        <v>1600600046</v>
      </c>
      <c r="D32" s="368" t="s">
        <v>6</v>
      </c>
      <c r="E32" s="370" t="s">
        <v>763</v>
      </c>
      <c r="F32" s="368">
        <v>7014618240</v>
      </c>
      <c r="G32" s="371" t="s">
        <v>764</v>
      </c>
      <c r="H32" s="372">
        <v>2527500</v>
      </c>
      <c r="I32" s="391">
        <v>2527500</v>
      </c>
      <c r="J32" s="391">
        <f t="shared" si="2"/>
        <v>0</v>
      </c>
      <c r="K32" s="392">
        <f t="shared" si="1"/>
        <v>100</v>
      </c>
      <c r="L32" s="393" t="s">
        <v>639</v>
      </c>
      <c r="M32" s="394" t="s">
        <v>765</v>
      </c>
      <c r="N32" s="395" t="s">
        <v>766</v>
      </c>
      <c r="O32" s="395" t="s">
        <v>767</v>
      </c>
      <c r="P32" s="395" t="s">
        <v>768</v>
      </c>
    </row>
    <row r="33" s="353" customFormat="1" ht="52.5" customHeight="1" spans="1:16">
      <c r="A33" s="368">
        <v>27</v>
      </c>
      <c r="B33" s="369" t="s">
        <v>184</v>
      </c>
      <c r="C33" s="368">
        <v>1600600052</v>
      </c>
      <c r="D33" s="368" t="s">
        <v>6</v>
      </c>
      <c r="E33" s="370" t="s">
        <v>769</v>
      </c>
      <c r="F33" s="368">
        <v>7014573620</v>
      </c>
      <c r="G33" s="371" t="s">
        <v>764</v>
      </c>
      <c r="H33" s="372">
        <v>3234000</v>
      </c>
      <c r="I33" s="391">
        <f>+H33-2490180</f>
        <v>743820</v>
      </c>
      <c r="J33" s="396">
        <f t="shared" si="2"/>
        <v>2490180</v>
      </c>
      <c r="K33" s="392">
        <f t="shared" si="1"/>
        <v>23</v>
      </c>
      <c r="L33" s="393" t="s">
        <v>933</v>
      </c>
      <c r="M33" s="394" t="s">
        <v>771</v>
      </c>
      <c r="N33" s="395" t="s">
        <v>652</v>
      </c>
      <c r="O33" s="395" t="s">
        <v>772</v>
      </c>
      <c r="P33" s="395" t="s">
        <v>751</v>
      </c>
    </row>
    <row r="34" s="353" customFormat="1" ht="30" customHeight="1" spans="1:16">
      <c r="A34" s="368">
        <v>28</v>
      </c>
      <c r="B34" s="369" t="s">
        <v>773</v>
      </c>
      <c r="C34" s="368">
        <v>1600600058</v>
      </c>
      <c r="D34" s="368" t="s">
        <v>6</v>
      </c>
      <c r="E34" s="370" t="s">
        <v>774</v>
      </c>
      <c r="F34" s="368">
        <v>7014587703</v>
      </c>
      <c r="G34" s="371" t="s">
        <v>764</v>
      </c>
      <c r="H34" s="372">
        <v>2700000</v>
      </c>
      <c r="I34" s="391">
        <v>2700000</v>
      </c>
      <c r="J34" s="391">
        <f t="shared" si="2"/>
        <v>0</v>
      </c>
      <c r="K34" s="392">
        <f t="shared" si="1"/>
        <v>100</v>
      </c>
      <c r="L34" s="393" t="s">
        <v>639</v>
      </c>
      <c r="M34" s="394" t="s">
        <v>775</v>
      </c>
      <c r="N34" s="395" t="s">
        <v>776</v>
      </c>
      <c r="O34" s="395" t="s">
        <v>777</v>
      </c>
      <c r="P34" s="395" t="s">
        <v>778</v>
      </c>
    </row>
    <row r="35" s="353" customFormat="1" ht="53.25" customHeight="1" spans="1:16">
      <c r="A35" s="368">
        <v>29</v>
      </c>
      <c r="B35" s="369" t="s">
        <v>779</v>
      </c>
      <c r="C35" s="368">
        <v>1600600064</v>
      </c>
      <c r="D35" s="368" t="s">
        <v>6</v>
      </c>
      <c r="E35" s="370" t="s">
        <v>780</v>
      </c>
      <c r="F35" s="368">
        <v>7014633408</v>
      </c>
      <c r="G35" s="371" t="s">
        <v>764</v>
      </c>
      <c r="H35" s="372">
        <v>3155139</v>
      </c>
      <c r="I35" s="391">
        <v>0</v>
      </c>
      <c r="J35" s="396">
        <f t="shared" si="2"/>
        <v>3155139</v>
      </c>
      <c r="K35" s="392">
        <f t="shared" si="1"/>
        <v>0</v>
      </c>
      <c r="L35" s="393" t="s">
        <v>934</v>
      </c>
      <c r="M35" s="394" t="s">
        <v>782</v>
      </c>
      <c r="N35" s="395" t="s">
        <v>766</v>
      </c>
      <c r="O35" s="395" t="s">
        <v>658</v>
      </c>
      <c r="P35" s="395" t="s">
        <v>783</v>
      </c>
    </row>
    <row r="36" s="353" customFormat="1" ht="56.25" customHeight="1" spans="1:16">
      <c r="A36" s="368">
        <v>30</v>
      </c>
      <c r="B36" s="369" t="s">
        <v>188</v>
      </c>
      <c r="C36" s="368">
        <v>1600600094</v>
      </c>
      <c r="D36" s="368" t="s">
        <v>6</v>
      </c>
      <c r="E36" s="370" t="s">
        <v>784</v>
      </c>
      <c r="F36" s="368">
        <v>2000449395</v>
      </c>
      <c r="G36" s="373" t="s">
        <v>785</v>
      </c>
      <c r="H36" s="372">
        <v>3920000</v>
      </c>
      <c r="I36" s="391">
        <v>3920000</v>
      </c>
      <c r="J36" s="391">
        <f t="shared" si="2"/>
        <v>0</v>
      </c>
      <c r="K36" s="392">
        <f t="shared" si="1"/>
        <v>100</v>
      </c>
      <c r="L36" s="393" t="s">
        <v>639</v>
      </c>
      <c r="M36" s="394" t="s">
        <v>786</v>
      </c>
      <c r="N36" s="395" t="s">
        <v>787</v>
      </c>
      <c r="O36" s="395" t="s">
        <v>788</v>
      </c>
      <c r="P36" s="395"/>
    </row>
    <row r="37" s="353" customFormat="1" ht="56.25" customHeight="1" spans="1:16">
      <c r="A37" s="368">
        <v>31</v>
      </c>
      <c r="B37" s="369" t="s">
        <v>188</v>
      </c>
      <c r="C37" s="368">
        <v>1600600094</v>
      </c>
      <c r="D37" s="368" t="s">
        <v>6</v>
      </c>
      <c r="E37" s="370" t="s">
        <v>789</v>
      </c>
      <c r="F37" s="368">
        <v>2000469732</v>
      </c>
      <c r="G37" s="373" t="s">
        <v>790</v>
      </c>
      <c r="H37" s="372">
        <v>2559120</v>
      </c>
      <c r="I37" s="391">
        <v>2559120</v>
      </c>
      <c r="J37" s="391">
        <f t="shared" si="2"/>
        <v>0</v>
      </c>
      <c r="K37" s="392">
        <f t="shared" si="1"/>
        <v>100</v>
      </c>
      <c r="L37" s="393" t="s">
        <v>935</v>
      </c>
      <c r="M37" s="394" t="s">
        <v>786</v>
      </c>
      <c r="N37" s="395" t="s">
        <v>787</v>
      </c>
      <c r="O37" s="395" t="s">
        <v>788</v>
      </c>
      <c r="P37" s="395"/>
    </row>
    <row r="38" s="353" customFormat="1" ht="30" customHeight="1" spans="1:16">
      <c r="A38" s="368">
        <v>32</v>
      </c>
      <c r="B38" s="369" t="s">
        <v>791</v>
      </c>
      <c r="C38" s="368">
        <v>1600600420</v>
      </c>
      <c r="D38" s="368" t="s">
        <v>6</v>
      </c>
      <c r="E38" s="370" t="s">
        <v>792</v>
      </c>
      <c r="F38" s="368">
        <v>7014653159</v>
      </c>
      <c r="G38" s="371" t="s">
        <v>793</v>
      </c>
      <c r="H38" s="372">
        <v>3869000</v>
      </c>
      <c r="I38" s="391">
        <v>2050570</v>
      </c>
      <c r="J38" s="396">
        <f t="shared" si="2"/>
        <v>1818430</v>
      </c>
      <c r="K38" s="392">
        <f t="shared" si="1"/>
        <v>53</v>
      </c>
      <c r="L38" s="401" t="s">
        <v>936</v>
      </c>
      <c r="M38" s="394" t="s">
        <v>794</v>
      </c>
      <c r="N38" s="395" t="s">
        <v>795</v>
      </c>
      <c r="O38" s="395" t="s">
        <v>796</v>
      </c>
      <c r="P38" s="395" t="s">
        <v>797</v>
      </c>
    </row>
    <row r="39" s="353" customFormat="1" ht="23.25" spans="1:16">
      <c r="A39" s="368">
        <v>33</v>
      </c>
      <c r="B39" s="369" t="s">
        <v>798</v>
      </c>
      <c r="C39" s="368">
        <v>1600600456</v>
      </c>
      <c r="D39" s="368" t="s">
        <v>6</v>
      </c>
      <c r="E39" s="370" t="s">
        <v>799</v>
      </c>
      <c r="F39" s="368">
        <v>7014571829</v>
      </c>
      <c r="G39" s="371" t="s">
        <v>800</v>
      </c>
      <c r="H39" s="372">
        <v>2642900</v>
      </c>
      <c r="I39" s="391">
        <v>2642900</v>
      </c>
      <c r="J39" s="391">
        <f t="shared" si="2"/>
        <v>0</v>
      </c>
      <c r="K39" s="392">
        <f t="shared" si="1"/>
        <v>100</v>
      </c>
      <c r="L39" s="393" t="s">
        <v>639</v>
      </c>
      <c r="M39" s="394" t="s">
        <v>801</v>
      </c>
      <c r="N39" s="395" t="s">
        <v>802</v>
      </c>
      <c r="O39" s="395" t="s">
        <v>803</v>
      </c>
      <c r="P39" s="395" t="s">
        <v>804</v>
      </c>
    </row>
    <row r="40" s="352" customFormat="1" ht="27" customHeight="1" spans="1:16">
      <c r="A40" s="375" t="s">
        <v>221</v>
      </c>
      <c r="B40" s="376"/>
      <c r="C40" s="376"/>
      <c r="D40" s="376"/>
      <c r="E40" s="376"/>
      <c r="F40" s="376"/>
      <c r="G40" s="377"/>
      <c r="H40" s="378">
        <f>SUM(H22:H39)</f>
        <v>79042218.23</v>
      </c>
      <c r="I40" s="378">
        <f>SUM(I22:I39)</f>
        <v>45728350.98</v>
      </c>
      <c r="J40" s="378">
        <f>SUM(J22:J39)</f>
        <v>33313867.25</v>
      </c>
      <c r="K40" s="392">
        <f t="shared" si="1"/>
        <v>57.8530714395413</v>
      </c>
      <c r="L40" s="393"/>
      <c r="M40" s="399"/>
      <c r="N40" s="400"/>
      <c r="O40" s="400"/>
      <c r="P40" s="400"/>
    </row>
    <row r="41" s="353" customFormat="1" ht="78" customHeight="1" spans="1:16">
      <c r="A41" s="368">
        <v>34</v>
      </c>
      <c r="B41" s="369" t="s">
        <v>613</v>
      </c>
      <c r="C41" s="368">
        <v>1600600011</v>
      </c>
      <c r="D41" s="368" t="s">
        <v>8</v>
      </c>
      <c r="E41" s="370" t="s">
        <v>805</v>
      </c>
      <c r="F41" s="368">
        <v>7015076230</v>
      </c>
      <c r="G41" s="379" t="s">
        <v>806</v>
      </c>
      <c r="H41" s="372">
        <v>1620000</v>
      </c>
      <c r="I41" s="391">
        <v>1440000</v>
      </c>
      <c r="J41" s="396">
        <f>+H41-I41</f>
        <v>180000</v>
      </c>
      <c r="K41" s="392">
        <f t="shared" si="1"/>
        <v>88.8888888888889</v>
      </c>
      <c r="L41" s="393" t="s">
        <v>937</v>
      </c>
      <c r="M41" s="394" t="s">
        <v>807</v>
      </c>
      <c r="N41" s="395" t="s">
        <v>663</v>
      </c>
      <c r="O41" s="395" t="s">
        <v>670</v>
      </c>
      <c r="P41" s="395" t="s">
        <v>665</v>
      </c>
    </row>
    <row r="42" s="353" customFormat="1" ht="23.25" spans="1:16">
      <c r="A42" s="368">
        <v>35</v>
      </c>
      <c r="B42" s="369" t="s">
        <v>613</v>
      </c>
      <c r="C42" s="368">
        <v>1600600011</v>
      </c>
      <c r="D42" s="368" t="s">
        <v>8</v>
      </c>
      <c r="E42" s="370" t="s">
        <v>808</v>
      </c>
      <c r="F42" s="368">
        <v>7015167313</v>
      </c>
      <c r="G42" s="371" t="s">
        <v>809</v>
      </c>
      <c r="H42" s="372">
        <v>56300</v>
      </c>
      <c r="I42" s="391">
        <v>56300</v>
      </c>
      <c r="J42" s="391">
        <f>+H42-I42</f>
        <v>0</v>
      </c>
      <c r="K42" s="392">
        <f t="shared" si="1"/>
        <v>100</v>
      </c>
      <c r="L42" s="393" t="s">
        <v>639</v>
      </c>
      <c r="M42" s="394" t="s">
        <v>810</v>
      </c>
      <c r="N42" s="395" t="s">
        <v>811</v>
      </c>
      <c r="O42" s="395" t="s">
        <v>812</v>
      </c>
      <c r="P42" s="395" t="s">
        <v>813</v>
      </c>
    </row>
    <row r="43" s="352" customFormat="1" ht="28.5" customHeight="1" spans="1:12">
      <c r="A43" s="375" t="s">
        <v>814</v>
      </c>
      <c r="B43" s="376"/>
      <c r="C43" s="376"/>
      <c r="D43" s="376"/>
      <c r="E43" s="376"/>
      <c r="F43" s="376"/>
      <c r="G43" s="377"/>
      <c r="H43" s="378">
        <f>SUM(H41:H42)</f>
        <v>1676300</v>
      </c>
      <c r="I43" s="402">
        <f>SUM(I41:I42)</f>
        <v>1496300</v>
      </c>
      <c r="J43" s="378">
        <f>SUM(J41:J42)</f>
        <v>180000</v>
      </c>
      <c r="K43" s="392">
        <f t="shared" si="1"/>
        <v>89.2620652627811</v>
      </c>
      <c r="L43" s="393"/>
    </row>
    <row r="44" s="354" customFormat="1" ht="28.5" customHeight="1" spans="1:12">
      <c r="A44" s="380" t="s">
        <v>350</v>
      </c>
      <c r="B44" s="381"/>
      <c r="C44" s="381"/>
      <c r="D44" s="381"/>
      <c r="E44" s="381"/>
      <c r="F44" s="381"/>
      <c r="G44" s="382"/>
      <c r="H44" s="383">
        <f>+H21+H40+H43</f>
        <v>94191090.48</v>
      </c>
      <c r="I44" s="383">
        <f>+I21+I40+I43</f>
        <v>57758622.73</v>
      </c>
      <c r="J44" s="403">
        <f>+J21+J40+J43</f>
        <v>36432467.75</v>
      </c>
      <c r="K44" s="404">
        <f t="shared" si="1"/>
        <v>61.3206858904178</v>
      </c>
      <c r="L44" s="405"/>
    </row>
    <row r="47" spans="8:12">
      <c r="H47" s="384"/>
      <c r="I47" s="384"/>
      <c r="K47" s="406"/>
      <c r="L47" s="407"/>
    </row>
  </sheetData>
  <mergeCells count="18">
    <mergeCell ref="A1:L1"/>
    <mergeCell ref="A2:L2"/>
    <mergeCell ref="A3:L3"/>
    <mergeCell ref="A21:G21"/>
    <mergeCell ref="A40:G40"/>
    <mergeCell ref="A43:G43"/>
    <mergeCell ref="A44:G44"/>
    <mergeCell ref="B4:B5"/>
    <mergeCell ref="C4:C5"/>
    <mergeCell ref="D4:D5"/>
    <mergeCell ref="E4:E5"/>
    <mergeCell ref="F4:F5"/>
    <mergeCell ref="G4:G5"/>
    <mergeCell ref="H4:H5"/>
    <mergeCell ref="J4:J5"/>
    <mergeCell ref="M4:M5"/>
    <mergeCell ref="N4:N5"/>
    <mergeCell ref="O4:O5"/>
  </mergeCells>
  <pageMargins left="0.25" right="0" top="0.75" bottom="0.75" header="0.3" footer="0.3"/>
  <pageSetup paperSize="9" scale="70" orientation="landscape"/>
  <headerFooter>
    <oddFooter>&amp;Cหน้าที่ &amp;P จาก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R193"/>
  <sheetViews>
    <sheetView zoomScale="80" zoomScaleNormal="80" workbookViewId="0">
      <selection activeCell="F12" sqref="F12"/>
    </sheetView>
  </sheetViews>
  <sheetFormatPr defaultColWidth="9" defaultRowHeight="23.25"/>
  <cols>
    <col min="1" max="1" width="8" style="297" customWidth="1"/>
    <col min="2" max="2" width="27.2857142857143" style="298" customWidth="1"/>
    <col min="3" max="3" width="13.4285714285714" style="297" customWidth="1"/>
    <col min="4" max="4" width="14.4285714285714" style="297" customWidth="1"/>
    <col min="5" max="5" width="19.5714285714286" style="299" customWidth="1"/>
    <col min="6" max="6" width="12.4285714285714" style="297" customWidth="1"/>
    <col min="7" max="7" width="33.4285714285714" style="300" customWidth="1"/>
    <col min="8" max="8" width="18.8571428571429" style="298" customWidth="1"/>
    <col min="9" max="9" width="17.8571428571429" style="298" customWidth="1"/>
    <col min="10" max="10" width="17.7142857142857" style="301" customWidth="1"/>
    <col min="11" max="11" width="8.71428571428571" style="296" customWidth="1"/>
    <col min="12" max="12" width="30.2857142857143" style="302" customWidth="1"/>
    <col min="13" max="13" width="25" style="298" hidden="1" customWidth="1"/>
    <col min="14" max="15" width="12.2857142857143" style="298" hidden="1" customWidth="1"/>
    <col min="16" max="16" width="24.7142857142857" style="298" hidden="1" customWidth="1"/>
    <col min="17" max="17" width="14.1428571428571" style="298" hidden="1" customWidth="1"/>
    <col min="18" max="64" width="9" style="298" hidden="1" customWidth="1"/>
    <col min="65" max="261" width="9.14285714285714" style="298"/>
    <col min="262" max="262" width="6.42857142857143" style="298" customWidth="1"/>
    <col min="263" max="263" width="32" style="298" customWidth="1"/>
    <col min="264" max="264" width="14.5714285714286" style="298" customWidth="1"/>
    <col min="265" max="265" width="12.4285714285714" style="298" customWidth="1"/>
    <col min="266" max="266" width="51.2857142857143" style="298" customWidth="1"/>
    <col min="267" max="267" width="14.8571428571429" style="298" customWidth="1"/>
    <col min="268" max="268" width="25" style="298" customWidth="1"/>
    <col min="269" max="270" width="12.2857142857143" style="298" customWidth="1"/>
    <col min="271" max="271" width="24.7142857142857" style="298" customWidth="1"/>
    <col min="272" max="272" width="15" style="298" customWidth="1"/>
    <col min="273" max="517" width="9.14285714285714" style="298"/>
    <col min="518" max="518" width="6.42857142857143" style="298" customWidth="1"/>
    <col min="519" max="519" width="32" style="298" customWidth="1"/>
    <col min="520" max="520" width="14.5714285714286" style="298" customWidth="1"/>
    <col min="521" max="521" width="12.4285714285714" style="298" customWidth="1"/>
    <col min="522" max="522" width="51.2857142857143" style="298" customWidth="1"/>
    <col min="523" max="523" width="14.8571428571429" style="298" customWidth="1"/>
    <col min="524" max="524" width="25" style="298" customWidth="1"/>
    <col min="525" max="526" width="12.2857142857143" style="298" customWidth="1"/>
    <col min="527" max="527" width="24.7142857142857" style="298" customWidth="1"/>
    <col min="528" max="528" width="15" style="298" customWidth="1"/>
    <col min="529" max="773" width="9.14285714285714" style="298"/>
    <col min="774" max="774" width="6.42857142857143" style="298" customWidth="1"/>
    <col min="775" max="775" width="32" style="298" customWidth="1"/>
    <col min="776" max="776" width="14.5714285714286" style="298" customWidth="1"/>
    <col min="777" max="777" width="12.4285714285714" style="298" customWidth="1"/>
    <col min="778" max="778" width="51.2857142857143" style="298" customWidth="1"/>
    <col min="779" max="779" width="14.8571428571429" style="298" customWidth="1"/>
    <col min="780" max="780" width="25" style="298" customWidth="1"/>
    <col min="781" max="782" width="12.2857142857143" style="298" customWidth="1"/>
    <col min="783" max="783" width="24.7142857142857" style="298" customWidth="1"/>
    <col min="784" max="784" width="15" style="298" customWidth="1"/>
    <col min="785" max="1029" width="9.14285714285714" style="298"/>
    <col min="1030" max="1030" width="6.42857142857143" style="298" customWidth="1"/>
    <col min="1031" max="1031" width="32" style="298" customWidth="1"/>
    <col min="1032" max="1032" width="14.5714285714286" style="298" customWidth="1"/>
    <col min="1033" max="1033" width="12.4285714285714" style="298" customWidth="1"/>
    <col min="1034" max="1034" width="51.2857142857143" style="298" customWidth="1"/>
    <col min="1035" max="1035" width="14.8571428571429" style="298" customWidth="1"/>
    <col min="1036" max="1036" width="25" style="298" customWidth="1"/>
    <col min="1037" max="1038" width="12.2857142857143" style="298" customWidth="1"/>
    <col min="1039" max="1039" width="24.7142857142857" style="298" customWidth="1"/>
    <col min="1040" max="1040" width="15" style="298" customWidth="1"/>
    <col min="1041" max="1285" width="9.14285714285714" style="298"/>
    <col min="1286" max="1286" width="6.42857142857143" style="298" customWidth="1"/>
    <col min="1287" max="1287" width="32" style="298" customWidth="1"/>
    <col min="1288" max="1288" width="14.5714285714286" style="298" customWidth="1"/>
    <col min="1289" max="1289" width="12.4285714285714" style="298" customWidth="1"/>
    <col min="1290" max="1290" width="51.2857142857143" style="298" customWidth="1"/>
    <col min="1291" max="1291" width="14.8571428571429" style="298" customWidth="1"/>
    <col min="1292" max="1292" width="25" style="298" customWidth="1"/>
    <col min="1293" max="1294" width="12.2857142857143" style="298" customWidth="1"/>
    <col min="1295" max="1295" width="24.7142857142857" style="298" customWidth="1"/>
    <col min="1296" max="1296" width="15" style="298" customWidth="1"/>
    <col min="1297" max="1541" width="9.14285714285714" style="298"/>
    <col min="1542" max="1542" width="6.42857142857143" style="298" customWidth="1"/>
    <col min="1543" max="1543" width="32" style="298" customWidth="1"/>
    <col min="1544" max="1544" width="14.5714285714286" style="298" customWidth="1"/>
    <col min="1545" max="1545" width="12.4285714285714" style="298" customWidth="1"/>
    <col min="1546" max="1546" width="51.2857142857143" style="298" customWidth="1"/>
    <col min="1547" max="1547" width="14.8571428571429" style="298" customWidth="1"/>
    <col min="1548" max="1548" width="25" style="298" customWidth="1"/>
    <col min="1549" max="1550" width="12.2857142857143" style="298" customWidth="1"/>
    <col min="1551" max="1551" width="24.7142857142857" style="298" customWidth="1"/>
    <col min="1552" max="1552" width="15" style="298" customWidth="1"/>
    <col min="1553" max="1797" width="9.14285714285714" style="298"/>
    <col min="1798" max="1798" width="6.42857142857143" style="298" customWidth="1"/>
    <col min="1799" max="1799" width="32" style="298" customWidth="1"/>
    <col min="1800" max="1800" width="14.5714285714286" style="298" customWidth="1"/>
    <col min="1801" max="1801" width="12.4285714285714" style="298" customWidth="1"/>
    <col min="1802" max="1802" width="51.2857142857143" style="298" customWidth="1"/>
    <col min="1803" max="1803" width="14.8571428571429" style="298" customWidth="1"/>
    <col min="1804" max="1804" width="25" style="298" customWidth="1"/>
    <col min="1805" max="1806" width="12.2857142857143" style="298" customWidth="1"/>
    <col min="1807" max="1807" width="24.7142857142857" style="298" customWidth="1"/>
    <col min="1808" max="1808" width="15" style="298" customWidth="1"/>
    <col min="1809" max="2053" width="9.14285714285714" style="298"/>
    <col min="2054" max="2054" width="6.42857142857143" style="298" customWidth="1"/>
    <col min="2055" max="2055" width="32" style="298" customWidth="1"/>
    <col min="2056" max="2056" width="14.5714285714286" style="298" customWidth="1"/>
    <col min="2057" max="2057" width="12.4285714285714" style="298" customWidth="1"/>
    <col min="2058" max="2058" width="51.2857142857143" style="298" customWidth="1"/>
    <col min="2059" max="2059" width="14.8571428571429" style="298" customWidth="1"/>
    <col min="2060" max="2060" width="25" style="298" customWidth="1"/>
    <col min="2061" max="2062" width="12.2857142857143" style="298" customWidth="1"/>
    <col min="2063" max="2063" width="24.7142857142857" style="298" customWidth="1"/>
    <col min="2064" max="2064" width="15" style="298" customWidth="1"/>
    <col min="2065" max="2309" width="9.14285714285714" style="298"/>
    <col min="2310" max="2310" width="6.42857142857143" style="298" customWidth="1"/>
    <col min="2311" max="2311" width="32" style="298" customWidth="1"/>
    <col min="2312" max="2312" width="14.5714285714286" style="298" customWidth="1"/>
    <col min="2313" max="2313" width="12.4285714285714" style="298" customWidth="1"/>
    <col min="2314" max="2314" width="51.2857142857143" style="298" customWidth="1"/>
    <col min="2315" max="2315" width="14.8571428571429" style="298" customWidth="1"/>
    <col min="2316" max="2316" width="25" style="298" customWidth="1"/>
    <col min="2317" max="2318" width="12.2857142857143" style="298" customWidth="1"/>
    <col min="2319" max="2319" width="24.7142857142857" style="298" customWidth="1"/>
    <col min="2320" max="2320" width="15" style="298" customWidth="1"/>
    <col min="2321" max="2565" width="9.14285714285714" style="298"/>
    <col min="2566" max="2566" width="6.42857142857143" style="298" customWidth="1"/>
    <col min="2567" max="2567" width="32" style="298" customWidth="1"/>
    <col min="2568" max="2568" width="14.5714285714286" style="298" customWidth="1"/>
    <col min="2569" max="2569" width="12.4285714285714" style="298" customWidth="1"/>
    <col min="2570" max="2570" width="51.2857142857143" style="298" customWidth="1"/>
    <col min="2571" max="2571" width="14.8571428571429" style="298" customWidth="1"/>
    <col min="2572" max="2572" width="25" style="298" customWidth="1"/>
    <col min="2573" max="2574" width="12.2857142857143" style="298" customWidth="1"/>
    <col min="2575" max="2575" width="24.7142857142857" style="298" customWidth="1"/>
    <col min="2576" max="2576" width="15" style="298" customWidth="1"/>
    <col min="2577" max="2821" width="9.14285714285714" style="298"/>
    <col min="2822" max="2822" width="6.42857142857143" style="298" customWidth="1"/>
    <col min="2823" max="2823" width="32" style="298" customWidth="1"/>
    <col min="2824" max="2824" width="14.5714285714286" style="298" customWidth="1"/>
    <col min="2825" max="2825" width="12.4285714285714" style="298" customWidth="1"/>
    <col min="2826" max="2826" width="51.2857142857143" style="298" customWidth="1"/>
    <col min="2827" max="2827" width="14.8571428571429" style="298" customWidth="1"/>
    <col min="2828" max="2828" width="25" style="298" customWidth="1"/>
    <col min="2829" max="2830" width="12.2857142857143" style="298" customWidth="1"/>
    <col min="2831" max="2831" width="24.7142857142857" style="298" customWidth="1"/>
    <col min="2832" max="2832" width="15" style="298" customWidth="1"/>
    <col min="2833" max="3077" width="9.14285714285714" style="298"/>
    <col min="3078" max="3078" width="6.42857142857143" style="298" customWidth="1"/>
    <col min="3079" max="3079" width="32" style="298" customWidth="1"/>
    <col min="3080" max="3080" width="14.5714285714286" style="298" customWidth="1"/>
    <col min="3081" max="3081" width="12.4285714285714" style="298" customWidth="1"/>
    <col min="3082" max="3082" width="51.2857142857143" style="298" customWidth="1"/>
    <col min="3083" max="3083" width="14.8571428571429" style="298" customWidth="1"/>
    <col min="3084" max="3084" width="25" style="298" customWidth="1"/>
    <col min="3085" max="3086" width="12.2857142857143" style="298" customWidth="1"/>
    <col min="3087" max="3087" width="24.7142857142857" style="298" customWidth="1"/>
    <col min="3088" max="3088" width="15" style="298" customWidth="1"/>
    <col min="3089" max="3333" width="9.14285714285714" style="298"/>
    <col min="3334" max="3334" width="6.42857142857143" style="298" customWidth="1"/>
    <col min="3335" max="3335" width="32" style="298" customWidth="1"/>
    <col min="3336" max="3336" width="14.5714285714286" style="298" customWidth="1"/>
    <col min="3337" max="3337" width="12.4285714285714" style="298" customWidth="1"/>
    <col min="3338" max="3338" width="51.2857142857143" style="298" customWidth="1"/>
    <col min="3339" max="3339" width="14.8571428571429" style="298" customWidth="1"/>
    <col min="3340" max="3340" width="25" style="298" customWidth="1"/>
    <col min="3341" max="3342" width="12.2857142857143" style="298" customWidth="1"/>
    <col min="3343" max="3343" width="24.7142857142857" style="298" customWidth="1"/>
    <col min="3344" max="3344" width="15" style="298" customWidth="1"/>
    <col min="3345" max="3589" width="9.14285714285714" style="298"/>
    <col min="3590" max="3590" width="6.42857142857143" style="298" customWidth="1"/>
    <col min="3591" max="3591" width="32" style="298" customWidth="1"/>
    <col min="3592" max="3592" width="14.5714285714286" style="298" customWidth="1"/>
    <col min="3593" max="3593" width="12.4285714285714" style="298" customWidth="1"/>
    <col min="3594" max="3594" width="51.2857142857143" style="298" customWidth="1"/>
    <col min="3595" max="3595" width="14.8571428571429" style="298" customWidth="1"/>
    <col min="3596" max="3596" width="25" style="298" customWidth="1"/>
    <col min="3597" max="3598" width="12.2857142857143" style="298" customWidth="1"/>
    <col min="3599" max="3599" width="24.7142857142857" style="298" customWidth="1"/>
    <col min="3600" max="3600" width="15" style="298" customWidth="1"/>
    <col min="3601" max="3845" width="9.14285714285714" style="298"/>
    <col min="3846" max="3846" width="6.42857142857143" style="298" customWidth="1"/>
    <col min="3847" max="3847" width="32" style="298" customWidth="1"/>
    <col min="3848" max="3848" width="14.5714285714286" style="298" customWidth="1"/>
    <col min="3849" max="3849" width="12.4285714285714" style="298" customWidth="1"/>
    <col min="3850" max="3850" width="51.2857142857143" style="298" customWidth="1"/>
    <col min="3851" max="3851" width="14.8571428571429" style="298" customWidth="1"/>
    <col min="3852" max="3852" width="25" style="298" customWidth="1"/>
    <col min="3853" max="3854" width="12.2857142857143" style="298" customWidth="1"/>
    <col min="3855" max="3855" width="24.7142857142857" style="298" customWidth="1"/>
    <col min="3856" max="3856" width="15" style="298" customWidth="1"/>
    <col min="3857" max="4101" width="9.14285714285714" style="298"/>
    <col min="4102" max="4102" width="6.42857142857143" style="298" customWidth="1"/>
    <col min="4103" max="4103" width="32" style="298" customWidth="1"/>
    <col min="4104" max="4104" width="14.5714285714286" style="298" customWidth="1"/>
    <col min="4105" max="4105" width="12.4285714285714" style="298" customWidth="1"/>
    <col min="4106" max="4106" width="51.2857142857143" style="298" customWidth="1"/>
    <col min="4107" max="4107" width="14.8571428571429" style="298" customWidth="1"/>
    <col min="4108" max="4108" width="25" style="298" customWidth="1"/>
    <col min="4109" max="4110" width="12.2857142857143" style="298" customWidth="1"/>
    <col min="4111" max="4111" width="24.7142857142857" style="298" customWidth="1"/>
    <col min="4112" max="4112" width="15" style="298" customWidth="1"/>
    <col min="4113" max="4357" width="9.14285714285714" style="298"/>
    <col min="4358" max="4358" width="6.42857142857143" style="298" customWidth="1"/>
    <col min="4359" max="4359" width="32" style="298" customWidth="1"/>
    <col min="4360" max="4360" width="14.5714285714286" style="298" customWidth="1"/>
    <col min="4361" max="4361" width="12.4285714285714" style="298" customWidth="1"/>
    <col min="4362" max="4362" width="51.2857142857143" style="298" customWidth="1"/>
    <col min="4363" max="4363" width="14.8571428571429" style="298" customWidth="1"/>
    <col min="4364" max="4364" width="25" style="298" customWidth="1"/>
    <col min="4365" max="4366" width="12.2857142857143" style="298" customWidth="1"/>
    <col min="4367" max="4367" width="24.7142857142857" style="298" customWidth="1"/>
    <col min="4368" max="4368" width="15" style="298" customWidth="1"/>
    <col min="4369" max="4613" width="9.14285714285714" style="298"/>
    <col min="4614" max="4614" width="6.42857142857143" style="298" customWidth="1"/>
    <col min="4615" max="4615" width="32" style="298" customWidth="1"/>
    <col min="4616" max="4616" width="14.5714285714286" style="298" customWidth="1"/>
    <col min="4617" max="4617" width="12.4285714285714" style="298" customWidth="1"/>
    <col min="4618" max="4618" width="51.2857142857143" style="298" customWidth="1"/>
    <col min="4619" max="4619" width="14.8571428571429" style="298" customWidth="1"/>
    <col min="4620" max="4620" width="25" style="298" customWidth="1"/>
    <col min="4621" max="4622" width="12.2857142857143" style="298" customWidth="1"/>
    <col min="4623" max="4623" width="24.7142857142857" style="298" customWidth="1"/>
    <col min="4624" max="4624" width="15" style="298" customWidth="1"/>
    <col min="4625" max="4869" width="9.14285714285714" style="298"/>
    <col min="4870" max="4870" width="6.42857142857143" style="298" customWidth="1"/>
    <col min="4871" max="4871" width="32" style="298" customWidth="1"/>
    <col min="4872" max="4872" width="14.5714285714286" style="298" customWidth="1"/>
    <col min="4873" max="4873" width="12.4285714285714" style="298" customWidth="1"/>
    <col min="4874" max="4874" width="51.2857142857143" style="298" customWidth="1"/>
    <col min="4875" max="4875" width="14.8571428571429" style="298" customWidth="1"/>
    <col min="4876" max="4876" width="25" style="298" customWidth="1"/>
    <col min="4877" max="4878" width="12.2857142857143" style="298" customWidth="1"/>
    <col min="4879" max="4879" width="24.7142857142857" style="298" customWidth="1"/>
    <col min="4880" max="4880" width="15" style="298" customWidth="1"/>
    <col min="4881" max="5125" width="9.14285714285714" style="298"/>
    <col min="5126" max="5126" width="6.42857142857143" style="298" customWidth="1"/>
    <col min="5127" max="5127" width="32" style="298" customWidth="1"/>
    <col min="5128" max="5128" width="14.5714285714286" style="298" customWidth="1"/>
    <col min="5129" max="5129" width="12.4285714285714" style="298" customWidth="1"/>
    <col min="5130" max="5130" width="51.2857142857143" style="298" customWidth="1"/>
    <col min="5131" max="5131" width="14.8571428571429" style="298" customWidth="1"/>
    <col min="5132" max="5132" width="25" style="298" customWidth="1"/>
    <col min="5133" max="5134" width="12.2857142857143" style="298" customWidth="1"/>
    <col min="5135" max="5135" width="24.7142857142857" style="298" customWidth="1"/>
    <col min="5136" max="5136" width="15" style="298" customWidth="1"/>
    <col min="5137" max="5381" width="9.14285714285714" style="298"/>
    <col min="5382" max="5382" width="6.42857142857143" style="298" customWidth="1"/>
    <col min="5383" max="5383" width="32" style="298" customWidth="1"/>
    <col min="5384" max="5384" width="14.5714285714286" style="298" customWidth="1"/>
    <col min="5385" max="5385" width="12.4285714285714" style="298" customWidth="1"/>
    <col min="5386" max="5386" width="51.2857142857143" style="298" customWidth="1"/>
    <col min="5387" max="5387" width="14.8571428571429" style="298" customWidth="1"/>
    <col min="5388" max="5388" width="25" style="298" customWidth="1"/>
    <col min="5389" max="5390" width="12.2857142857143" style="298" customWidth="1"/>
    <col min="5391" max="5391" width="24.7142857142857" style="298" customWidth="1"/>
    <col min="5392" max="5392" width="15" style="298" customWidth="1"/>
    <col min="5393" max="5637" width="9.14285714285714" style="298"/>
    <col min="5638" max="5638" width="6.42857142857143" style="298" customWidth="1"/>
    <col min="5639" max="5639" width="32" style="298" customWidth="1"/>
    <col min="5640" max="5640" width="14.5714285714286" style="298" customWidth="1"/>
    <col min="5641" max="5641" width="12.4285714285714" style="298" customWidth="1"/>
    <col min="5642" max="5642" width="51.2857142857143" style="298" customWidth="1"/>
    <col min="5643" max="5643" width="14.8571428571429" style="298" customWidth="1"/>
    <col min="5644" max="5644" width="25" style="298" customWidth="1"/>
    <col min="5645" max="5646" width="12.2857142857143" style="298" customWidth="1"/>
    <col min="5647" max="5647" width="24.7142857142857" style="298" customWidth="1"/>
    <col min="5648" max="5648" width="15" style="298" customWidth="1"/>
    <col min="5649" max="5893" width="9.14285714285714" style="298"/>
    <col min="5894" max="5894" width="6.42857142857143" style="298" customWidth="1"/>
    <col min="5895" max="5895" width="32" style="298" customWidth="1"/>
    <col min="5896" max="5896" width="14.5714285714286" style="298" customWidth="1"/>
    <col min="5897" max="5897" width="12.4285714285714" style="298" customWidth="1"/>
    <col min="5898" max="5898" width="51.2857142857143" style="298" customWidth="1"/>
    <col min="5899" max="5899" width="14.8571428571429" style="298" customWidth="1"/>
    <col min="5900" max="5900" width="25" style="298" customWidth="1"/>
    <col min="5901" max="5902" width="12.2857142857143" style="298" customWidth="1"/>
    <col min="5903" max="5903" width="24.7142857142857" style="298" customWidth="1"/>
    <col min="5904" max="5904" width="15" style="298" customWidth="1"/>
    <col min="5905" max="6149" width="9.14285714285714" style="298"/>
    <col min="6150" max="6150" width="6.42857142857143" style="298" customWidth="1"/>
    <col min="6151" max="6151" width="32" style="298" customWidth="1"/>
    <col min="6152" max="6152" width="14.5714285714286" style="298" customWidth="1"/>
    <col min="6153" max="6153" width="12.4285714285714" style="298" customWidth="1"/>
    <col min="6154" max="6154" width="51.2857142857143" style="298" customWidth="1"/>
    <col min="6155" max="6155" width="14.8571428571429" style="298" customWidth="1"/>
    <col min="6156" max="6156" width="25" style="298" customWidth="1"/>
    <col min="6157" max="6158" width="12.2857142857143" style="298" customWidth="1"/>
    <col min="6159" max="6159" width="24.7142857142857" style="298" customWidth="1"/>
    <col min="6160" max="6160" width="15" style="298" customWidth="1"/>
    <col min="6161" max="6405" width="9.14285714285714" style="298"/>
    <col min="6406" max="6406" width="6.42857142857143" style="298" customWidth="1"/>
    <col min="6407" max="6407" width="32" style="298" customWidth="1"/>
    <col min="6408" max="6408" width="14.5714285714286" style="298" customWidth="1"/>
    <col min="6409" max="6409" width="12.4285714285714" style="298" customWidth="1"/>
    <col min="6410" max="6410" width="51.2857142857143" style="298" customWidth="1"/>
    <col min="6411" max="6411" width="14.8571428571429" style="298" customWidth="1"/>
    <col min="6412" max="6412" width="25" style="298" customWidth="1"/>
    <col min="6413" max="6414" width="12.2857142857143" style="298" customWidth="1"/>
    <col min="6415" max="6415" width="24.7142857142857" style="298" customWidth="1"/>
    <col min="6416" max="6416" width="15" style="298" customWidth="1"/>
    <col min="6417" max="6661" width="9.14285714285714" style="298"/>
    <col min="6662" max="6662" width="6.42857142857143" style="298" customWidth="1"/>
    <col min="6663" max="6663" width="32" style="298" customWidth="1"/>
    <col min="6664" max="6664" width="14.5714285714286" style="298" customWidth="1"/>
    <col min="6665" max="6665" width="12.4285714285714" style="298" customWidth="1"/>
    <col min="6666" max="6666" width="51.2857142857143" style="298" customWidth="1"/>
    <col min="6667" max="6667" width="14.8571428571429" style="298" customWidth="1"/>
    <col min="6668" max="6668" width="25" style="298" customWidth="1"/>
    <col min="6669" max="6670" width="12.2857142857143" style="298" customWidth="1"/>
    <col min="6671" max="6671" width="24.7142857142857" style="298" customWidth="1"/>
    <col min="6672" max="6672" width="15" style="298" customWidth="1"/>
    <col min="6673" max="6917" width="9.14285714285714" style="298"/>
    <col min="6918" max="6918" width="6.42857142857143" style="298" customWidth="1"/>
    <col min="6919" max="6919" width="32" style="298" customWidth="1"/>
    <col min="6920" max="6920" width="14.5714285714286" style="298" customWidth="1"/>
    <col min="6921" max="6921" width="12.4285714285714" style="298" customWidth="1"/>
    <col min="6922" max="6922" width="51.2857142857143" style="298" customWidth="1"/>
    <col min="6923" max="6923" width="14.8571428571429" style="298" customWidth="1"/>
    <col min="6924" max="6924" width="25" style="298" customWidth="1"/>
    <col min="6925" max="6926" width="12.2857142857143" style="298" customWidth="1"/>
    <col min="6927" max="6927" width="24.7142857142857" style="298" customWidth="1"/>
    <col min="6928" max="6928" width="15" style="298" customWidth="1"/>
    <col min="6929" max="7173" width="9.14285714285714" style="298"/>
    <col min="7174" max="7174" width="6.42857142857143" style="298" customWidth="1"/>
    <col min="7175" max="7175" width="32" style="298" customWidth="1"/>
    <col min="7176" max="7176" width="14.5714285714286" style="298" customWidth="1"/>
    <col min="7177" max="7177" width="12.4285714285714" style="298" customWidth="1"/>
    <col min="7178" max="7178" width="51.2857142857143" style="298" customWidth="1"/>
    <col min="7179" max="7179" width="14.8571428571429" style="298" customWidth="1"/>
    <col min="7180" max="7180" width="25" style="298" customWidth="1"/>
    <col min="7181" max="7182" width="12.2857142857143" style="298" customWidth="1"/>
    <col min="7183" max="7183" width="24.7142857142857" style="298" customWidth="1"/>
    <col min="7184" max="7184" width="15" style="298" customWidth="1"/>
    <col min="7185" max="7429" width="9.14285714285714" style="298"/>
    <col min="7430" max="7430" width="6.42857142857143" style="298" customWidth="1"/>
    <col min="7431" max="7431" width="32" style="298" customWidth="1"/>
    <col min="7432" max="7432" width="14.5714285714286" style="298" customWidth="1"/>
    <col min="7433" max="7433" width="12.4285714285714" style="298" customWidth="1"/>
    <col min="7434" max="7434" width="51.2857142857143" style="298" customWidth="1"/>
    <col min="7435" max="7435" width="14.8571428571429" style="298" customWidth="1"/>
    <col min="7436" max="7436" width="25" style="298" customWidth="1"/>
    <col min="7437" max="7438" width="12.2857142857143" style="298" customWidth="1"/>
    <col min="7439" max="7439" width="24.7142857142857" style="298" customWidth="1"/>
    <col min="7440" max="7440" width="15" style="298" customWidth="1"/>
    <col min="7441" max="7685" width="9.14285714285714" style="298"/>
    <col min="7686" max="7686" width="6.42857142857143" style="298" customWidth="1"/>
    <col min="7687" max="7687" width="32" style="298" customWidth="1"/>
    <col min="7688" max="7688" width="14.5714285714286" style="298" customWidth="1"/>
    <col min="7689" max="7689" width="12.4285714285714" style="298" customWidth="1"/>
    <col min="7690" max="7690" width="51.2857142857143" style="298" customWidth="1"/>
    <col min="7691" max="7691" width="14.8571428571429" style="298" customWidth="1"/>
    <col min="7692" max="7692" width="25" style="298" customWidth="1"/>
    <col min="7693" max="7694" width="12.2857142857143" style="298" customWidth="1"/>
    <col min="7695" max="7695" width="24.7142857142857" style="298" customWidth="1"/>
    <col min="7696" max="7696" width="15" style="298" customWidth="1"/>
    <col min="7697" max="7941" width="9.14285714285714" style="298"/>
    <col min="7942" max="7942" width="6.42857142857143" style="298" customWidth="1"/>
    <col min="7943" max="7943" width="32" style="298" customWidth="1"/>
    <col min="7944" max="7944" width="14.5714285714286" style="298" customWidth="1"/>
    <col min="7945" max="7945" width="12.4285714285714" style="298" customWidth="1"/>
    <col min="7946" max="7946" width="51.2857142857143" style="298" customWidth="1"/>
    <col min="7947" max="7947" width="14.8571428571429" style="298" customWidth="1"/>
    <col min="7948" max="7948" width="25" style="298" customWidth="1"/>
    <col min="7949" max="7950" width="12.2857142857143" style="298" customWidth="1"/>
    <col min="7951" max="7951" width="24.7142857142857" style="298" customWidth="1"/>
    <col min="7952" max="7952" width="15" style="298" customWidth="1"/>
    <col min="7953" max="8197" width="9.14285714285714" style="298"/>
    <col min="8198" max="8198" width="6.42857142857143" style="298" customWidth="1"/>
    <col min="8199" max="8199" width="32" style="298" customWidth="1"/>
    <col min="8200" max="8200" width="14.5714285714286" style="298" customWidth="1"/>
    <col min="8201" max="8201" width="12.4285714285714" style="298" customWidth="1"/>
    <col min="8202" max="8202" width="51.2857142857143" style="298" customWidth="1"/>
    <col min="8203" max="8203" width="14.8571428571429" style="298" customWidth="1"/>
    <col min="8204" max="8204" width="25" style="298" customWidth="1"/>
    <col min="8205" max="8206" width="12.2857142857143" style="298" customWidth="1"/>
    <col min="8207" max="8207" width="24.7142857142857" style="298" customWidth="1"/>
    <col min="8208" max="8208" width="15" style="298" customWidth="1"/>
    <col min="8209" max="8453" width="9.14285714285714" style="298"/>
    <col min="8454" max="8454" width="6.42857142857143" style="298" customWidth="1"/>
    <col min="8455" max="8455" width="32" style="298" customWidth="1"/>
    <col min="8456" max="8456" width="14.5714285714286" style="298" customWidth="1"/>
    <col min="8457" max="8457" width="12.4285714285714" style="298" customWidth="1"/>
    <col min="8458" max="8458" width="51.2857142857143" style="298" customWidth="1"/>
    <col min="8459" max="8459" width="14.8571428571429" style="298" customWidth="1"/>
    <col min="8460" max="8460" width="25" style="298" customWidth="1"/>
    <col min="8461" max="8462" width="12.2857142857143" style="298" customWidth="1"/>
    <col min="8463" max="8463" width="24.7142857142857" style="298" customWidth="1"/>
    <col min="8464" max="8464" width="15" style="298" customWidth="1"/>
    <col min="8465" max="8709" width="9.14285714285714" style="298"/>
    <col min="8710" max="8710" width="6.42857142857143" style="298" customWidth="1"/>
    <col min="8711" max="8711" width="32" style="298" customWidth="1"/>
    <col min="8712" max="8712" width="14.5714285714286" style="298" customWidth="1"/>
    <col min="8713" max="8713" width="12.4285714285714" style="298" customWidth="1"/>
    <col min="8714" max="8714" width="51.2857142857143" style="298" customWidth="1"/>
    <col min="8715" max="8715" width="14.8571428571429" style="298" customWidth="1"/>
    <col min="8716" max="8716" width="25" style="298" customWidth="1"/>
    <col min="8717" max="8718" width="12.2857142857143" style="298" customWidth="1"/>
    <col min="8719" max="8719" width="24.7142857142857" style="298" customWidth="1"/>
    <col min="8720" max="8720" width="15" style="298" customWidth="1"/>
    <col min="8721" max="8965" width="9.14285714285714" style="298"/>
    <col min="8966" max="8966" width="6.42857142857143" style="298" customWidth="1"/>
    <col min="8967" max="8967" width="32" style="298" customWidth="1"/>
    <col min="8968" max="8968" width="14.5714285714286" style="298" customWidth="1"/>
    <col min="8969" max="8969" width="12.4285714285714" style="298" customWidth="1"/>
    <col min="8970" max="8970" width="51.2857142857143" style="298" customWidth="1"/>
    <col min="8971" max="8971" width="14.8571428571429" style="298" customWidth="1"/>
    <col min="8972" max="8972" width="25" style="298" customWidth="1"/>
    <col min="8973" max="8974" width="12.2857142857143" style="298" customWidth="1"/>
    <col min="8975" max="8975" width="24.7142857142857" style="298" customWidth="1"/>
    <col min="8976" max="8976" width="15" style="298" customWidth="1"/>
    <col min="8977" max="9221" width="9.14285714285714" style="298"/>
    <col min="9222" max="9222" width="6.42857142857143" style="298" customWidth="1"/>
    <col min="9223" max="9223" width="32" style="298" customWidth="1"/>
    <col min="9224" max="9224" width="14.5714285714286" style="298" customWidth="1"/>
    <col min="9225" max="9225" width="12.4285714285714" style="298" customWidth="1"/>
    <col min="9226" max="9226" width="51.2857142857143" style="298" customWidth="1"/>
    <col min="9227" max="9227" width="14.8571428571429" style="298" customWidth="1"/>
    <col min="9228" max="9228" width="25" style="298" customWidth="1"/>
    <col min="9229" max="9230" width="12.2857142857143" style="298" customWidth="1"/>
    <col min="9231" max="9231" width="24.7142857142857" style="298" customWidth="1"/>
    <col min="9232" max="9232" width="15" style="298" customWidth="1"/>
    <col min="9233" max="9477" width="9.14285714285714" style="298"/>
    <col min="9478" max="9478" width="6.42857142857143" style="298" customWidth="1"/>
    <col min="9479" max="9479" width="32" style="298" customWidth="1"/>
    <col min="9480" max="9480" width="14.5714285714286" style="298" customWidth="1"/>
    <col min="9481" max="9481" width="12.4285714285714" style="298" customWidth="1"/>
    <col min="9482" max="9482" width="51.2857142857143" style="298" customWidth="1"/>
    <col min="9483" max="9483" width="14.8571428571429" style="298" customWidth="1"/>
    <col min="9484" max="9484" width="25" style="298" customWidth="1"/>
    <col min="9485" max="9486" width="12.2857142857143" style="298" customWidth="1"/>
    <col min="9487" max="9487" width="24.7142857142857" style="298" customWidth="1"/>
    <col min="9488" max="9488" width="15" style="298" customWidth="1"/>
    <col min="9489" max="9733" width="9.14285714285714" style="298"/>
    <col min="9734" max="9734" width="6.42857142857143" style="298" customWidth="1"/>
    <col min="9735" max="9735" width="32" style="298" customWidth="1"/>
    <col min="9736" max="9736" width="14.5714285714286" style="298" customWidth="1"/>
    <col min="9737" max="9737" width="12.4285714285714" style="298" customWidth="1"/>
    <col min="9738" max="9738" width="51.2857142857143" style="298" customWidth="1"/>
    <col min="9739" max="9739" width="14.8571428571429" style="298" customWidth="1"/>
    <col min="9740" max="9740" width="25" style="298" customWidth="1"/>
    <col min="9741" max="9742" width="12.2857142857143" style="298" customWidth="1"/>
    <col min="9743" max="9743" width="24.7142857142857" style="298" customWidth="1"/>
    <col min="9744" max="9744" width="15" style="298" customWidth="1"/>
    <col min="9745" max="9989" width="9.14285714285714" style="298"/>
    <col min="9990" max="9990" width="6.42857142857143" style="298" customWidth="1"/>
    <col min="9991" max="9991" width="32" style="298" customWidth="1"/>
    <col min="9992" max="9992" width="14.5714285714286" style="298" customWidth="1"/>
    <col min="9993" max="9993" width="12.4285714285714" style="298" customWidth="1"/>
    <col min="9994" max="9994" width="51.2857142857143" style="298" customWidth="1"/>
    <col min="9995" max="9995" width="14.8571428571429" style="298" customWidth="1"/>
    <col min="9996" max="9996" width="25" style="298" customWidth="1"/>
    <col min="9997" max="9998" width="12.2857142857143" style="298" customWidth="1"/>
    <col min="9999" max="9999" width="24.7142857142857" style="298" customWidth="1"/>
    <col min="10000" max="10000" width="15" style="298" customWidth="1"/>
    <col min="10001" max="10245" width="9.14285714285714" style="298"/>
    <col min="10246" max="10246" width="6.42857142857143" style="298" customWidth="1"/>
    <col min="10247" max="10247" width="32" style="298" customWidth="1"/>
    <col min="10248" max="10248" width="14.5714285714286" style="298" customWidth="1"/>
    <col min="10249" max="10249" width="12.4285714285714" style="298" customWidth="1"/>
    <col min="10250" max="10250" width="51.2857142857143" style="298" customWidth="1"/>
    <col min="10251" max="10251" width="14.8571428571429" style="298" customWidth="1"/>
    <col min="10252" max="10252" width="25" style="298" customWidth="1"/>
    <col min="10253" max="10254" width="12.2857142857143" style="298" customWidth="1"/>
    <col min="10255" max="10255" width="24.7142857142857" style="298" customWidth="1"/>
    <col min="10256" max="10256" width="15" style="298" customWidth="1"/>
    <col min="10257" max="10501" width="9.14285714285714" style="298"/>
    <col min="10502" max="10502" width="6.42857142857143" style="298" customWidth="1"/>
    <col min="10503" max="10503" width="32" style="298" customWidth="1"/>
    <col min="10504" max="10504" width="14.5714285714286" style="298" customWidth="1"/>
    <col min="10505" max="10505" width="12.4285714285714" style="298" customWidth="1"/>
    <col min="10506" max="10506" width="51.2857142857143" style="298" customWidth="1"/>
    <col min="10507" max="10507" width="14.8571428571429" style="298" customWidth="1"/>
    <col min="10508" max="10508" width="25" style="298" customWidth="1"/>
    <col min="10509" max="10510" width="12.2857142857143" style="298" customWidth="1"/>
    <col min="10511" max="10511" width="24.7142857142857" style="298" customWidth="1"/>
    <col min="10512" max="10512" width="15" style="298" customWidth="1"/>
    <col min="10513" max="10757" width="9.14285714285714" style="298"/>
    <col min="10758" max="10758" width="6.42857142857143" style="298" customWidth="1"/>
    <col min="10759" max="10759" width="32" style="298" customWidth="1"/>
    <col min="10760" max="10760" width="14.5714285714286" style="298" customWidth="1"/>
    <col min="10761" max="10761" width="12.4285714285714" style="298" customWidth="1"/>
    <col min="10762" max="10762" width="51.2857142857143" style="298" customWidth="1"/>
    <col min="10763" max="10763" width="14.8571428571429" style="298" customWidth="1"/>
    <col min="10764" max="10764" width="25" style="298" customWidth="1"/>
    <col min="10765" max="10766" width="12.2857142857143" style="298" customWidth="1"/>
    <col min="10767" max="10767" width="24.7142857142857" style="298" customWidth="1"/>
    <col min="10768" max="10768" width="15" style="298" customWidth="1"/>
    <col min="10769" max="11013" width="9.14285714285714" style="298"/>
    <col min="11014" max="11014" width="6.42857142857143" style="298" customWidth="1"/>
    <col min="11015" max="11015" width="32" style="298" customWidth="1"/>
    <col min="11016" max="11016" width="14.5714285714286" style="298" customWidth="1"/>
    <col min="11017" max="11017" width="12.4285714285714" style="298" customWidth="1"/>
    <col min="11018" max="11018" width="51.2857142857143" style="298" customWidth="1"/>
    <col min="11019" max="11019" width="14.8571428571429" style="298" customWidth="1"/>
    <col min="11020" max="11020" width="25" style="298" customWidth="1"/>
    <col min="11021" max="11022" width="12.2857142857143" style="298" customWidth="1"/>
    <col min="11023" max="11023" width="24.7142857142857" style="298" customWidth="1"/>
    <col min="11024" max="11024" width="15" style="298" customWidth="1"/>
    <col min="11025" max="11269" width="9.14285714285714" style="298"/>
    <col min="11270" max="11270" width="6.42857142857143" style="298" customWidth="1"/>
    <col min="11271" max="11271" width="32" style="298" customWidth="1"/>
    <col min="11272" max="11272" width="14.5714285714286" style="298" customWidth="1"/>
    <col min="11273" max="11273" width="12.4285714285714" style="298" customWidth="1"/>
    <col min="11274" max="11274" width="51.2857142857143" style="298" customWidth="1"/>
    <col min="11275" max="11275" width="14.8571428571429" style="298" customWidth="1"/>
    <col min="11276" max="11276" width="25" style="298" customWidth="1"/>
    <col min="11277" max="11278" width="12.2857142857143" style="298" customWidth="1"/>
    <col min="11279" max="11279" width="24.7142857142857" style="298" customWidth="1"/>
    <col min="11280" max="11280" width="15" style="298" customWidth="1"/>
    <col min="11281" max="11525" width="9.14285714285714" style="298"/>
    <col min="11526" max="11526" width="6.42857142857143" style="298" customWidth="1"/>
    <col min="11527" max="11527" width="32" style="298" customWidth="1"/>
    <col min="11528" max="11528" width="14.5714285714286" style="298" customWidth="1"/>
    <col min="11529" max="11529" width="12.4285714285714" style="298" customWidth="1"/>
    <col min="11530" max="11530" width="51.2857142857143" style="298" customWidth="1"/>
    <col min="11531" max="11531" width="14.8571428571429" style="298" customWidth="1"/>
    <col min="11532" max="11532" width="25" style="298" customWidth="1"/>
    <col min="11533" max="11534" width="12.2857142857143" style="298" customWidth="1"/>
    <col min="11535" max="11535" width="24.7142857142857" style="298" customWidth="1"/>
    <col min="11536" max="11536" width="15" style="298" customWidth="1"/>
    <col min="11537" max="11781" width="9.14285714285714" style="298"/>
    <col min="11782" max="11782" width="6.42857142857143" style="298" customWidth="1"/>
    <col min="11783" max="11783" width="32" style="298" customWidth="1"/>
    <col min="11784" max="11784" width="14.5714285714286" style="298" customWidth="1"/>
    <col min="11785" max="11785" width="12.4285714285714" style="298" customWidth="1"/>
    <col min="11786" max="11786" width="51.2857142857143" style="298" customWidth="1"/>
    <col min="11787" max="11787" width="14.8571428571429" style="298" customWidth="1"/>
    <col min="11788" max="11788" width="25" style="298" customWidth="1"/>
    <col min="11789" max="11790" width="12.2857142857143" style="298" customWidth="1"/>
    <col min="11791" max="11791" width="24.7142857142857" style="298" customWidth="1"/>
    <col min="11792" max="11792" width="15" style="298" customWidth="1"/>
    <col min="11793" max="12037" width="9.14285714285714" style="298"/>
    <col min="12038" max="12038" width="6.42857142857143" style="298" customWidth="1"/>
    <col min="12039" max="12039" width="32" style="298" customWidth="1"/>
    <col min="12040" max="12040" width="14.5714285714286" style="298" customWidth="1"/>
    <col min="12041" max="12041" width="12.4285714285714" style="298" customWidth="1"/>
    <col min="12042" max="12042" width="51.2857142857143" style="298" customWidth="1"/>
    <col min="12043" max="12043" width="14.8571428571429" style="298" customWidth="1"/>
    <col min="12044" max="12044" width="25" style="298" customWidth="1"/>
    <col min="12045" max="12046" width="12.2857142857143" style="298" customWidth="1"/>
    <col min="12047" max="12047" width="24.7142857142857" style="298" customWidth="1"/>
    <col min="12048" max="12048" width="15" style="298" customWidth="1"/>
    <col min="12049" max="12293" width="9.14285714285714" style="298"/>
    <col min="12294" max="12294" width="6.42857142857143" style="298" customWidth="1"/>
    <col min="12295" max="12295" width="32" style="298" customWidth="1"/>
    <col min="12296" max="12296" width="14.5714285714286" style="298" customWidth="1"/>
    <col min="12297" max="12297" width="12.4285714285714" style="298" customWidth="1"/>
    <col min="12298" max="12298" width="51.2857142857143" style="298" customWidth="1"/>
    <col min="12299" max="12299" width="14.8571428571429" style="298" customWidth="1"/>
    <col min="12300" max="12300" width="25" style="298" customWidth="1"/>
    <col min="12301" max="12302" width="12.2857142857143" style="298" customWidth="1"/>
    <col min="12303" max="12303" width="24.7142857142857" style="298" customWidth="1"/>
    <col min="12304" max="12304" width="15" style="298" customWidth="1"/>
    <col min="12305" max="12549" width="9.14285714285714" style="298"/>
    <col min="12550" max="12550" width="6.42857142857143" style="298" customWidth="1"/>
    <col min="12551" max="12551" width="32" style="298" customWidth="1"/>
    <col min="12552" max="12552" width="14.5714285714286" style="298" customWidth="1"/>
    <col min="12553" max="12553" width="12.4285714285714" style="298" customWidth="1"/>
    <col min="12554" max="12554" width="51.2857142857143" style="298" customWidth="1"/>
    <col min="12555" max="12555" width="14.8571428571429" style="298" customWidth="1"/>
    <col min="12556" max="12556" width="25" style="298" customWidth="1"/>
    <col min="12557" max="12558" width="12.2857142857143" style="298" customWidth="1"/>
    <col min="12559" max="12559" width="24.7142857142857" style="298" customWidth="1"/>
    <col min="12560" max="12560" width="15" style="298" customWidth="1"/>
    <col min="12561" max="12805" width="9.14285714285714" style="298"/>
    <col min="12806" max="12806" width="6.42857142857143" style="298" customWidth="1"/>
    <col min="12807" max="12807" width="32" style="298" customWidth="1"/>
    <col min="12808" max="12808" width="14.5714285714286" style="298" customWidth="1"/>
    <col min="12809" max="12809" width="12.4285714285714" style="298" customWidth="1"/>
    <col min="12810" max="12810" width="51.2857142857143" style="298" customWidth="1"/>
    <col min="12811" max="12811" width="14.8571428571429" style="298" customWidth="1"/>
    <col min="12812" max="12812" width="25" style="298" customWidth="1"/>
    <col min="12813" max="12814" width="12.2857142857143" style="298" customWidth="1"/>
    <col min="12815" max="12815" width="24.7142857142857" style="298" customWidth="1"/>
    <col min="12816" max="12816" width="15" style="298" customWidth="1"/>
    <col min="12817" max="13061" width="9.14285714285714" style="298"/>
    <col min="13062" max="13062" width="6.42857142857143" style="298" customWidth="1"/>
    <col min="13063" max="13063" width="32" style="298" customWidth="1"/>
    <col min="13064" max="13064" width="14.5714285714286" style="298" customWidth="1"/>
    <col min="13065" max="13065" width="12.4285714285714" style="298" customWidth="1"/>
    <col min="13066" max="13066" width="51.2857142857143" style="298" customWidth="1"/>
    <col min="13067" max="13067" width="14.8571428571429" style="298" customWidth="1"/>
    <col min="13068" max="13068" width="25" style="298" customWidth="1"/>
    <col min="13069" max="13070" width="12.2857142857143" style="298" customWidth="1"/>
    <col min="13071" max="13071" width="24.7142857142857" style="298" customWidth="1"/>
    <col min="13072" max="13072" width="15" style="298" customWidth="1"/>
    <col min="13073" max="13317" width="9.14285714285714" style="298"/>
    <col min="13318" max="13318" width="6.42857142857143" style="298" customWidth="1"/>
    <col min="13319" max="13319" width="32" style="298" customWidth="1"/>
    <col min="13320" max="13320" width="14.5714285714286" style="298" customWidth="1"/>
    <col min="13321" max="13321" width="12.4285714285714" style="298" customWidth="1"/>
    <col min="13322" max="13322" width="51.2857142857143" style="298" customWidth="1"/>
    <col min="13323" max="13323" width="14.8571428571429" style="298" customWidth="1"/>
    <col min="13324" max="13324" width="25" style="298" customWidth="1"/>
    <col min="13325" max="13326" width="12.2857142857143" style="298" customWidth="1"/>
    <col min="13327" max="13327" width="24.7142857142857" style="298" customWidth="1"/>
    <col min="13328" max="13328" width="15" style="298" customWidth="1"/>
    <col min="13329" max="13573" width="9.14285714285714" style="298"/>
    <col min="13574" max="13574" width="6.42857142857143" style="298" customWidth="1"/>
    <col min="13575" max="13575" width="32" style="298" customWidth="1"/>
    <col min="13576" max="13576" width="14.5714285714286" style="298" customWidth="1"/>
    <col min="13577" max="13577" width="12.4285714285714" style="298" customWidth="1"/>
    <col min="13578" max="13578" width="51.2857142857143" style="298" customWidth="1"/>
    <col min="13579" max="13579" width="14.8571428571429" style="298" customWidth="1"/>
    <col min="13580" max="13580" width="25" style="298" customWidth="1"/>
    <col min="13581" max="13582" width="12.2857142857143" style="298" customWidth="1"/>
    <col min="13583" max="13583" width="24.7142857142857" style="298" customWidth="1"/>
    <col min="13584" max="13584" width="15" style="298" customWidth="1"/>
    <col min="13585" max="13829" width="9.14285714285714" style="298"/>
    <col min="13830" max="13830" width="6.42857142857143" style="298" customWidth="1"/>
    <col min="13831" max="13831" width="32" style="298" customWidth="1"/>
    <col min="13832" max="13832" width="14.5714285714286" style="298" customWidth="1"/>
    <col min="13833" max="13833" width="12.4285714285714" style="298" customWidth="1"/>
    <col min="13834" max="13834" width="51.2857142857143" style="298" customWidth="1"/>
    <col min="13835" max="13835" width="14.8571428571429" style="298" customWidth="1"/>
    <col min="13836" max="13836" width="25" style="298" customWidth="1"/>
    <col min="13837" max="13838" width="12.2857142857143" style="298" customWidth="1"/>
    <col min="13839" max="13839" width="24.7142857142857" style="298" customWidth="1"/>
    <col min="13840" max="13840" width="15" style="298" customWidth="1"/>
    <col min="13841" max="14085" width="9.14285714285714" style="298"/>
    <col min="14086" max="14086" width="6.42857142857143" style="298" customWidth="1"/>
    <col min="14087" max="14087" width="32" style="298" customWidth="1"/>
    <col min="14088" max="14088" width="14.5714285714286" style="298" customWidth="1"/>
    <col min="14089" max="14089" width="12.4285714285714" style="298" customWidth="1"/>
    <col min="14090" max="14090" width="51.2857142857143" style="298" customWidth="1"/>
    <col min="14091" max="14091" width="14.8571428571429" style="298" customWidth="1"/>
    <col min="14092" max="14092" width="25" style="298" customWidth="1"/>
    <col min="14093" max="14094" width="12.2857142857143" style="298" customWidth="1"/>
    <col min="14095" max="14095" width="24.7142857142857" style="298" customWidth="1"/>
    <col min="14096" max="14096" width="15" style="298" customWidth="1"/>
    <col min="14097" max="14341" width="9.14285714285714" style="298"/>
    <col min="14342" max="14342" width="6.42857142857143" style="298" customWidth="1"/>
    <col min="14343" max="14343" width="32" style="298" customWidth="1"/>
    <col min="14344" max="14344" width="14.5714285714286" style="298" customWidth="1"/>
    <col min="14345" max="14345" width="12.4285714285714" style="298" customWidth="1"/>
    <col min="14346" max="14346" width="51.2857142857143" style="298" customWidth="1"/>
    <col min="14347" max="14347" width="14.8571428571429" style="298" customWidth="1"/>
    <col min="14348" max="14348" width="25" style="298" customWidth="1"/>
    <col min="14349" max="14350" width="12.2857142857143" style="298" customWidth="1"/>
    <col min="14351" max="14351" width="24.7142857142857" style="298" customWidth="1"/>
    <col min="14352" max="14352" width="15" style="298" customWidth="1"/>
    <col min="14353" max="14597" width="9.14285714285714" style="298"/>
    <col min="14598" max="14598" width="6.42857142857143" style="298" customWidth="1"/>
    <col min="14599" max="14599" width="32" style="298" customWidth="1"/>
    <col min="14600" max="14600" width="14.5714285714286" style="298" customWidth="1"/>
    <col min="14601" max="14601" width="12.4285714285714" style="298" customWidth="1"/>
    <col min="14602" max="14602" width="51.2857142857143" style="298" customWidth="1"/>
    <col min="14603" max="14603" width="14.8571428571429" style="298" customWidth="1"/>
    <col min="14604" max="14604" width="25" style="298" customWidth="1"/>
    <col min="14605" max="14606" width="12.2857142857143" style="298" customWidth="1"/>
    <col min="14607" max="14607" width="24.7142857142857" style="298" customWidth="1"/>
    <col min="14608" max="14608" width="15" style="298" customWidth="1"/>
    <col min="14609" max="14853" width="9.14285714285714" style="298"/>
    <col min="14854" max="14854" width="6.42857142857143" style="298" customWidth="1"/>
    <col min="14855" max="14855" width="32" style="298" customWidth="1"/>
    <col min="14856" max="14856" width="14.5714285714286" style="298" customWidth="1"/>
    <col min="14857" max="14857" width="12.4285714285714" style="298" customWidth="1"/>
    <col min="14858" max="14858" width="51.2857142857143" style="298" customWidth="1"/>
    <col min="14859" max="14859" width="14.8571428571429" style="298" customWidth="1"/>
    <col min="14860" max="14860" width="25" style="298" customWidth="1"/>
    <col min="14861" max="14862" width="12.2857142857143" style="298" customWidth="1"/>
    <col min="14863" max="14863" width="24.7142857142857" style="298" customWidth="1"/>
    <col min="14864" max="14864" width="15" style="298" customWidth="1"/>
    <col min="14865" max="15109" width="9.14285714285714" style="298"/>
    <col min="15110" max="15110" width="6.42857142857143" style="298" customWidth="1"/>
    <col min="15111" max="15111" width="32" style="298" customWidth="1"/>
    <col min="15112" max="15112" width="14.5714285714286" style="298" customWidth="1"/>
    <col min="15113" max="15113" width="12.4285714285714" style="298" customWidth="1"/>
    <col min="15114" max="15114" width="51.2857142857143" style="298" customWidth="1"/>
    <col min="15115" max="15115" width="14.8571428571429" style="298" customWidth="1"/>
    <col min="15116" max="15116" width="25" style="298" customWidth="1"/>
    <col min="15117" max="15118" width="12.2857142857143" style="298" customWidth="1"/>
    <col min="15119" max="15119" width="24.7142857142857" style="298" customWidth="1"/>
    <col min="15120" max="15120" width="15" style="298" customWidth="1"/>
    <col min="15121" max="15365" width="9.14285714285714" style="298"/>
    <col min="15366" max="15366" width="6.42857142857143" style="298" customWidth="1"/>
    <col min="15367" max="15367" width="32" style="298" customWidth="1"/>
    <col min="15368" max="15368" width="14.5714285714286" style="298" customWidth="1"/>
    <col min="15369" max="15369" width="12.4285714285714" style="298" customWidth="1"/>
    <col min="15370" max="15370" width="51.2857142857143" style="298" customWidth="1"/>
    <col min="15371" max="15371" width="14.8571428571429" style="298" customWidth="1"/>
    <col min="15372" max="15372" width="25" style="298" customWidth="1"/>
    <col min="15373" max="15374" width="12.2857142857143" style="298" customWidth="1"/>
    <col min="15375" max="15375" width="24.7142857142857" style="298" customWidth="1"/>
    <col min="15376" max="15376" width="15" style="298" customWidth="1"/>
    <col min="15377" max="15621" width="9.14285714285714" style="298"/>
    <col min="15622" max="15622" width="6.42857142857143" style="298" customWidth="1"/>
    <col min="15623" max="15623" width="32" style="298" customWidth="1"/>
    <col min="15624" max="15624" width="14.5714285714286" style="298" customWidth="1"/>
    <col min="15625" max="15625" width="12.4285714285714" style="298" customWidth="1"/>
    <col min="15626" max="15626" width="51.2857142857143" style="298" customWidth="1"/>
    <col min="15627" max="15627" width="14.8571428571429" style="298" customWidth="1"/>
    <col min="15628" max="15628" width="25" style="298" customWidth="1"/>
    <col min="15629" max="15630" width="12.2857142857143" style="298" customWidth="1"/>
    <col min="15631" max="15631" width="24.7142857142857" style="298" customWidth="1"/>
    <col min="15632" max="15632" width="15" style="298" customWidth="1"/>
    <col min="15633" max="15877" width="9.14285714285714" style="298"/>
    <col min="15878" max="15878" width="6.42857142857143" style="298" customWidth="1"/>
    <col min="15879" max="15879" width="32" style="298" customWidth="1"/>
    <col min="15880" max="15880" width="14.5714285714286" style="298" customWidth="1"/>
    <col min="15881" max="15881" width="12.4285714285714" style="298" customWidth="1"/>
    <col min="15882" max="15882" width="51.2857142857143" style="298" customWidth="1"/>
    <col min="15883" max="15883" width="14.8571428571429" style="298" customWidth="1"/>
    <col min="15884" max="15884" width="25" style="298" customWidth="1"/>
    <col min="15885" max="15886" width="12.2857142857143" style="298" customWidth="1"/>
    <col min="15887" max="15887" width="24.7142857142857" style="298" customWidth="1"/>
    <col min="15888" max="15888" width="15" style="298" customWidth="1"/>
    <col min="15889" max="16133" width="9.14285714285714" style="298"/>
    <col min="16134" max="16134" width="6.42857142857143" style="298" customWidth="1"/>
    <col min="16135" max="16135" width="32" style="298" customWidth="1"/>
    <col min="16136" max="16136" width="14.5714285714286" style="298" customWidth="1"/>
    <col min="16137" max="16137" width="12.4285714285714" style="298" customWidth="1"/>
    <col min="16138" max="16138" width="51.2857142857143" style="298" customWidth="1"/>
    <col min="16139" max="16139" width="14.8571428571429" style="298" customWidth="1"/>
    <col min="16140" max="16140" width="25" style="298" customWidth="1"/>
    <col min="16141" max="16142" width="12.2857142857143" style="298" customWidth="1"/>
    <col min="16143" max="16143" width="24.7142857142857" style="298" customWidth="1"/>
    <col min="16144" max="16144" width="15" style="298" customWidth="1"/>
    <col min="16145" max="16384" width="9.14285714285714" style="298"/>
  </cols>
  <sheetData>
    <row r="1" spans="1:12">
      <c r="A1" s="303" t="s">
        <v>152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</row>
    <row r="2" spans="1:12">
      <c r="A2" s="303" t="s">
        <v>630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1:12">
      <c r="A3" s="304" t="str">
        <f>+รายจ่ายจริง!A3:P3</f>
        <v>ตั้งแต่วันที่ 1  ตุลาคม 2564 ถึงวันที่ 30 เมษายน 2565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</row>
    <row r="4" s="294" customFormat="1" ht="21" spans="1:16">
      <c r="A4" s="305" t="s">
        <v>155</v>
      </c>
      <c r="B4" s="163" t="s">
        <v>156</v>
      </c>
      <c r="C4" s="163" t="s">
        <v>157</v>
      </c>
      <c r="D4" s="163" t="s">
        <v>158</v>
      </c>
      <c r="E4" s="306" t="s">
        <v>159</v>
      </c>
      <c r="F4" s="163" t="s">
        <v>160</v>
      </c>
      <c r="G4" s="164" t="s">
        <v>161</v>
      </c>
      <c r="H4" s="305" t="s">
        <v>117</v>
      </c>
      <c r="I4" s="305" t="s">
        <v>26</v>
      </c>
      <c r="J4" s="326" t="s">
        <v>162</v>
      </c>
      <c r="K4" s="305" t="s">
        <v>163</v>
      </c>
      <c r="L4" s="327" t="s">
        <v>631</v>
      </c>
      <c r="M4" s="328" t="s">
        <v>632</v>
      </c>
      <c r="N4" s="328" t="s">
        <v>633</v>
      </c>
      <c r="O4" s="328" t="s">
        <v>634</v>
      </c>
      <c r="P4" s="294" t="s">
        <v>635</v>
      </c>
    </row>
    <row r="5" s="294" customFormat="1" ht="21" spans="1:15">
      <c r="A5" s="307" t="s">
        <v>105</v>
      </c>
      <c r="B5" s="163"/>
      <c r="C5" s="163"/>
      <c r="D5" s="163"/>
      <c r="E5" s="306"/>
      <c r="F5" s="163"/>
      <c r="G5" s="164"/>
      <c r="H5" s="307"/>
      <c r="I5" s="307" t="s">
        <v>166</v>
      </c>
      <c r="J5" s="329"/>
      <c r="K5" s="307" t="s">
        <v>118</v>
      </c>
      <c r="L5" s="330" t="s">
        <v>636</v>
      </c>
      <c r="M5" s="331"/>
      <c r="N5" s="331"/>
      <c r="O5" s="331"/>
    </row>
    <row r="6" s="295" customFormat="1" ht="38.25" customHeight="1" spans="1:16">
      <c r="A6" s="22">
        <v>1</v>
      </c>
      <c r="B6" s="23" t="s">
        <v>613</v>
      </c>
      <c r="C6" s="22">
        <v>1600699998</v>
      </c>
      <c r="D6" s="22" t="s">
        <v>5</v>
      </c>
      <c r="E6" s="308" t="s">
        <v>637</v>
      </c>
      <c r="F6" s="22">
        <v>7014096956</v>
      </c>
      <c r="G6" s="309" t="s">
        <v>638</v>
      </c>
      <c r="H6" s="38">
        <v>43000</v>
      </c>
      <c r="I6" s="332">
        <v>43000</v>
      </c>
      <c r="J6" s="333">
        <f t="shared" ref="J6:J20" si="0">+H6-I6</f>
        <v>0</v>
      </c>
      <c r="K6" s="333">
        <f t="shared" ref="K6:K44" si="1">+I6*100/H6</f>
        <v>100</v>
      </c>
      <c r="L6" s="334" t="s">
        <v>639</v>
      </c>
      <c r="M6" s="335" t="s">
        <v>640</v>
      </c>
      <c r="N6" s="336" t="s">
        <v>641</v>
      </c>
      <c r="O6" s="336" t="s">
        <v>642</v>
      </c>
      <c r="P6" s="336" t="s">
        <v>643</v>
      </c>
    </row>
    <row r="7" s="295" customFormat="1" ht="38.25" customHeight="1" spans="1:16">
      <c r="A7" s="22">
        <v>2</v>
      </c>
      <c r="B7" s="23" t="s">
        <v>613</v>
      </c>
      <c r="C7" s="22">
        <v>1600699998</v>
      </c>
      <c r="D7" s="22" t="s">
        <v>5</v>
      </c>
      <c r="E7" s="308" t="s">
        <v>644</v>
      </c>
      <c r="F7" s="22">
        <v>7014150012</v>
      </c>
      <c r="G7" s="309" t="s">
        <v>645</v>
      </c>
      <c r="H7" s="38">
        <f>123750*3</f>
        <v>371250</v>
      </c>
      <c r="I7" s="332">
        <v>371250</v>
      </c>
      <c r="J7" s="333">
        <f t="shared" si="0"/>
        <v>0</v>
      </c>
      <c r="K7" s="333">
        <f t="shared" si="1"/>
        <v>100</v>
      </c>
      <c r="L7" s="334" t="s">
        <v>639</v>
      </c>
      <c r="M7" s="335" t="s">
        <v>646</v>
      </c>
      <c r="N7" s="336" t="s">
        <v>647</v>
      </c>
      <c r="O7" s="336" t="s">
        <v>642</v>
      </c>
      <c r="P7" s="336" t="s">
        <v>648</v>
      </c>
    </row>
    <row r="8" s="295" customFormat="1" ht="38.25" customHeight="1" spans="1:16">
      <c r="A8" s="22">
        <v>3</v>
      </c>
      <c r="B8" s="23" t="s">
        <v>613</v>
      </c>
      <c r="C8" s="22">
        <v>1600699998</v>
      </c>
      <c r="D8" s="22" t="s">
        <v>5</v>
      </c>
      <c r="E8" s="308" t="s">
        <v>637</v>
      </c>
      <c r="F8" s="22">
        <v>7014665430</v>
      </c>
      <c r="G8" s="309" t="s">
        <v>638</v>
      </c>
      <c r="H8" s="38">
        <v>41810</v>
      </c>
      <c r="I8" s="332">
        <v>41810</v>
      </c>
      <c r="J8" s="333">
        <f t="shared" si="0"/>
        <v>0</v>
      </c>
      <c r="K8" s="333">
        <f t="shared" si="1"/>
        <v>100</v>
      </c>
      <c r="L8" s="334" t="s">
        <v>639</v>
      </c>
      <c r="M8" s="335" t="s">
        <v>640</v>
      </c>
      <c r="N8" s="336" t="s">
        <v>649</v>
      </c>
      <c r="O8" s="336" t="s">
        <v>642</v>
      </c>
      <c r="P8" s="336" t="s">
        <v>643</v>
      </c>
    </row>
    <row r="9" s="295" customFormat="1" ht="38.25" customHeight="1" spans="1:16">
      <c r="A9" s="22">
        <v>4</v>
      </c>
      <c r="B9" s="23" t="s">
        <v>613</v>
      </c>
      <c r="C9" s="22">
        <v>1600600004</v>
      </c>
      <c r="D9" s="22" t="s">
        <v>5</v>
      </c>
      <c r="E9" s="308" t="s">
        <v>637</v>
      </c>
      <c r="F9" s="22">
        <v>7014789388</v>
      </c>
      <c r="G9" s="309" t="s">
        <v>650</v>
      </c>
      <c r="H9" s="38">
        <v>280730</v>
      </c>
      <c r="I9" s="332">
        <v>280730</v>
      </c>
      <c r="J9" s="333">
        <f t="shared" si="0"/>
        <v>0</v>
      </c>
      <c r="K9" s="333">
        <f t="shared" si="1"/>
        <v>100</v>
      </c>
      <c r="L9" s="334" t="s">
        <v>639</v>
      </c>
      <c r="M9" s="335" t="s">
        <v>651</v>
      </c>
      <c r="N9" s="336" t="s">
        <v>652</v>
      </c>
      <c r="O9" s="336" t="s">
        <v>653</v>
      </c>
      <c r="P9" s="336" t="s">
        <v>654</v>
      </c>
    </row>
    <row r="10" s="295" customFormat="1" ht="38.25" customHeight="1" spans="1:16">
      <c r="A10" s="22">
        <v>5</v>
      </c>
      <c r="B10" s="23" t="s">
        <v>613</v>
      </c>
      <c r="C10" s="22">
        <v>1600600005</v>
      </c>
      <c r="D10" s="22" t="s">
        <v>5</v>
      </c>
      <c r="E10" s="308" t="s">
        <v>637</v>
      </c>
      <c r="F10" s="22">
        <v>7014934640</v>
      </c>
      <c r="G10" s="309" t="s">
        <v>655</v>
      </c>
      <c r="H10" s="38">
        <v>7500</v>
      </c>
      <c r="I10" s="332">
        <v>7500</v>
      </c>
      <c r="J10" s="333">
        <f t="shared" si="0"/>
        <v>0</v>
      </c>
      <c r="K10" s="333">
        <f t="shared" si="1"/>
        <v>100</v>
      </c>
      <c r="L10" s="334" t="s">
        <v>639</v>
      </c>
      <c r="M10" s="335" t="s">
        <v>656</v>
      </c>
      <c r="N10" s="336" t="s">
        <v>657</v>
      </c>
      <c r="O10" s="336" t="s">
        <v>658</v>
      </c>
      <c r="P10" s="336" t="s">
        <v>659</v>
      </c>
    </row>
    <row r="11" s="295" customFormat="1" ht="58.5" customHeight="1" spans="1:16">
      <c r="A11" s="22">
        <v>6</v>
      </c>
      <c r="B11" s="23" t="s">
        <v>613</v>
      </c>
      <c r="C11" s="22">
        <v>1600600006</v>
      </c>
      <c r="D11" s="22" t="s">
        <v>5</v>
      </c>
      <c r="E11" s="308" t="s">
        <v>637</v>
      </c>
      <c r="F11" s="22">
        <v>7015013787</v>
      </c>
      <c r="G11" s="33" t="s">
        <v>660</v>
      </c>
      <c r="H11" s="38">
        <v>799000</v>
      </c>
      <c r="I11" s="332">
        <f>799000-559300</f>
        <v>239700</v>
      </c>
      <c r="J11" s="333">
        <f t="shared" si="0"/>
        <v>559300</v>
      </c>
      <c r="K11" s="333">
        <f t="shared" si="1"/>
        <v>30</v>
      </c>
      <c r="L11" s="334" t="s">
        <v>922</v>
      </c>
      <c r="M11" s="335" t="s">
        <v>662</v>
      </c>
      <c r="N11" s="336" t="s">
        <v>663</v>
      </c>
      <c r="O11" s="336" t="s">
        <v>664</v>
      </c>
      <c r="P11" s="336" t="s">
        <v>665</v>
      </c>
    </row>
    <row r="12" s="295" customFormat="1" ht="222" customHeight="1" spans="1:17">
      <c r="A12" s="22">
        <v>7</v>
      </c>
      <c r="B12" s="23" t="s">
        <v>613</v>
      </c>
      <c r="C12" s="22">
        <v>1600699998</v>
      </c>
      <c r="D12" s="22" t="s">
        <v>5</v>
      </c>
      <c r="E12" s="308" t="s">
        <v>644</v>
      </c>
      <c r="F12" s="310" t="s">
        <v>666</v>
      </c>
      <c r="G12" s="33" t="s">
        <v>423</v>
      </c>
      <c r="H12" s="38">
        <f>5772752.96-267340.31</f>
        <v>5505412.65</v>
      </c>
      <c r="I12" s="337">
        <v>4784179.15</v>
      </c>
      <c r="J12" s="43">
        <f t="shared" si="0"/>
        <v>721233.5</v>
      </c>
      <c r="K12" s="333">
        <f t="shared" si="1"/>
        <v>86.8995560214728</v>
      </c>
      <c r="L12" s="338" t="s">
        <v>938</v>
      </c>
      <c r="M12" s="335" t="s">
        <v>668</v>
      </c>
      <c r="N12" s="336" t="s">
        <v>669</v>
      </c>
      <c r="O12" s="336" t="s">
        <v>670</v>
      </c>
      <c r="P12" s="336" t="s">
        <v>671</v>
      </c>
      <c r="Q12" s="350"/>
    </row>
    <row r="13" s="295" customFormat="1" ht="26.25" customHeight="1" spans="1:16">
      <c r="A13" s="22">
        <v>8</v>
      </c>
      <c r="B13" s="23" t="s">
        <v>672</v>
      </c>
      <c r="C13" s="22">
        <v>1600600453</v>
      </c>
      <c r="D13" s="22" t="s">
        <v>5</v>
      </c>
      <c r="E13" s="308" t="s">
        <v>644</v>
      </c>
      <c r="F13" s="22">
        <v>7015155496</v>
      </c>
      <c r="G13" s="309" t="s">
        <v>673</v>
      </c>
      <c r="H13" s="38">
        <v>17983</v>
      </c>
      <c r="I13" s="332">
        <v>17983</v>
      </c>
      <c r="J13" s="333">
        <f t="shared" si="0"/>
        <v>0</v>
      </c>
      <c r="K13" s="333">
        <f t="shared" si="1"/>
        <v>100</v>
      </c>
      <c r="L13" s="334" t="s">
        <v>639</v>
      </c>
      <c r="M13" s="335" t="s">
        <v>674</v>
      </c>
      <c r="N13" s="336" t="s">
        <v>675</v>
      </c>
      <c r="O13" s="336" t="s">
        <v>676</v>
      </c>
      <c r="P13" s="336" t="s">
        <v>677</v>
      </c>
    </row>
    <row r="14" s="295" customFormat="1" ht="26.25" customHeight="1" spans="1:16">
      <c r="A14" s="22">
        <v>9</v>
      </c>
      <c r="B14" s="23" t="s">
        <v>678</v>
      </c>
      <c r="C14" s="22">
        <v>1600600711</v>
      </c>
      <c r="D14" s="22" t="s">
        <v>5</v>
      </c>
      <c r="E14" s="308" t="s">
        <v>644</v>
      </c>
      <c r="F14" s="22">
        <v>7015264822</v>
      </c>
      <c r="G14" s="26" t="s">
        <v>679</v>
      </c>
      <c r="H14" s="38">
        <v>204000</v>
      </c>
      <c r="I14" s="332">
        <v>204000</v>
      </c>
      <c r="J14" s="333">
        <f t="shared" si="0"/>
        <v>0</v>
      </c>
      <c r="K14" s="333">
        <f t="shared" si="1"/>
        <v>100</v>
      </c>
      <c r="L14" s="334" t="s">
        <v>639</v>
      </c>
      <c r="M14" s="335" t="s">
        <v>680</v>
      </c>
      <c r="N14" s="336" t="s">
        <v>681</v>
      </c>
      <c r="O14" s="336" t="s">
        <v>642</v>
      </c>
      <c r="P14" s="336" t="s">
        <v>682</v>
      </c>
    </row>
    <row r="15" s="295" customFormat="1" ht="26.25" customHeight="1" spans="1:16">
      <c r="A15" s="22">
        <v>10</v>
      </c>
      <c r="B15" s="23" t="s">
        <v>678</v>
      </c>
      <c r="C15" s="22">
        <v>1600600711</v>
      </c>
      <c r="D15" s="22" t="s">
        <v>5</v>
      </c>
      <c r="E15" s="308" t="s">
        <v>644</v>
      </c>
      <c r="F15" s="22">
        <v>7015272951</v>
      </c>
      <c r="G15" s="26" t="s">
        <v>683</v>
      </c>
      <c r="H15" s="38">
        <v>154404.6</v>
      </c>
      <c r="I15" s="332">
        <v>154404.6</v>
      </c>
      <c r="J15" s="333">
        <f t="shared" si="0"/>
        <v>0</v>
      </c>
      <c r="K15" s="333">
        <f t="shared" si="1"/>
        <v>100</v>
      </c>
      <c r="L15" s="334" t="s">
        <v>639</v>
      </c>
      <c r="M15" s="335" t="s">
        <v>684</v>
      </c>
      <c r="N15" s="336" t="s">
        <v>669</v>
      </c>
      <c r="O15" s="336" t="s">
        <v>642</v>
      </c>
      <c r="P15" s="336" t="s">
        <v>685</v>
      </c>
    </row>
    <row r="16" s="295" customFormat="1" ht="26.25" customHeight="1" spans="1:16">
      <c r="A16" s="22">
        <v>11</v>
      </c>
      <c r="B16" s="23" t="s">
        <v>613</v>
      </c>
      <c r="C16" s="22">
        <v>1600600011</v>
      </c>
      <c r="D16" s="22" t="s">
        <v>5</v>
      </c>
      <c r="E16" s="308" t="s">
        <v>637</v>
      </c>
      <c r="F16" s="22">
        <v>7014733954</v>
      </c>
      <c r="G16" s="309" t="s">
        <v>686</v>
      </c>
      <c r="H16" s="38">
        <v>147660</v>
      </c>
      <c r="I16" s="332">
        <v>147660</v>
      </c>
      <c r="J16" s="333">
        <f t="shared" si="0"/>
        <v>0</v>
      </c>
      <c r="K16" s="333">
        <f t="shared" si="1"/>
        <v>100</v>
      </c>
      <c r="L16" s="334" t="s">
        <v>639</v>
      </c>
      <c r="M16" s="335" t="s">
        <v>687</v>
      </c>
      <c r="N16" s="336" t="s">
        <v>688</v>
      </c>
      <c r="O16" s="336" t="s">
        <v>689</v>
      </c>
      <c r="P16" s="336" t="s">
        <v>690</v>
      </c>
    </row>
    <row r="17" s="295" customFormat="1" ht="26.25" customHeight="1" spans="1:16">
      <c r="A17" s="22">
        <v>12</v>
      </c>
      <c r="B17" s="23" t="s">
        <v>613</v>
      </c>
      <c r="C17" s="22">
        <v>1600699998</v>
      </c>
      <c r="D17" s="22" t="s">
        <v>5</v>
      </c>
      <c r="E17" s="308" t="s">
        <v>637</v>
      </c>
      <c r="F17" s="22">
        <v>7015254174</v>
      </c>
      <c r="G17" s="309" t="s">
        <v>691</v>
      </c>
      <c r="H17" s="38">
        <v>5700000</v>
      </c>
      <c r="I17" s="332">
        <v>5700000</v>
      </c>
      <c r="J17" s="333">
        <f t="shared" si="0"/>
        <v>0</v>
      </c>
      <c r="K17" s="333">
        <f t="shared" si="1"/>
        <v>100</v>
      </c>
      <c r="L17" s="334" t="s">
        <v>639</v>
      </c>
      <c r="M17" s="335" t="s">
        <v>640</v>
      </c>
      <c r="N17" s="336" t="s">
        <v>692</v>
      </c>
      <c r="O17" s="336" t="s">
        <v>693</v>
      </c>
      <c r="P17" s="336" t="s">
        <v>694</v>
      </c>
    </row>
    <row r="18" s="295" customFormat="1" ht="46.5" spans="1:16">
      <c r="A18" s="22">
        <v>13</v>
      </c>
      <c r="B18" s="23" t="s">
        <v>695</v>
      </c>
      <c r="C18" s="22">
        <v>1600600220</v>
      </c>
      <c r="D18" s="22" t="s">
        <v>5</v>
      </c>
      <c r="E18" s="308" t="s">
        <v>644</v>
      </c>
      <c r="F18" s="22">
        <v>2000459990</v>
      </c>
      <c r="G18" s="309" t="s">
        <v>696</v>
      </c>
      <c r="H18" s="38">
        <v>55800</v>
      </c>
      <c r="I18" s="332">
        <v>0</v>
      </c>
      <c r="J18" s="333">
        <f t="shared" si="0"/>
        <v>55800</v>
      </c>
      <c r="K18" s="333">
        <f t="shared" si="1"/>
        <v>0</v>
      </c>
      <c r="L18" s="339" t="s">
        <v>697</v>
      </c>
      <c r="M18" s="335" t="s">
        <v>698</v>
      </c>
      <c r="N18" s="336" t="s">
        <v>699</v>
      </c>
      <c r="O18" s="336" t="s">
        <v>642</v>
      </c>
      <c r="P18" s="336" t="s">
        <v>700</v>
      </c>
    </row>
    <row r="19" s="295" customFormat="1" ht="33.75" customHeight="1" spans="1:16">
      <c r="A19" s="22">
        <v>14</v>
      </c>
      <c r="B19" s="23" t="s">
        <v>613</v>
      </c>
      <c r="C19" s="22">
        <v>1600699998</v>
      </c>
      <c r="D19" s="22" t="s">
        <v>5</v>
      </c>
      <c r="E19" s="308" t="s">
        <v>644</v>
      </c>
      <c r="F19" s="22">
        <v>7014299345</v>
      </c>
      <c r="G19" s="309" t="s">
        <v>442</v>
      </c>
      <c r="H19" s="38">
        <v>141240</v>
      </c>
      <c r="I19" s="332">
        <v>141240</v>
      </c>
      <c r="J19" s="333">
        <f t="shared" si="0"/>
        <v>0</v>
      </c>
      <c r="K19" s="333">
        <f t="shared" si="1"/>
        <v>100</v>
      </c>
      <c r="L19" s="334" t="s">
        <v>639</v>
      </c>
      <c r="M19" s="335" t="s">
        <v>701</v>
      </c>
      <c r="N19" s="336" t="s">
        <v>702</v>
      </c>
      <c r="O19" s="336" t="s">
        <v>703</v>
      </c>
      <c r="P19" s="336" t="s">
        <v>704</v>
      </c>
    </row>
    <row r="20" s="295" customFormat="1" ht="33.75" customHeight="1" spans="1:16">
      <c r="A20" s="22">
        <v>15</v>
      </c>
      <c r="B20" s="23" t="s">
        <v>705</v>
      </c>
      <c r="C20" s="22">
        <v>1600600013</v>
      </c>
      <c r="D20" s="22" t="s">
        <v>5</v>
      </c>
      <c r="E20" s="308" t="s">
        <v>644</v>
      </c>
      <c r="F20" s="22">
        <v>7014896495</v>
      </c>
      <c r="G20" s="309" t="s">
        <v>706</v>
      </c>
      <c r="H20" s="38">
        <v>2782</v>
      </c>
      <c r="I20" s="332">
        <v>2782</v>
      </c>
      <c r="J20" s="333">
        <f t="shared" si="0"/>
        <v>0</v>
      </c>
      <c r="K20" s="333">
        <f t="shared" si="1"/>
        <v>100</v>
      </c>
      <c r="L20" s="334" t="s">
        <v>639</v>
      </c>
      <c r="M20" s="335" t="s">
        <v>707</v>
      </c>
      <c r="N20" s="336" t="s">
        <v>708</v>
      </c>
      <c r="O20" s="336" t="s">
        <v>709</v>
      </c>
      <c r="P20" s="336" t="s">
        <v>710</v>
      </c>
    </row>
    <row r="21" s="135" customFormat="1" ht="33.75" customHeight="1" spans="1:16">
      <c r="A21" s="311" t="s">
        <v>443</v>
      </c>
      <c r="B21" s="312"/>
      <c r="C21" s="312"/>
      <c r="D21" s="312"/>
      <c r="E21" s="312"/>
      <c r="F21" s="312"/>
      <c r="G21" s="313"/>
      <c r="H21" s="314">
        <f>SUM(H6:H20)</f>
        <v>13472572.25</v>
      </c>
      <c r="I21" s="314">
        <f>SUM(I6:I20)</f>
        <v>12136238.75</v>
      </c>
      <c r="J21" s="340">
        <f>SUM(J6:J20)</f>
        <v>1336333.5</v>
      </c>
      <c r="K21" s="341">
        <f t="shared" si="1"/>
        <v>90.0810812129807</v>
      </c>
      <c r="L21" s="342"/>
      <c r="M21" s="343"/>
      <c r="N21" s="163"/>
      <c r="O21" s="163"/>
      <c r="P21" s="163"/>
    </row>
    <row r="22" s="295" customFormat="1" ht="33.75" customHeight="1" spans="1:16">
      <c r="A22" s="22">
        <v>16</v>
      </c>
      <c r="B22" s="23" t="s">
        <v>613</v>
      </c>
      <c r="C22" s="22">
        <v>1600699998</v>
      </c>
      <c r="D22" s="22" t="s">
        <v>6</v>
      </c>
      <c r="E22" s="308" t="s">
        <v>711</v>
      </c>
      <c r="F22" s="22">
        <v>7014716158</v>
      </c>
      <c r="G22" s="309" t="s">
        <v>712</v>
      </c>
      <c r="H22" s="38">
        <v>2274000</v>
      </c>
      <c r="I22" s="332">
        <v>2274000</v>
      </c>
      <c r="J22" s="333">
        <f t="shared" ref="J22:J39" si="2">+H22-I22</f>
        <v>0</v>
      </c>
      <c r="K22" s="333">
        <f t="shared" si="1"/>
        <v>100</v>
      </c>
      <c r="L22" s="334" t="s">
        <v>639</v>
      </c>
      <c r="M22" s="335" t="s">
        <v>713</v>
      </c>
      <c r="N22" s="336" t="s">
        <v>714</v>
      </c>
      <c r="O22" s="336" t="s">
        <v>715</v>
      </c>
      <c r="P22" s="336" t="s">
        <v>716</v>
      </c>
    </row>
    <row r="23" s="295" customFormat="1" ht="33.75" customHeight="1" spans="1:16">
      <c r="A23" s="22">
        <v>17</v>
      </c>
      <c r="B23" s="23" t="s">
        <v>613</v>
      </c>
      <c r="C23" s="22">
        <v>1600600011</v>
      </c>
      <c r="D23" s="22" t="s">
        <v>6</v>
      </c>
      <c r="E23" s="308" t="s">
        <v>717</v>
      </c>
      <c r="F23" s="22">
        <v>7015248976</v>
      </c>
      <c r="G23" s="309" t="s">
        <v>718</v>
      </c>
      <c r="H23" s="38">
        <v>500000</v>
      </c>
      <c r="I23" s="332">
        <v>500000</v>
      </c>
      <c r="J23" s="333">
        <f t="shared" si="2"/>
        <v>0</v>
      </c>
      <c r="K23" s="333">
        <f t="shared" si="1"/>
        <v>100</v>
      </c>
      <c r="L23" s="334" t="s">
        <v>639</v>
      </c>
      <c r="M23" s="335" t="s">
        <v>719</v>
      </c>
      <c r="N23" s="336" t="s">
        <v>692</v>
      </c>
      <c r="O23" s="336" t="s">
        <v>720</v>
      </c>
      <c r="P23" s="336" t="s">
        <v>721</v>
      </c>
    </row>
    <row r="24" s="295" customFormat="1" ht="33.75" customHeight="1" spans="1:16">
      <c r="A24" s="22">
        <v>18</v>
      </c>
      <c r="B24" s="23" t="s">
        <v>613</v>
      </c>
      <c r="C24" s="22">
        <v>1600600006</v>
      </c>
      <c r="D24" s="22" t="s">
        <v>6</v>
      </c>
      <c r="E24" s="308" t="s">
        <v>722</v>
      </c>
      <c r="F24" s="22">
        <v>7015254679</v>
      </c>
      <c r="G24" s="309" t="s">
        <v>723</v>
      </c>
      <c r="H24" s="38">
        <v>497015</v>
      </c>
      <c r="I24" s="332">
        <v>497015</v>
      </c>
      <c r="J24" s="333">
        <f t="shared" si="2"/>
        <v>0</v>
      </c>
      <c r="K24" s="333">
        <f t="shared" si="1"/>
        <v>100</v>
      </c>
      <c r="L24" s="334" t="s">
        <v>639</v>
      </c>
      <c r="M24" s="335" t="s">
        <v>724</v>
      </c>
      <c r="N24" s="336" t="s">
        <v>669</v>
      </c>
      <c r="O24" s="336" t="s">
        <v>670</v>
      </c>
      <c r="P24" s="336" t="s">
        <v>725</v>
      </c>
    </row>
    <row r="25" s="295" customFormat="1" ht="33.75" customHeight="1" spans="1:16">
      <c r="A25" s="22">
        <v>19</v>
      </c>
      <c r="B25" s="23" t="s">
        <v>613</v>
      </c>
      <c r="C25" s="22">
        <v>1600600001</v>
      </c>
      <c r="D25" s="22" t="s">
        <v>6</v>
      </c>
      <c r="E25" s="308" t="s">
        <v>726</v>
      </c>
      <c r="F25" s="22">
        <v>2000397264</v>
      </c>
      <c r="G25" s="309" t="s">
        <v>727</v>
      </c>
      <c r="H25" s="38">
        <v>11135650</v>
      </c>
      <c r="I25" s="332">
        <v>0</v>
      </c>
      <c r="J25" s="333">
        <f t="shared" si="2"/>
        <v>11135650</v>
      </c>
      <c r="K25" s="333">
        <f t="shared" si="1"/>
        <v>0</v>
      </c>
      <c r="L25" s="334" t="s">
        <v>927</v>
      </c>
      <c r="M25" s="335" t="s">
        <v>729</v>
      </c>
      <c r="N25" s="336" t="s">
        <v>669</v>
      </c>
      <c r="O25" s="336" t="s">
        <v>179</v>
      </c>
      <c r="P25" s="336"/>
    </row>
    <row r="26" s="295" customFormat="1" ht="39" customHeight="1" spans="1:16">
      <c r="A26" s="22">
        <v>20</v>
      </c>
      <c r="B26" s="23" t="s">
        <v>613</v>
      </c>
      <c r="C26" s="22">
        <v>1600600001</v>
      </c>
      <c r="D26" s="22" t="s">
        <v>6</v>
      </c>
      <c r="E26" s="308" t="s">
        <v>730</v>
      </c>
      <c r="F26" s="22">
        <v>2000420428</v>
      </c>
      <c r="G26" s="309" t="s">
        <v>731</v>
      </c>
      <c r="H26" s="38">
        <v>13054741.23</v>
      </c>
      <c r="I26" s="332">
        <v>13054741.23</v>
      </c>
      <c r="J26" s="333">
        <f t="shared" si="2"/>
        <v>0</v>
      </c>
      <c r="K26" s="333">
        <f t="shared" si="1"/>
        <v>100</v>
      </c>
      <c r="L26" s="334" t="s">
        <v>639</v>
      </c>
      <c r="M26" s="335" t="s">
        <v>732</v>
      </c>
      <c r="N26" s="336" t="s">
        <v>733</v>
      </c>
      <c r="O26" s="336" t="s">
        <v>734</v>
      </c>
      <c r="P26" s="336"/>
    </row>
    <row r="27" s="295" customFormat="1" ht="39" customHeight="1" spans="1:16">
      <c r="A27" s="22">
        <v>21</v>
      </c>
      <c r="B27" s="23" t="s">
        <v>613</v>
      </c>
      <c r="C27" s="22">
        <v>1600600001</v>
      </c>
      <c r="D27" s="22" t="s">
        <v>6</v>
      </c>
      <c r="E27" s="308" t="s">
        <v>735</v>
      </c>
      <c r="F27" s="22">
        <v>2000420910</v>
      </c>
      <c r="G27" s="309" t="s">
        <v>736</v>
      </c>
      <c r="H27" s="38">
        <v>5129331</v>
      </c>
      <c r="I27" s="332">
        <v>5129331</v>
      </c>
      <c r="J27" s="333">
        <f t="shared" si="2"/>
        <v>0</v>
      </c>
      <c r="K27" s="333">
        <f t="shared" si="1"/>
        <v>100</v>
      </c>
      <c r="L27" s="334" t="s">
        <v>639</v>
      </c>
      <c r="M27" s="335" t="s">
        <v>737</v>
      </c>
      <c r="N27" s="336" t="s">
        <v>738</v>
      </c>
      <c r="O27" s="336" t="s">
        <v>739</v>
      </c>
      <c r="P27" s="336"/>
    </row>
    <row r="28" s="295" customFormat="1" ht="39" customHeight="1" spans="1:16">
      <c r="A28" s="22">
        <v>22</v>
      </c>
      <c r="B28" s="23" t="s">
        <v>613</v>
      </c>
      <c r="C28" s="22">
        <v>1600600001</v>
      </c>
      <c r="D28" s="22" t="s">
        <v>6</v>
      </c>
      <c r="E28" s="308" t="s">
        <v>740</v>
      </c>
      <c r="F28" s="22">
        <v>2000434631</v>
      </c>
      <c r="G28" s="309" t="s">
        <v>741</v>
      </c>
      <c r="H28" s="38">
        <v>5002622</v>
      </c>
      <c r="I28" s="332">
        <v>5002622</v>
      </c>
      <c r="J28" s="333">
        <f t="shared" si="2"/>
        <v>0</v>
      </c>
      <c r="K28" s="333">
        <f t="shared" si="1"/>
        <v>100</v>
      </c>
      <c r="L28" s="334" t="s">
        <v>639</v>
      </c>
      <c r="M28" s="335" t="s">
        <v>742</v>
      </c>
      <c r="N28" s="336" t="s">
        <v>743</v>
      </c>
      <c r="O28" s="336" t="s">
        <v>744</v>
      </c>
      <c r="P28" s="336" t="s">
        <v>745</v>
      </c>
    </row>
    <row r="29" s="295" customFormat="1" ht="39" customHeight="1" spans="1:16">
      <c r="A29" s="22">
        <v>23</v>
      </c>
      <c r="B29" s="23" t="s">
        <v>613</v>
      </c>
      <c r="C29" s="22">
        <v>1600600001</v>
      </c>
      <c r="D29" s="22" t="s">
        <v>6</v>
      </c>
      <c r="E29" s="308" t="s">
        <v>746</v>
      </c>
      <c r="F29" s="22">
        <v>2000435147</v>
      </c>
      <c r="G29" s="309" t="s">
        <v>747</v>
      </c>
      <c r="H29" s="38">
        <v>4668200</v>
      </c>
      <c r="I29" s="332">
        <v>0</v>
      </c>
      <c r="J29" s="333">
        <f t="shared" si="2"/>
        <v>4668200</v>
      </c>
      <c r="K29" s="333">
        <f t="shared" si="1"/>
        <v>0</v>
      </c>
      <c r="L29" s="334" t="s">
        <v>939</v>
      </c>
      <c r="M29" s="335" t="s">
        <v>749</v>
      </c>
      <c r="N29" s="336" t="s">
        <v>744</v>
      </c>
      <c r="O29" s="336" t="s">
        <v>750</v>
      </c>
      <c r="P29" s="336" t="s">
        <v>751</v>
      </c>
    </row>
    <row r="30" s="295" customFormat="1" ht="42" spans="1:16">
      <c r="A30" s="22">
        <v>24</v>
      </c>
      <c r="B30" s="23" t="s">
        <v>613</v>
      </c>
      <c r="C30" s="22">
        <v>1600600001</v>
      </c>
      <c r="D30" s="22" t="s">
        <v>6</v>
      </c>
      <c r="E30" s="308" t="s">
        <v>752</v>
      </c>
      <c r="F30" s="22">
        <v>2000461421</v>
      </c>
      <c r="G30" s="315" t="s">
        <v>753</v>
      </c>
      <c r="H30" s="38">
        <v>2805000</v>
      </c>
      <c r="I30" s="332">
        <f>2805000-181000</f>
        <v>2624000</v>
      </c>
      <c r="J30" s="333">
        <f t="shared" si="2"/>
        <v>181000</v>
      </c>
      <c r="K30" s="333">
        <f t="shared" si="1"/>
        <v>93.5472370766488</v>
      </c>
      <c r="L30" s="334" t="s">
        <v>940</v>
      </c>
      <c r="M30" s="335" t="s">
        <v>754</v>
      </c>
      <c r="N30" s="336" t="s">
        <v>755</v>
      </c>
      <c r="O30" s="336" t="s">
        <v>756</v>
      </c>
      <c r="P30" s="336" t="s">
        <v>751</v>
      </c>
    </row>
    <row r="31" s="295" customFormat="1" ht="78" customHeight="1" spans="1:16">
      <c r="A31" s="22">
        <v>25</v>
      </c>
      <c r="B31" s="23" t="s">
        <v>613</v>
      </c>
      <c r="C31" s="22">
        <v>1600600001</v>
      </c>
      <c r="D31" s="22" t="s">
        <v>6</v>
      </c>
      <c r="E31" s="308" t="s">
        <v>757</v>
      </c>
      <c r="F31" s="22">
        <v>2000475789</v>
      </c>
      <c r="G31" s="315" t="s">
        <v>758</v>
      </c>
      <c r="H31" s="38">
        <v>9368000</v>
      </c>
      <c r="I31" s="332">
        <f>9368000-5479439.28</f>
        <v>3888560.72</v>
      </c>
      <c r="J31" s="333">
        <f t="shared" si="2"/>
        <v>5479439.28</v>
      </c>
      <c r="K31" s="333">
        <f t="shared" si="1"/>
        <v>41.5089743808711</v>
      </c>
      <c r="L31" s="334" t="s">
        <v>932</v>
      </c>
      <c r="M31" s="335" t="s">
        <v>760</v>
      </c>
      <c r="N31" s="336" t="s">
        <v>642</v>
      </c>
      <c r="O31" s="336" t="s">
        <v>761</v>
      </c>
      <c r="P31" s="336" t="s">
        <v>751</v>
      </c>
    </row>
    <row r="32" s="295" customFormat="1" ht="30" customHeight="1" spans="1:16">
      <c r="A32" s="22">
        <v>26</v>
      </c>
      <c r="B32" s="23" t="s">
        <v>762</v>
      </c>
      <c r="C32" s="22">
        <v>1600600046</v>
      </c>
      <c r="D32" s="22" t="s">
        <v>6</v>
      </c>
      <c r="E32" s="308" t="s">
        <v>763</v>
      </c>
      <c r="F32" s="22">
        <v>7014618240</v>
      </c>
      <c r="G32" s="309" t="s">
        <v>764</v>
      </c>
      <c r="H32" s="38">
        <v>2527500</v>
      </c>
      <c r="I32" s="332">
        <v>2527500</v>
      </c>
      <c r="J32" s="333">
        <f t="shared" si="2"/>
        <v>0</v>
      </c>
      <c r="K32" s="333">
        <f t="shared" si="1"/>
        <v>100</v>
      </c>
      <c r="L32" s="334" t="s">
        <v>639</v>
      </c>
      <c r="M32" s="335" t="s">
        <v>765</v>
      </c>
      <c r="N32" s="336" t="s">
        <v>766</v>
      </c>
      <c r="O32" s="336" t="s">
        <v>767</v>
      </c>
      <c r="P32" s="336" t="s">
        <v>768</v>
      </c>
    </row>
    <row r="33" s="295" customFormat="1" ht="21" spans="1:16">
      <c r="A33" s="22">
        <v>27</v>
      </c>
      <c r="B33" s="23" t="s">
        <v>184</v>
      </c>
      <c r="C33" s="22">
        <v>1600600052</v>
      </c>
      <c r="D33" s="22" t="s">
        <v>6</v>
      </c>
      <c r="E33" s="308" t="s">
        <v>769</v>
      </c>
      <c r="F33" s="22">
        <v>7014573620</v>
      </c>
      <c r="G33" s="309" t="s">
        <v>764</v>
      </c>
      <c r="H33" s="38">
        <v>3234000</v>
      </c>
      <c r="I33" s="332">
        <v>3234000</v>
      </c>
      <c r="J33" s="333">
        <f t="shared" si="2"/>
        <v>0</v>
      </c>
      <c r="K33" s="333">
        <f t="shared" si="1"/>
        <v>100</v>
      </c>
      <c r="L33" s="334" t="s">
        <v>770</v>
      </c>
      <c r="M33" s="335" t="s">
        <v>771</v>
      </c>
      <c r="N33" s="336" t="s">
        <v>652</v>
      </c>
      <c r="O33" s="336" t="s">
        <v>772</v>
      </c>
      <c r="P33" s="336" t="s">
        <v>751</v>
      </c>
    </row>
    <row r="34" s="295" customFormat="1" ht="30" customHeight="1" spans="1:16">
      <c r="A34" s="22">
        <v>28</v>
      </c>
      <c r="B34" s="23" t="s">
        <v>773</v>
      </c>
      <c r="C34" s="22">
        <v>1600600058</v>
      </c>
      <c r="D34" s="22" t="s">
        <v>6</v>
      </c>
      <c r="E34" s="308" t="s">
        <v>774</v>
      </c>
      <c r="F34" s="22">
        <v>7014587703</v>
      </c>
      <c r="G34" s="309" t="s">
        <v>764</v>
      </c>
      <c r="H34" s="38">
        <v>2700000</v>
      </c>
      <c r="I34" s="332">
        <v>2700000</v>
      </c>
      <c r="J34" s="333">
        <f t="shared" si="2"/>
        <v>0</v>
      </c>
      <c r="K34" s="333">
        <f t="shared" si="1"/>
        <v>100</v>
      </c>
      <c r="L34" s="334" t="s">
        <v>639</v>
      </c>
      <c r="M34" s="335" t="s">
        <v>775</v>
      </c>
      <c r="N34" s="336" t="s">
        <v>776</v>
      </c>
      <c r="O34" s="336" t="s">
        <v>777</v>
      </c>
      <c r="P34" s="336" t="s">
        <v>778</v>
      </c>
    </row>
    <row r="35" s="295" customFormat="1" ht="69.75" spans="1:16">
      <c r="A35" s="22">
        <v>29</v>
      </c>
      <c r="B35" s="23" t="s">
        <v>779</v>
      </c>
      <c r="C35" s="22">
        <v>1600600064</v>
      </c>
      <c r="D35" s="22" t="s">
        <v>6</v>
      </c>
      <c r="E35" s="308" t="s">
        <v>780</v>
      </c>
      <c r="F35" s="22">
        <v>7014633408</v>
      </c>
      <c r="G35" s="309" t="s">
        <v>764</v>
      </c>
      <c r="H35" s="38">
        <v>3155139</v>
      </c>
      <c r="I35" s="332">
        <v>0</v>
      </c>
      <c r="J35" s="333">
        <f t="shared" si="2"/>
        <v>3155139</v>
      </c>
      <c r="K35" s="333">
        <f t="shared" si="1"/>
        <v>0</v>
      </c>
      <c r="L35" s="344" t="s">
        <v>941</v>
      </c>
      <c r="M35" s="335" t="s">
        <v>782</v>
      </c>
      <c r="N35" s="336" t="s">
        <v>766</v>
      </c>
      <c r="O35" s="336" t="s">
        <v>658</v>
      </c>
      <c r="P35" s="336" t="s">
        <v>783</v>
      </c>
    </row>
    <row r="36" s="295" customFormat="1" ht="56.25" customHeight="1" spans="1:16">
      <c r="A36" s="22">
        <v>30</v>
      </c>
      <c r="B36" s="23" t="s">
        <v>188</v>
      </c>
      <c r="C36" s="22">
        <v>1600600094</v>
      </c>
      <c r="D36" s="22" t="s">
        <v>6</v>
      </c>
      <c r="E36" s="308" t="s">
        <v>784</v>
      </c>
      <c r="F36" s="22">
        <v>2000449395</v>
      </c>
      <c r="G36" s="33" t="s">
        <v>785</v>
      </c>
      <c r="H36" s="38">
        <v>3920000</v>
      </c>
      <c r="I36" s="332">
        <v>3920000</v>
      </c>
      <c r="J36" s="333">
        <f t="shared" si="2"/>
        <v>0</v>
      </c>
      <c r="K36" s="333">
        <f t="shared" si="1"/>
        <v>100</v>
      </c>
      <c r="L36" s="334" t="s">
        <v>639</v>
      </c>
      <c r="M36" s="335" t="s">
        <v>786</v>
      </c>
      <c r="N36" s="336" t="s">
        <v>787</v>
      </c>
      <c r="O36" s="336" t="s">
        <v>788</v>
      </c>
      <c r="P36" s="336"/>
    </row>
    <row r="37" s="295" customFormat="1" ht="56.25" customHeight="1" spans="1:16">
      <c r="A37" s="22">
        <v>31</v>
      </c>
      <c r="B37" s="23" t="s">
        <v>188</v>
      </c>
      <c r="C37" s="22">
        <v>1600600094</v>
      </c>
      <c r="D37" s="22" t="s">
        <v>6</v>
      </c>
      <c r="E37" s="308" t="s">
        <v>789</v>
      </c>
      <c r="F37" s="22">
        <v>2000469732</v>
      </c>
      <c r="G37" s="33" t="s">
        <v>790</v>
      </c>
      <c r="H37" s="38">
        <v>2559120</v>
      </c>
      <c r="I37" s="332">
        <v>2559120</v>
      </c>
      <c r="J37" s="333">
        <f t="shared" si="2"/>
        <v>0</v>
      </c>
      <c r="K37" s="333">
        <f t="shared" si="1"/>
        <v>100</v>
      </c>
      <c r="L37" s="334" t="s">
        <v>639</v>
      </c>
      <c r="M37" s="335" t="s">
        <v>786</v>
      </c>
      <c r="N37" s="336" t="s">
        <v>787</v>
      </c>
      <c r="O37" s="336" t="s">
        <v>788</v>
      </c>
      <c r="P37" s="336"/>
    </row>
    <row r="38" s="295" customFormat="1" ht="21" spans="1:16">
      <c r="A38" s="22">
        <v>32</v>
      </c>
      <c r="B38" s="23" t="s">
        <v>791</v>
      </c>
      <c r="C38" s="22">
        <v>1600600420</v>
      </c>
      <c r="D38" s="22" t="s">
        <v>6</v>
      </c>
      <c r="E38" s="308" t="s">
        <v>792</v>
      </c>
      <c r="F38" s="22">
        <v>7014653159</v>
      </c>
      <c r="G38" s="309" t="s">
        <v>793</v>
      </c>
      <c r="H38" s="38">
        <v>3869000</v>
      </c>
      <c r="I38" s="332">
        <v>3869000</v>
      </c>
      <c r="J38" s="333">
        <f t="shared" si="2"/>
        <v>0</v>
      </c>
      <c r="K38" s="333">
        <f t="shared" si="1"/>
        <v>100</v>
      </c>
      <c r="L38" s="334" t="s">
        <v>639</v>
      </c>
      <c r="M38" s="335" t="s">
        <v>794</v>
      </c>
      <c r="N38" s="336" t="s">
        <v>795</v>
      </c>
      <c r="O38" s="336" t="s">
        <v>796</v>
      </c>
      <c r="P38" s="336" t="s">
        <v>797</v>
      </c>
    </row>
    <row r="39" s="295" customFormat="1" ht="29.25" customHeight="1" spans="1:16">
      <c r="A39" s="22">
        <v>33</v>
      </c>
      <c r="B39" s="23" t="s">
        <v>798</v>
      </c>
      <c r="C39" s="22">
        <v>1600600456</v>
      </c>
      <c r="D39" s="22" t="s">
        <v>6</v>
      </c>
      <c r="E39" s="308" t="s">
        <v>799</v>
      </c>
      <c r="F39" s="22">
        <v>7014571829</v>
      </c>
      <c r="G39" s="309" t="s">
        <v>800</v>
      </c>
      <c r="H39" s="38">
        <v>2642900</v>
      </c>
      <c r="I39" s="332">
        <v>2642900</v>
      </c>
      <c r="J39" s="333">
        <f t="shared" si="2"/>
        <v>0</v>
      </c>
      <c r="K39" s="333">
        <f t="shared" si="1"/>
        <v>100</v>
      </c>
      <c r="L39" s="334" t="s">
        <v>639</v>
      </c>
      <c r="M39" s="335" t="s">
        <v>801</v>
      </c>
      <c r="N39" s="336" t="s">
        <v>802</v>
      </c>
      <c r="O39" s="336" t="s">
        <v>803</v>
      </c>
      <c r="P39" s="336" t="s">
        <v>804</v>
      </c>
    </row>
    <row r="40" s="136" customFormat="1" ht="37.5" customHeight="1" spans="1:16">
      <c r="A40" s="311" t="s">
        <v>221</v>
      </c>
      <c r="B40" s="312"/>
      <c r="C40" s="312"/>
      <c r="D40" s="312"/>
      <c r="E40" s="312"/>
      <c r="F40" s="312"/>
      <c r="G40" s="313"/>
      <c r="H40" s="316">
        <f>SUM(H22:H39)</f>
        <v>79042218.23</v>
      </c>
      <c r="I40" s="316">
        <f>SUM(I22:I39)</f>
        <v>54422789.95</v>
      </c>
      <c r="J40" s="316">
        <f>SUM(J22:J39)</f>
        <v>24619428.28</v>
      </c>
      <c r="K40" s="345">
        <f t="shared" si="1"/>
        <v>68.8528120398121</v>
      </c>
      <c r="L40" s="346"/>
      <c r="M40" s="239"/>
      <c r="N40" s="168"/>
      <c r="O40" s="168"/>
      <c r="P40" s="168"/>
    </row>
    <row r="41" s="295" customFormat="1" ht="78" customHeight="1" spans="1:16">
      <c r="A41" s="22">
        <v>34</v>
      </c>
      <c r="B41" s="23" t="s">
        <v>613</v>
      </c>
      <c r="C41" s="22">
        <v>1600600011</v>
      </c>
      <c r="D41" s="22" t="s">
        <v>8</v>
      </c>
      <c r="E41" s="308" t="s">
        <v>805</v>
      </c>
      <c r="F41" s="22">
        <v>7015076230</v>
      </c>
      <c r="G41" s="315" t="s">
        <v>806</v>
      </c>
      <c r="H41" s="38">
        <v>1620000</v>
      </c>
      <c r="I41" s="332">
        <v>1620000</v>
      </c>
      <c r="J41" s="333">
        <f>+H41-I41</f>
        <v>0</v>
      </c>
      <c r="K41" s="333">
        <f t="shared" si="1"/>
        <v>100</v>
      </c>
      <c r="L41" s="334" t="s">
        <v>639</v>
      </c>
      <c r="M41" s="335" t="s">
        <v>807</v>
      </c>
      <c r="N41" s="336" t="s">
        <v>663</v>
      </c>
      <c r="O41" s="336" t="s">
        <v>670</v>
      </c>
      <c r="P41" s="336" t="s">
        <v>665</v>
      </c>
    </row>
    <row r="42" s="295" customFormat="1" ht="29.25" customHeight="1" spans="1:16">
      <c r="A42" s="22">
        <v>35</v>
      </c>
      <c r="B42" s="23" t="s">
        <v>613</v>
      </c>
      <c r="C42" s="22">
        <v>1600600011</v>
      </c>
      <c r="D42" s="22" t="s">
        <v>8</v>
      </c>
      <c r="E42" s="308" t="s">
        <v>808</v>
      </c>
      <c r="F42" s="22">
        <v>7015167313</v>
      </c>
      <c r="G42" s="309" t="s">
        <v>809</v>
      </c>
      <c r="H42" s="38">
        <v>56300</v>
      </c>
      <c r="I42" s="332">
        <v>56300</v>
      </c>
      <c r="J42" s="333">
        <f>+H42-I42</f>
        <v>0</v>
      </c>
      <c r="K42" s="333">
        <f t="shared" si="1"/>
        <v>100</v>
      </c>
      <c r="L42" s="334" t="s">
        <v>639</v>
      </c>
      <c r="M42" s="335" t="s">
        <v>810</v>
      </c>
      <c r="N42" s="336" t="s">
        <v>811</v>
      </c>
      <c r="O42" s="336" t="s">
        <v>812</v>
      </c>
      <c r="P42" s="336" t="s">
        <v>813</v>
      </c>
    </row>
    <row r="43" s="294" customFormat="1" ht="34.5" customHeight="1" spans="1:12">
      <c r="A43" s="317" t="s">
        <v>814</v>
      </c>
      <c r="B43" s="318"/>
      <c r="C43" s="318"/>
      <c r="D43" s="318"/>
      <c r="E43" s="318"/>
      <c r="F43" s="318"/>
      <c r="G43" s="319"/>
      <c r="H43" s="320">
        <f>SUM(H41:H42)</f>
        <v>1676300</v>
      </c>
      <c r="I43" s="43">
        <f>SUM(I41:I42)</f>
        <v>1676300</v>
      </c>
      <c r="J43" s="43">
        <f>SUM(J41:J42)</f>
        <v>0</v>
      </c>
      <c r="K43" s="333">
        <f t="shared" si="1"/>
        <v>100</v>
      </c>
      <c r="L43" s="334"/>
    </row>
    <row r="44" s="296" customFormat="1" ht="42" customHeight="1" spans="1:18">
      <c r="A44" s="321" t="s">
        <v>350</v>
      </c>
      <c r="B44" s="322"/>
      <c r="C44" s="322"/>
      <c r="D44" s="322"/>
      <c r="E44" s="322"/>
      <c r="F44" s="322"/>
      <c r="G44" s="323"/>
      <c r="H44" s="324">
        <f>+H21+H40+H43</f>
        <v>94191090.48</v>
      </c>
      <c r="I44" s="324">
        <f>+I21+I40+I43</f>
        <v>68235328.7</v>
      </c>
      <c r="J44" s="324">
        <f>+J21+J40+J43</f>
        <v>25955761.78</v>
      </c>
      <c r="K44" s="347">
        <f t="shared" si="1"/>
        <v>72.4435064423516</v>
      </c>
      <c r="L44" s="344"/>
      <c r="R44" s="296" t="s">
        <v>606</v>
      </c>
    </row>
    <row r="45" hidden="1"/>
    <row r="46" hidden="1" spans="8:12">
      <c r="H46" s="325"/>
      <c r="I46" s="325"/>
      <c r="K46" s="348"/>
      <c r="L46" s="349"/>
    </row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93" spans="5:5">
      <c r="E193" s="351"/>
    </row>
  </sheetData>
  <mergeCells count="18">
    <mergeCell ref="A1:L1"/>
    <mergeCell ref="A2:L2"/>
    <mergeCell ref="A3:L3"/>
    <mergeCell ref="A21:G21"/>
    <mergeCell ref="A40:G40"/>
    <mergeCell ref="A43:G43"/>
    <mergeCell ref="A44:G44"/>
    <mergeCell ref="B4:B5"/>
    <mergeCell ref="C4:C5"/>
    <mergeCell ref="D4:D5"/>
    <mergeCell ref="E4:E5"/>
    <mergeCell ref="F4:F5"/>
    <mergeCell ref="G4:G5"/>
    <mergeCell ref="H4:H5"/>
    <mergeCell ref="J4:J5"/>
    <mergeCell ref="M4:M5"/>
    <mergeCell ref="N4:N5"/>
    <mergeCell ref="O4:O5"/>
  </mergeCells>
  <pageMargins left="0.25" right="0" top="0.75" bottom="0.75" header="0.3" footer="0.3"/>
  <pageSetup paperSize="9" scale="70" orientation="landscape"/>
  <headerFooter>
    <oddFooter>&amp;Cหน้าที่ &amp;P จาก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opLeftCell="D1" workbookViewId="0">
      <selection activeCell="K28" sqref="K28"/>
    </sheetView>
  </sheetViews>
  <sheetFormatPr defaultColWidth="9.14285714285714" defaultRowHeight="21"/>
  <cols>
    <col min="1" max="1" width="2.57142857142857" style="57" customWidth="1"/>
    <col min="2" max="2" width="5" style="57" customWidth="1"/>
    <col min="3" max="3" width="25.1428571428571" style="58" customWidth="1"/>
    <col min="4" max="4" width="22.2857142857143" style="58" customWidth="1"/>
    <col min="5" max="6" width="20.1428571428571" style="58" customWidth="1"/>
    <col min="7" max="7" width="17.5714285714286" style="58" customWidth="1"/>
    <col min="8" max="8" width="20.1428571428571" style="58" customWidth="1"/>
    <col min="9" max="9" width="17.5714285714286" style="58" customWidth="1"/>
    <col min="10" max="10" width="22.2857142857143" style="58" customWidth="1"/>
    <col min="11" max="11" width="17.5714285714286" style="58" customWidth="1"/>
    <col min="12" max="16384" width="9.14285714285714" style="58"/>
  </cols>
  <sheetData>
    <row r="1" ht="23.25" spans="1:12">
      <c r="A1" s="104" t="str">
        <f>+รายงานผู้บริหาร!A1</f>
        <v>กรมพินิจและคุ้มครองเด็กและเยาวชน กระทรวงยุติธรรม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52"/>
    </row>
    <row r="2" ht="23.25" spans="1:12">
      <c r="A2" s="104" t="str">
        <f>+รายงานผู้บริหาร!A2</f>
        <v>สรุปรายละเอียดการเบิกจ่ายเงินงบประมาณประจำปีงบประมาณ พ.ศ. 2565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ht="23.25" spans="1:12">
      <c r="A3" s="283" t="str">
        <f>+รายงานผู้บริหาร!A3</f>
        <v>ตั้งแต่วันที่ 1  ตุลาคม 2564 ถึงวันที่ 30 เมษายน 2565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52"/>
    </row>
    <row r="4" s="51" customFormat="1" spans="1:11">
      <c r="A4" s="285" t="s">
        <v>105</v>
      </c>
      <c r="B4" s="285"/>
      <c r="C4" s="285"/>
      <c r="D4" s="286" t="s">
        <v>106</v>
      </c>
      <c r="E4" s="286"/>
      <c r="F4" s="285" t="s">
        <v>107</v>
      </c>
      <c r="G4" s="285" t="s">
        <v>108</v>
      </c>
      <c r="H4" s="286" t="s">
        <v>942</v>
      </c>
      <c r="I4" s="286"/>
      <c r="J4" s="285" t="s">
        <v>111</v>
      </c>
      <c r="K4" s="285" t="s">
        <v>112</v>
      </c>
    </row>
    <row r="5" s="51" customFormat="1" spans="1:11">
      <c r="A5" s="287"/>
      <c r="B5" s="287"/>
      <c r="C5" s="287"/>
      <c r="D5" s="285" t="s">
        <v>113</v>
      </c>
      <c r="E5" s="285" t="s">
        <v>114</v>
      </c>
      <c r="F5" s="287"/>
      <c r="G5" s="287" t="s">
        <v>115</v>
      </c>
      <c r="H5" s="285" t="s">
        <v>117</v>
      </c>
      <c r="I5" s="285" t="s">
        <v>118</v>
      </c>
      <c r="J5" s="287" t="s">
        <v>119</v>
      </c>
      <c r="K5" s="287" t="s">
        <v>115</v>
      </c>
    </row>
    <row r="6" s="51" customFormat="1" spans="1:11">
      <c r="A6" s="288"/>
      <c r="B6" s="288"/>
      <c r="C6" s="288"/>
      <c r="D6" s="289" t="s">
        <v>120</v>
      </c>
      <c r="E6" s="289" t="s">
        <v>121</v>
      </c>
      <c r="F6" s="289" t="s">
        <v>122</v>
      </c>
      <c r="G6" s="289" t="s">
        <v>123</v>
      </c>
      <c r="H6" s="289" t="s">
        <v>124</v>
      </c>
      <c r="I6" s="289" t="s">
        <v>943</v>
      </c>
      <c r="J6" s="289" t="s">
        <v>944</v>
      </c>
      <c r="K6" s="289" t="s">
        <v>945</v>
      </c>
    </row>
    <row r="7" s="52" customFormat="1" ht="23.25" spans="1:11">
      <c r="A7" s="73" t="s">
        <v>946</v>
      </c>
      <c r="B7" s="74"/>
      <c r="C7" s="75"/>
      <c r="D7" s="76"/>
      <c r="E7" s="76"/>
      <c r="F7" s="76"/>
      <c r="G7" s="76"/>
      <c r="H7" s="114"/>
      <c r="I7" s="76"/>
      <c r="J7" s="76"/>
      <c r="K7" s="115"/>
    </row>
    <row r="8" s="53" customFormat="1" ht="23.25" spans="1:11">
      <c r="A8" s="77"/>
      <c r="B8" s="78">
        <v>1.1</v>
      </c>
      <c r="C8" s="79" t="s">
        <v>4</v>
      </c>
      <c r="D8" s="80">
        <f>+รายงานผู้บริหาร!B7</f>
        <v>1390052000</v>
      </c>
      <c r="E8" s="80">
        <f>+รายงานผู้บริหาร!D7</f>
        <v>1042539000</v>
      </c>
      <c r="F8" s="80">
        <f>+รายงานผู้บริหาร!F7</f>
        <v>802035169.26</v>
      </c>
      <c r="G8" s="80">
        <f>+F8*100/D8</f>
        <v>57.6982133948946</v>
      </c>
      <c r="H8" s="80">
        <f>+รายงานผู้บริหาร!E7+รายงานผู้บริหาร!F7</f>
        <v>802035169.26</v>
      </c>
      <c r="I8" s="80">
        <f>+H8*100/D8</f>
        <v>57.6982133948946</v>
      </c>
      <c r="J8" s="80">
        <f>+D8-F8</f>
        <v>588016830.74</v>
      </c>
      <c r="K8" s="80">
        <f>+J8*100/D8</f>
        <v>42.3017866051054</v>
      </c>
    </row>
    <row r="9" s="53" customFormat="1" ht="23.25" spans="1:11">
      <c r="A9" s="77"/>
      <c r="B9" s="78">
        <v>1.2</v>
      </c>
      <c r="C9" s="79" t="s">
        <v>5</v>
      </c>
      <c r="D9" s="80">
        <f>+รายงานผู้บริหาร!B8</f>
        <v>432541700</v>
      </c>
      <c r="E9" s="80">
        <f>+รายงานผู้บริหาร!D8</f>
        <v>323636700</v>
      </c>
      <c r="F9" s="80">
        <f>+รายงานผู้บริหาร!F8</f>
        <v>213749684.52</v>
      </c>
      <c r="G9" s="80">
        <f t="shared" ref="G9:G20" si="0">+F9*100/D9</f>
        <v>49.4171277636353</v>
      </c>
      <c r="H9" s="80">
        <f>+รายงานผู้บริหาร!E8+รายงานผู้บริหาร!F8</f>
        <v>233433552.53</v>
      </c>
      <c r="I9" s="80">
        <f t="shared" ref="I9:I14" si="1">+H9*100/D9</f>
        <v>53.9678723531165</v>
      </c>
      <c r="J9" s="80">
        <f t="shared" ref="J9:J11" si="2">+D9-F9</f>
        <v>218792015.48</v>
      </c>
      <c r="K9" s="80">
        <f t="shared" ref="K9:K18" si="3">+J9*100/D9</f>
        <v>50.5828722363647</v>
      </c>
    </row>
    <row r="10" s="53" customFormat="1" ht="23.25" spans="1:11">
      <c r="A10" s="77"/>
      <c r="B10" s="78">
        <v>1.3</v>
      </c>
      <c r="C10" s="79" t="s">
        <v>6</v>
      </c>
      <c r="D10" s="80">
        <f>+รายงานผู้บริหาร!B9</f>
        <v>118294300</v>
      </c>
      <c r="E10" s="80">
        <f>+รายงานผู้บริหาร!D9</f>
        <v>86643200</v>
      </c>
      <c r="F10" s="80">
        <f>+รายงานผู้บริหาร!F9</f>
        <v>24342181.58</v>
      </c>
      <c r="G10" s="80">
        <f t="shared" si="0"/>
        <v>20.5776453979608</v>
      </c>
      <c r="H10" s="80">
        <f>+รายงานผู้บริหาร!E9+รายงานผู้บริหาร!F9</f>
        <v>81242110.58</v>
      </c>
      <c r="I10" s="80">
        <f t="shared" si="1"/>
        <v>68.6779587689348</v>
      </c>
      <c r="J10" s="80">
        <f t="shared" si="2"/>
        <v>93952118.42</v>
      </c>
      <c r="K10" s="80">
        <f t="shared" si="3"/>
        <v>79.4223546020391</v>
      </c>
    </row>
    <row r="11" s="53" customFormat="1" ht="23.25" spans="1:11">
      <c r="A11" s="77"/>
      <c r="B11" s="78">
        <v>1.4</v>
      </c>
      <c r="C11" s="79" t="s">
        <v>8</v>
      </c>
      <c r="D11" s="80">
        <f>+รายงานผู้บริหาร!B12</f>
        <v>28793900</v>
      </c>
      <c r="E11" s="80">
        <f>+รายงานผู้บริหาร!D12</f>
        <v>21595100</v>
      </c>
      <c r="F11" s="80">
        <f>+รายงานผู้บริหาร!E12</f>
        <v>111761.86</v>
      </c>
      <c r="G11" s="80">
        <f t="shared" si="0"/>
        <v>0.388144224992099</v>
      </c>
      <c r="H11" s="80">
        <f>+รายงานผู้บริหาร!E12+รายงานผู้บริหาร!F12</f>
        <v>7033203.49</v>
      </c>
      <c r="I11" s="80">
        <f t="shared" si="1"/>
        <v>24.426019017917</v>
      </c>
      <c r="J11" s="80">
        <f t="shared" si="2"/>
        <v>28682138.14</v>
      </c>
      <c r="K11" s="80">
        <f t="shared" si="3"/>
        <v>99.6118557750079</v>
      </c>
    </row>
    <row r="12" s="52" customFormat="1" ht="30.75" customHeight="1" spans="1:11">
      <c r="A12" s="83" t="s">
        <v>947</v>
      </c>
      <c r="B12" s="83"/>
      <c r="C12" s="83"/>
      <c r="D12" s="84">
        <f>SUM(D8:D11)</f>
        <v>1969681900</v>
      </c>
      <c r="E12" s="84">
        <f t="shared" ref="E12:F12" si="4">SUM(E8:E11)</f>
        <v>1474414000</v>
      </c>
      <c r="F12" s="84">
        <f t="shared" si="4"/>
        <v>1040238797.22</v>
      </c>
      <c r="G12" s="84">
        <f t="shared" si="0"/>
        <v>52.8125276076305</v>
      </c>
      <c r="H12" s="84">
        <f t="shared" ref="H12" si="5">SUM(H8:H11)</f>
        <v>1123744035.86</v>
      </c>
      <c r="I12" s="84">
        <f t="shared" si="1"/>
        <v>57.0520567742436</v>
      </c>
      <c r="J12" s="84">
        <f t="shared" ref="J12" si="6">SUM(J8:J11)</f>
        <v>929443102.78</v>
      </c>
      <c r="K12" s="84">
        <f t="shared" si="3"/>
        <v>47.1874723923695</v>
      </c>
    </row>
    <row r="13" s="53" customFormat="1" ht="30.75" customHeight="1" spans="1:11">
      <c r="A13" s="87" t="s">
        <v>329</v>
      </c>
      <c r="B13" s="87"/>
      <c r="C13" s="87"/>
      <c r="D13" s="80">
        <f>SUM(D8:D9)+D11</f>
        <v>1851387600</v>
      </c>
      <c r="E13" s="80">
        <f t="shared" ref="E13:J13" si="7">SUM(E8:E9)+E11</f>
        <v>1387770800</v>
      </c>
      <c r="F13" s="80">
        <f t="shared" si="7"/>
        <v>1015896615.64</v>
      </c>
      <c r="G13" s="80">
        <f t="shared" si="0"/>
        <v>54.8721734789625</v>
      </c>
      <c r="H13" s="80">
        <f t="shared" si="7"/>
        <v>1042501925.28</v>
      </c>
      <c r="I13" s="80">
        <f t="shared" si="1"/>
        <v>56.3092204614528</v>
      </c>
      <c r="J13" s="80">
        <f t="shared" si="7"/>
        <v>835490984.36</v>
      </c>
      <c r="K13" s="80">
        <f t="shared" si="3"/>
        <v>45.1278265210375</v>
      </c>
    </row>
    <row r="14" s="53" customFormat="1" ht="30.75" customHeight="1" spans="1:11">
      <c r="A14" s="87" t="s">
        <v>330</v>
      </c>
      <c r="B14" s="87"/>
      <c r="C14" s="87"/>
      <c r="D14" s="80">
        <f>+D10</f>
        <v>118294300</v>
      </c>
      <c r="E14" s="80">
        <f t="shared" ref="E14:J14" si="8">+E10</f>
        <v>86643200</v>
      </c>
      <c r="F14" s="80">
        <f t="shared" si="8"/>
        <v>24342181.58</v>
      </c>
      <c r="G14" s="80">
        <f t="shared" si="0"/>
        <v>20.5776453979608</v>
      </c>
      <c r="H14" s="80">
        <f t="shared" si="8"/>
        <v>81242110.58</v>
      </c>
      <c r="I14" s="80">
        <f t="shared" si="1"/>
        <v>68.6779587689348</v>
      </c>
      <c r="J14" s="80">
        <f t="shared" si="8"/>
        <v>93952118.42</v>
      </c>
      <c r="K14" s="80">
        <f t="shared" si="3"/>
        <v>79.4223546020391</v>
      </c>
    </row>
    <row r="15" s="52" customFormat="1" ht="23.25" spans="1:11">
      <c r="A15" s="91" t="s">
        <v>333</v>
      </c>
      <c r="B15" s="92"/>
      <c r="C15" s="92"/>
      <c r="D15" s="92"/>
      <c r="E15" s="92"/>
      <c r="F15" s="92"/>
      <c r="G15" s="92"/>
      <c r="H15" s="92"/>
      <c r="I15" s="92"/>
      <c r="J15" s="92"/>
      <c r="K15" s="116"/>
    </row>
    <row r="16" s="53" customFormat="1" ht="23.25" spans="1:11">
      <c r="A16" s="77"/>
      <c r="B16" s="78">
        <v>2.1</v>
      </c>
      <c r="C16" s="79" t="s">
        <v>334</v>
      </c>
      <c r="D16" s="93">
        <f>+เงินกันปี64!H65-เงินกันปี64!H63</f>
        <v>136444872.72</v>
      </c>
      <c r="E16" s="94"/>
      <c r="F16" s="93">
        <f>+เงินกันปี64!I65-เงินกันปี64!I63</f>
        <v>64886281.69</v>
      </c>
      <c r="G16" s="80">
        <f t="shared" si="0"/>
        <v>47.5549431770543</v>
      </c>
      <c r="H16" s="117"/>
      <c r="I16" s="117"/>
      <c r="J16" s="93">
        <f>+D16-F16</f>
        <v>71558591.03</v>
      </c>
      <c r="K16" s="80">
        <f t="shared" si="3"/>
        <v>52.4450568229457</v>
      </c>
    </row>
    <row r="17" s="53" customFormat="1" ht="23.25" spans="1:11">
      <c r="A17" s="77"/>
      <c r="B17" s="78">
        <v>2.2</v>
      </c>
      <c r="C17" s="79" t="s">
        <v>335</v>
      </c>
      <c r="D17" s="93">
        <f>+เงินกันปี64!H63</f>
        <v>5000000</v>
      </c>
      <c r="E17" s="94"/>
      <c r="F17" s="93">
        <f>+เงินกันปี64!I63</f>
        <v>5000000</v>
      </c>
      <c r="G17" s="80">
        <f t="shared" si="0"/>
        <v>100</v>
      </c>
      <c r="H17" s="117"/>
      <c r="I17" s="117"/>
      <c r="J17" s="93">
        <f>+D17-F17</f>
        <v>0</v>
      </c>
      <c r="K17" s="80">
        <f t="shared" si="3"/>
        <v>0</v>
      </c>
    </row>
    <row r="18" s="52" customFormat="1" ht="23.25" spans="1:11">
      <c r="A18" s="83" t="s">
        <v>80</v>
      </c>
      <c r="B18" s="83"/>
      <c r="C18" s="83"/>
      <c r="D18" s="95">
        <f>SUM(D16:D17)</f>
        <v>141444872.72</v>
      </c>
      <c r="E18" s="96"/>
      <c r="F18" s="95">
        <f t="shared" ref="F18:J18" si="9">SUM(F16:F17)</f>
        <v>69886281.69</v>
      </c>
      <c r="G18" s="84">
        <f t="shared" si="0"/>
        <v>49.4088476634602</v>
      </c>
      <c r="H18" s="96"/>
      <c r="I18" s="96"/>
      <c r="J18" s="95">
        <f t="shared" si="9"/>
        <v>71558591.03</v>
      </c>
      <c r="K18" s="84">
        <f t="shared" si="3"/>
        <v>50.5911523365398</v>
      </c>
    </row>
    <row r="19" s="53" customFormat="1" ht="23.25" spans="1:11">
      <c r="A19" s="290" t="s">
        <v>336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</row>
    <row r="20" s="53" customFormat="1" ht="23.25" spans="1:11">
      <c r="A20" s="98"/>
      <c r="B20" s="106" t="s">
        <v>337</v>
      </c>
      <c r="C20" s="99"/>
      <c r="D20" s="80">
        <f>+'เบิกแทน กรมคุม'!E103</f>
        <v>3942765</v>
      </c>
      <c r="E20" s="94"/>
      <c r="F20" s="100">
        <v>0</v>
      </c>
      <c r="G20" s="80">
        <f t="shared" si="0"/>
        <v>0</v>
      </c>
      <c r="H20" s="94"/>
      <c r="I20" s="94"/>
      <c r="J20" s="93">
        <f>+D20-F20</f>
        <v>3942765</v>
      </c>
      <c r="K20" s="80">
        <f t="shared" ref="K20:K21" si="10">+J20*100/D20</f>
        <v>100</v>
      </c>
    </row>
    <row r="21" s="52" customFormat="1" ht="23.25" spans="1:11">
      <c r="A21" s="83" t="s">
        <v>80</v>
      </c>
      <c r="B21" s="83"/>
      <c r="C21" s="83"/>
      <c r="D21" s="95">
        <f>+D20</f>
        <v>3942765</v>
      </c>
      <c r="E21" s="96"/>
      <c r="F21" s="101">
        <f>+F20</f>
        <v>0</v>
      </c>
      <c r="G21" s="84">
        <f t="shared" ref="G21" si="11">+F21*100/D21</f>
        <v>0</v>
      </c>
      <c r="H21" s="96"/>
      <c r="I21" s="96"/>
      <c r="J21" s="95">
        <f t="shared" ref="J21" si="12">SUM(J19:J20)</f>
        <v>3942765</v>
      </c>
      <c r="K21" s="84">
        <f t="shared" si="10"/>
        <v>100</v>
      </c>
    </row>
    <row r="22" s="54" customFormat="1" ht="23.25" spans="1:2">
      <c r="A22" s="102" t="s">
        <v>338</v>
      </c>
      <c r="B22" s="102"/>
    </row>
    <row r="23" s="52" customFormat="1" ht="23.25" spans="1:2">
      <c r="A23" s="103" t="s">
        <v>948</v>
      </c>
      <c r="B23" s="103"/>
    </row>
    <row r="24" s="52" customFormat="1" ht="33.75" customHeight="1" spans="1:11">
      <c r="A24" s="104" t="s">
        <v>341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</row>
    <row r="25" s="52" customFormat="1" ht="33" customHeight="1" spans="1:11">
      <c r="A25" s="291" t="s">
        <v>105</v>
      </c>
      <c r="B25" s="291"/>
      <c r="C25" s="291"/>
      <c r="D25" s="291"/>
      <c r="E25" s="291"/>
      <c r="F25" s="291"/>
      <c r="G25" s="291"/>
      <c r="H25" s="291"/>
      <c r="I25" s="291" t="s">
        <v>342</v>
      </c>
      <c r="J25" s="291"/>
      <c r="K25" s="291" t="s">
        <v>165</v>
      </c>
    </row>
    <row r="26" s="52" customFormat="1" ht="33" customHeight="1" spans="1:11">
      <c r="A26" s="98">
        <v>1</v>
      </c>
      <c r="B26" s="106" t="s">
        <v>5</v>
      </c>
      <c r="C26" s="106"/>
      <c r="D26" s="106"/>
      <c r="E26" s="106"/>
      <c r="F26" s="106"/>
      <c r="G26" s="106"/>
      <c r="H26" s="99"/>
      <c r="I26" s="98"/>
      <c r="J26" s="86">
        <f>+I27</f>
        <v>721233.5</v>
      </c>
      <c r="K26" s="123"/>
    </row>
    <row r="27" s="56" customFormat="1" ht="63.75" customHeight="1" spans="1:11">
      <c r="A27" s="107"/>
      <c r="B27" s="108"/>
      <c r="C27" s="109" t="s">
        <v>343</v>
      </c>
      <c r="D27" s="109"/>
      <c r="E27" s="109"/>
      <c r="F27" s="109"/>
      <c r="G27" s="109"/>
      <c r="H27" s="124"/>
      <c r="I27" s="125">
        <v>721233.5</v>
      </c>
      <c r="J27" s="126"/>
      <c r="K27" s="292" t="s">
        <v>344</v>
      </c>
    </row>
    <row r="28" s="52" customFormat="1" ht="37.5" customHeight="1" spans="1:11">
      <c r="A28" s="98">
        <v>2</v>
      </c>
      <c r="B28" s="106" t="s">
        <v>6</v>
      </c>
      <c r="C28" s="106"/>
      <c r="D28" s="106"/>
      <c r="E28" s="106"/>
      <c r="F28" s="106"/>
      <c r="G28" s="106"/>
      <c r="H28" s="99"/>
      <c r="I28" s="128"/>
      <c r="J28" s="129">
        <f>SUM(I29:J32)</f>
        <v>20862347.39</v>
      </c>
      <c r="K28" s="123"/>
    </row>
    <row r="29" s="53" customFormat="1" ht="37.5" customHeight="1" spans="1:11">
      <c r="A29" s="77"/>
      <c r="B29" s="78">
        <v>2.1</v>
      </c>
      <c r="C29" s="78" t="s">
        <v>345</v>
      </c>
      <c r="D29" s="78"/>
      <c r="E29" s="78"/>
      <c r="F29" s="78"/>
      <c r="G29" s="78"/>
      <c r="H29" s="79"/>
      <c r="I29" s="130">
        <v>11135650</v>
      </c>
      <c r="J29" s="130"/>
      <c r="K29" s="131"/>
    </row>
    <row r="30" s="53" customFormat="1" ht="37.5" customHeight="1" spans="1:11">
      <c r="A30" s="77"/>
      <c r="B30" s="110">
        <v>2.2</v>
      </c>
      <c r="C30" s="78" t="s">
        <v>346</v>
      </c>
      <c r="D30" s="78"/>
      <c r="E30" s="78"/>
      <c r="F30" s="78"/>
      <c r="G30" s="78"/>
      <c r="H30" s="79"/>
      <c r="I30" s="130">
        <v>2339940.84</v>
      </c>
      <c r="J30" s="130"/>
      <c r="K30" s="131"/>
    </row>
    <row r="31" s="53" customFormat="1" ht="37.5" customHeight="1" spans="1:11">
      <c r="A31" s="77"/>
      <c r="B31" s="110">
        <v>2.3</v>
      </c>
      <c r="C31" s="78" t="s">
        <v>347</v>
      </c>
      <c r="D31" s="78"/>
      <c r="E31" s="78"/>
      <c r="F31" s="78"/>
      <c r="G31" s="78"/>
      <c r="H31" s="79"/>
      <c r="I31" s="130">
        <v>4231617.55</v>
      </c>
      <c r="J31" s="130"/>
      <c r="K31" s="131"/>
    </row>
    <row r="32" s="53" customFormat="1" ht="37.5" customHeight="1" spans="1:11">
      <c r="A32" s="77"/>
      <c r="B32" s="110">
        <v>2.4</v>
      </c>
      <c r="C32" s="78" t="s">
        <v>348</v>
      </c>
      <c r="D32" s="78"/>
      <c r="E32" s="78"/>
      <c r="F32" s="78"/>
      <c r="G32" s="78"/>
      <c r="H32" s="79"/>
      <c r="I32" s="130">
        <v>3155139</v>
      </c>
      <c r="J32" s="130"/>
      <c r="K32" s="131" t="s">
        <v>349</v>
      </c>
    </row>
    <row r="33" s="52" customFormat="1" ht="37.5" customHeight="1" spans="1:11">
      <c r="A33" s="83" t="s">
        <v>350</v>
      </c>
      <c r="B33" s="83"/>
      <c r="C33" s="83"/>
      <c r="D33" s="83"/>
      <c r="E33" s="83"/>
      <c r="F33" s="83"/>
      <c r="G33" s="83"/>
      <c r="H33" s="83"/>
      <c r="I33" s="293">
        <f>SUM(I26:J32)/2</f>
        <v>21583580.89</v>
      </c>
      <c r="J33" s="293"/>
      <c r="K33" s="123"/>
    </row>
  </sheetData>
  <mergeCells count="24">
    <mergeCell ref="A1:K1"/>
    <mergeCell ref="A2:K2"/>
    <mergeCell ref="A3:K3"/>
    <mergeCell ref="D4:E4"/>
    <mergeCell ref="H4:I4"/>
    <mergeCell ref="A12:C12"/>
    <mergeCell ref="A13:C13"/>
    <mergeCell ref="A14:C14"/>
    <mergeCell ref="A18:C18"/>
    <mergeCell ref="A19:K19"/>
    <mergeCell ref="A21:C21"/>
    <mergeCell ref="A24:K24"/>
    <mergeCell ref="A25:H25"/>
    <mergeCell ref="I25:J25"/>
    <mergeCell ref="C27:H27"/>
    <mergeCell ref="I27:J27"/>
    <mergeCell ref="I29:J29"/>
    <mergeCell ref="I30:J30"/>
    <mergeCell ref="I31:J31"/>
    <mergeCell ref="I32:J32"/>
    <mergeCell ref="A33:H33"/>
    <mergeCell ref="I33:J33"/>
    <mergeCell ref="F4:F5"/>
    <mergeCell ref="A4:C6"/>
  </mergeCells>
  <pageMargins left="0.511811023622047" right="0.118110236220472" top="0.748031496062992" bottom="0.748031496062992" header="0.31496062992126" footer="0.31496062992126"/>
  <pageSetup paperSize="9" scale="8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V391"/>
  <sheetViews>
    <sheetView topLeftCell="A22" workbookViewId="0">
      <selection activeCell="A24" sqref="A24:I24"/>
    </sheetView>
  </sheetViews>
  <sheetFormatPr defaultColWidth="9.14285714285714" defaultRowHeight="21"/>
  <cols>
    <col min="1" max="1" width="15.5714285714286" style="146" customWidth="1"/>
    <col min="2" max="2" width="21.4285714285714" style="146" customWidth="1"/>
    <col min="3" max="3" width="21.2857142857143" style="146" customWidth="1"/>
    <col min="4" max="4" width="18.8571428571429" style="147" customWidth="1"/>
    <col min="5" max="5" width="21.1428571428571" style="146" customWidth="1"/>
    <col min="6" max="6" width="18.8571428571429" style="146" customWidth="1"/>
    <col min="7" max="7" width="19.8571428571429" style="146" customWidth="1"/>
    <col min="8" max="8" width="20.1428571428571" style="146" customWidth="1"/>
    <col min="9" max="9" width="15.8571428571429" style="146" customWidth="1"/>
    <col min="10" max="12" width="9.14285714285714" style="148" hidden="1" customWidth="1"/>
    <col min="13" max="13" width="14.1428571428571" style="148" hidden="1" customWidth="1"/>
    <col min="14" max="17" width="9.14285714285714" style="148" hidden="1" customWidth="1"/>
    <col min="18" max="48" width="9.14285714285714" style="146" hidden="1" customWidth="1"/>
    <col min="49" max="16384" width="9.14285714285714" style="146"/>
  </cols>
  <sheetData>
    <row r="1" ht="29.25" customHeight="1" spans="1:9">
      <c r="A1" s="149" t="s">
        <v>0</v>
      </c>
      <c r="B1" s="149"/>
      <c r="C1" s="149"/>
      <c r="D1" s="149"/>
      <c r="E1" s="149"/>
      <c r="F1" s="149"/>
      <c r="G1" s="149"/>
      <c r="H1" s="149"/>
      <c r="I1" s="149"/>
    </row>
    <row r="2" ht="29.25" customHeight="1" spans="1:9">
      <c r="A2" s="149" t="s">
        <v>949</v>
      </c>
      <c r="B2" s="149"/>
      <c r="C2" s="149"/>
      <c r="D2" s="149"/>
      <c r="E2" s="149"/>
      <c r="F2" s="149"/>
      <c r="G2" s="149"/>
      <c r="H2" s="149"/>
      <c r="I2" s="149"/>
    </row>
    <row r="3" ht="29.25" customHeight="1" spans="1:9">
      <c r="A3" s="150" t="str">
        <f>+รายจ่ายจริง!A3:P3</f>
        <v>ตั้งแต่วันที่ 1  ตุลาคม 2564 ถึงวันที่ 30 เมษายน 2565</v>
      </c>
      <c r="B3" s="150"/>
      <c r="C3" s="149"/>
      <c r="D3" s="149"/>
      <c r="E3" s="149"/>
      <c r="F3" s="149"/>
      <c r="G3" s="149"/>
      <c r="H3" s="149"/>
      <c r="I3" s="149"/>
    </row>
    <row r="4" s="134" customFormat="1" ht="23.25" hidden="1" spans="1:17">
      <c r="A4" s="151" t="s">
        <v>950</v>
      </c>
      <c r="B4" s="151"/>
      <c r="C4" s="151"/>
      <c r="D4" s="151"/>
      <c r="E4" s="151"/>
      <c r="F4" s="151"/>
      <c r="G4" s="151"/>
      <c r="H4" s="151"/>
      <c r="I4" s="151"/>
      <c r="J4" s="209"/>
      <c r="K4" s="209"/>
      <c r="L4" s="209"/>
      <c r="M4" s="209"/>
      <c r="N4" s="209"/>
      <c r="O4" s="209"/>
      <c r="P4" s="209"/>
      <c r="Q4" s="209"/>
    </row>
    <row r="5" s="135" customFormat="1" ht="29.25" customHeight="1" spans="1:17">
      <c r="A5" s="152" t="s">
        <v>822</v>
      </c>
      <c r="B5" s="152" t="s">
        <v>951</v>
      </c>
      <c r="C5" s="153" t="s">
        <v>952</v>
      </c>
      <c r="D5" s="153" t="s">
        <v>953</v>
      </c>
      <c r="E5" s="153" t="s">
        <v>877</v>
      </c>
      <c r="F5" s="153" t="s">
        <v>109</v>
      </c>
      <c r="G5" s="153" t="s">
        <v>26</v>
      </c>
      <c r="H5" s="153" t="s">
        <v>111</v>
      </c>
      <c r="I5" s="153" t="s">
        <v>504</v>
      </c>
      <c r="J5" s="210"/>
      <c r="K5" s="210"/>
      <c r="L5" s="210"/>
      <c r="M5" s="210"/>
      <c r="N5" s="210"/>
      <c r="O5" s="210"/>
      <c r="P5" s="210"/>
      <c r="Q5" s="210"/>
    </row>
    <row r="6" ht="29.25" customHeight="1" spans="1:9">
      <c r="A6" s="154" t="s">
        <v>4</v>
      </c>
      <c r="B6" s="154">
        <v>1401598200</v>
      </c>
      <c r="C6" s="155">
        <f>+รายจ่ายจริง!G79</f>
        <v>1390052000</v>
      </c>
      <c r="D6" s="156">
        <f>+E6-C6</f>
        <v>-347513000</v>
      </c>
      <c r="E6" s="155">
        <f>+รายจ่ายจริง!G80</f>
        <v>1042539000</v>
      </c>
      <c r="F6" s="155">
        <f>+รายจ่ายจริง!G81</f>
        <v>0</v>
      </c>
      <c r="G6" s="155">
        <f>+รายจ่ายจริง!G82</f>
        <v>802035169.26</v>
      </c>
      <c r="H6" s="155">
        <f>+E6-F6-G6</f>
        <v>240503830.74</v>
      </c>
      <c r="I6" s="211">
        <f>+G6*100/E6</f>
        <v>76.9309511931928</v>
      </c>
    </row>
    <row r="7" ht="29.25" customHeight="1" spans="1:9">
      <c r="A7" s="154" t="s">
        <v>5</v>
      </c>
      <c r="B7" s="154">
        <v>545544900</v>
      </c>
      <c r="C7" s="155">
        <f>+รายจ่ายจริง!J79</f>
        <v>432541700</v>
      </c>
      <c r="D7" s="156">
        <f>+E7-C7</f>
        <v>-108905000</v>
      </c>
      <c r="E7" s="155">
        <f>+รายจ่ายจริง!J80</f>
        <v>323636700</v>
      </c>
      <c r="F7" s="157">
        <f>+รายจ่ายจริง!J81</f>
        <v>19683868.01</v>
      </c>
      <c r="G7" s="155">
        <f>+รายจ่ายจริง!J82</f>
        <v>213749684.52</v>
      </c>
      <c r="H7" s="155">
        <f>+E7-F7-G7</f>
        <v>90203147.47</v>
      </c>
      <c r="I7" s="211">
        <f>+G7*100/E7</f>
        <v>66.0461821913275</v>
      </c>
    </row>
    <row r="8" s="136" customFormat="1" ht="29.25" customHeight="1" spans="1:17">
      <c r="A8" s="158" t="s">
        <v>6</v>
      </c>
      <c r="B8" s="159">
        <f t="shared" ref="B8:H8" si="0">SUM(B9:B10)</f>
        <v>212436800</v>
      </c>
      <c r="C8" s="159">
        <f t="shared" si="0"/>
        <v>118294300</v>
      </c>
      <c r="D8" s="159">
        <f t="shared" si="0"/>
        <v>-31651100</v>
      </c>
      <c r="E8" s="159">
        <f t="shared" si="0"/>
        <v>86643200</v>
      </c>
      <c r="F8" s="159">
        <f t="shared" si="0"/>
        <v>56899929</v>
      </c>
      <c r="G8" s="159">
        <f t="shared" si="0"/>
        <v>24342181.58</v>
      </c>
      <c r="H8" s="159">
        <f t="shared" si="0"/>
        <v>5401089.42</v>
      </c>
      <c r="I8" s="212">
        <f>+G8*100/E8</f>
        <v>28.0947397833875</v>
      </c>
      <c r="J8" s="213"/>
      <c r="K8" s="213"/>
      <c r="L8" s="213"/>
      <c r="M8" s="213"/>
      <c r="N8" s="213"/>
      <c r="O8" s="213"/>
      <c r="P8" s="213"/>
      <c r="Q8" s="213"/>
    </row>
    <row r="9" ht="29.25" customHeight="1" spans="1:9">
      <c r="A9" s="154" t="s">
        <v>954</v>
      </c>
      <c r="B9" s="154">
        <v>28842200</v>
      </c>
      <c r="C9" s="155">
        <f>+รายจ่ายจริง!K79</f>
        <v>19128700</v>
      </c>
      <c r="D9" s="156">
        <f>+E9-C9</f>
        <v>2575506.08</v>
      </c>
      <c r="E9" s="155">
        <f>+รายจ่ายจริง!K80</f>
        <v>21704206.08</v>
      </c>
      <c r="F9" s="155">
        <f>+รายจ่ายจริง!K81</f>
        <v>273679</v>
      </c>
      <c r="G9" s="155">
        <f>+รายจ่ายจริง!K82</f>
        <v>17851462.08</v>
      </c>
      <c r="H9" s="155">
        <f>+E9-F9-G9</f>
        <v>3579065</v>
      </c>
      <c r="I9" s="155">
        <v>0</v>
      </c>
    </row>
    <row r="10" ht="29.25" customHeight="1" spans="1:22">
      <c r="A10" s="160" t="s">
        <v>828</v>
      </c>
      <c r="B10" s="160">
        <v>183594600</v>
      </c>
      <c r="C10" s="155">
        <f>+รายจ่ายจริง!L79</f>
        <v>99165600</v>
      </c>
      <c r="D10" s="156">
        <f>+E10-C10</f>
        <v>-34226606.08</v>
      </c>
      <c r="E10" s="155">
        <f>+รายจ่ายจริง!L80</f>
        <v>64938993.92</v>
      </c>
      <c r="F10" s="155">
        <f>+รายจ่ายจริง!L81</f>
        <v>56626250</v>
      </c>
      <c r="G10" s="155">
        <f>+รายจ่ายจริง!L82</f>
        <v>6490719.5</v>
      </c>
      <c r="H10" s="155">
        <f>+E10-F10-G10</f>
        <v>1822024.42</v>
      </c>
      <c r="I10" s="211">
        <f>+G10*100/E10</f>
        <v>9.99510326260379</v>
      </c>
      <c r="V10" s="146" t="s">
        <v>606</v>
      </c>
    </row>
    <row r="11" ht="29.25" customHeight="1" spans="1:13">
      <c r="A11" s="154" t="s">
        <v>8</v>
      </c>
      <c r="B11" s="154">
        <v>35360100</v>
      </c>
      <c r="C11" s="155">
        <f>+รายจ่ายจริง!O79</f>
        <v>28793900</v>
      </c>
      <c r="D11" s="156">
        <f>+E11-C11</f>
        <v>-7198800</v>
      </c>
      <c r="E11" s="155">
        <f>+รายจ่ายจริง!O80</f>
        <v>21595100</v>
      </c>
      <c r="F11" s="155">
        <f>+รายจ่ายจริง!O81</f>
        <v>111761.86</v>
      </c>
      <c r="G11" s="155">
        <f>+รายจ่ายจริง!O82</f>
        <v>6921441.63</v>
      </c>
      <c r="H11" s="155">
        <f>+E11-F11-G11</f>
        <v>14561896.51</v>
      </c>
      <c r="I11" s="211">
        <f>+G11*100/E11</f>
        <v>32.0509820746373</v>
      </c>
      <c r="M11" s="214"/>
    </row>
    <row r="12" s="137" customFormat="1" ht="36.75" customHeight="1" spans="1:17">
      <c r="A12" s="161" t="s">
        <v>829</v>
      </c>
      <c r="B12" s="162">
        <f t="shared" ref="B12:H12" si="1">+B6+B7+B8+B11</f>
        <v>2194940000</v>
      </c>
      <c r="C12" s="162">
        <f t="shared" si="1"/>
        <v>1969681900</v>
      </c>
      <c r="D12" s="162">
        <f t="shared" si="1"/>
        <v>-495267900</v>
      </c>
      <c r="E12" s="162">
        <f t="shared" si="1"/>
        <v>1474414000</v>
      </c>
      <c r="F12" s="162">
        <f t="shared" si="1"/>
        <v>76695558.87</v>
      </c>
      <c r="G12" s="162">
        <f t="shared" si="1"/>
        <v>1047048476.99</v>
      </c>
      <c r="H12" s="162">
        <f t="shared" si="1"/>
        <v>350669964.14</v>
      </c>
      <c r="I12" s="215">
        <f>+G12*100/E12</f>
        <v>71.0145506614831</v>
      </c>
      <c r="J12" s="216"/>
      <c r="K12" s="216"/>
      <c r="L12" s="216"/>
      <c r="M12" s="216"/>
      <c r="N12" s="216"/>
      <c r="O12" s="216"/>
      <c r="P12" s="216"/>
      <c r="Q12" s="216"/>
    </row>
    <row r="13" s="134" customFormat="1" ht="37.5" hidden="1" customHeight="1" spans="1:17">
      <c r="A13" s="151" t="s">
        <v>955</v>
      </c>
      <c r="B13" s="151"/>
      <c r="C13" s="151"/>
      <c r="D13" s="151"/>
      <c r="E13" s="151"/>
      <c r="F13" s="151"/>
      <c r="G13" s="151"/>
      <c r="H13" s="151"/>
      <c r="I13" s="151"/>
      <c r="J13" s="209"/>
      <c r="K13" s="209"/>
      <c r="L13" s="209"/>
      <c r="M13" s="209"/>
      <c r="N13" s="209"/>
      <c r="O13" s="209"/>
      <c r="P13" s="209"/>
      <c r="Q13" s="209"/>
    </row>
    <row r="14" s="135" customFormat="1" ht="37.5" hidden="1" customHeight="1" spans="1:17">
      <c r="A14" s="163" t="s">
        <v>822</v>
      </c>
      <c r="B14" s="163"/>
      <c r="C14" s="164" t="s">
        <v>956</v>
      </c>
      <c r="D14" s="164" t="s">
        <v>953</v>
      </c>
      <c r="E14" s="164" t="s">
        <v>877</v>
      </c>
      <c r="F14" s="164" t="s">
        <v>109</v>
      </c>
      <c r="G14" s="164" t="s">
        <v>26</v>
      </c>
      <c r="H14" s="164" t="s">
        <v>111</v>
      </c>
      <c r="I14" s="164" t="s">
        <v>504</v>
      </c>
      <c r="J14" s="210"/>
      <c r="K14" s="210"/>
      <c r="L14" s="210"/>
      <c r="M14" s="210"/>
      <c r="N14" s="210"/>
      <c r="O14" s="210"/>
      <c r="P14" s="210"/>
      <c r="Q14" s="210"/>
    </row>
    <row r="15" ht="37.5" hidden="1" customHeight="1" spans="1:9">
      <c r="A15" s="165" t="s">
        <v>4</v>
      </c>
      <c r="B15" s="165"/>
      <c r="C15" s="166">
        <f>+รายจ่ายจริง!G80</f>
        <v>1042539000</v>
      </c>
      <c r="D15" s="167">
        <v>0</v>
      </c>
      <c r="E15" s="166">
        <f>SUM(C15:D15)</f>
        <v>1042539000</v>
      </c>
      <c r="F15" s="166">
        <f>+รายจ่ายจริง!G81</f>
        <v>0</v>
      </c>
      <c r="G15" s="166">
        <f>+รายจ่ายจริง!G82</f>
        <v>802035169.26</v>
      </c>
      <c r="H15" s="166">
        <f>+E15-F15-G15</f>
        <v>240503830.74</v>
      </c>
      <c r="I15" s="217">
        <f t="shared" ref="I15:I23" si="2">+G15*100/E15</f>
        <v>76.9309511931928</v>
      </c>
    </row>
    <row r="16" ht="37.5" hidden="1" customHeight="1" spans="1:9">
      <c r="A16" s="165" t="s">
        <v>5</v>
      </c>
      <c r="B16" s="165"/>
      <c r="C16" s="166">
        <f>+รายจ่ายจริง!J80</f>
        <v>323636700</v>
      </c>
      <c r="D16" s="167">
        <v>0</v>
      </c>
      <c r="E16" s="166">
        <f>SUM(C16:D16)</f>
        <v>323636700</v>
      </c>
      <c r="F16" s="166">
        <f>+รายจ่ายจริง!J81</f>
        <v>19683868.01</v>
      </c>
      <c r="G16" s="166">
        <f>+รายจ่ายจริง!J82</f>
        <v>213749684.52</v>
      </c>
      <c r="H16" s="166">
        <f>+E16-F16-G16</f>
        <v>90203147.47</v>
      </c>
      <c r="I16" s="217">
        <f t="shared" si="2"/>
        <v>66.0461821913275</v>
      </c>
    </row>
    <row r="17" s="136" customFormat="1" ht="37.5" hidden="1" customHeight="1" spans="1:17">
      <c r="A17" s="168" t="s">
        <v>6</v>
      </c>
      <c r="B17" s="168"/>
      <c r="C17" s="169">
        <f t="shared" ref="C17:H17" si="3">SUM(C18:C19)</f>
        <v>86643200</v>
      </c>
      <c r="D17" s="169">
        <f t="shared" si="3"/>
        <v>0</v>
      </c>
      <c r="E17" s="169">
        <f t="shared" si="3"/>
        <v>86643200</v>
      </c>
      <c r="F17" s="169">
        <f t="shared" si="3"/>
        <v>56899929</v>
      </c>
      <c r="G17" s="169">
        <f t="shared" si="3"/>
        <v>24342181.58</v>
      </c>
      <c r="H17" s="169">
        <f t="shared" si="3"/>
        <v>5401089.42</v>
      </c>
      <c r="I17" s="218">
        <f t="shared" si="2"/>
        <v>28.0947397833875</v>
      </c>
      <c r="J17" s="213"/>
      <c r="K17" s="213"/>
      <c r="L17" s="213"/>
      <c r="M17" s="213"/>
      <c r="N17" s="213"/>
      <c r="O17" s="213"/>
      <c r="P17" s="213"/>
      <c r="Q17" s="213"/>
    </row>
    <row r="18" ht="37.5" hidden="1" customHeight="1" spans="1:9">
      <c r="A18" s="165" t="s">
        <v>954</v>
      </c>
      <c r="B18" s="165"/>
      <c r="C18" s="166">
        <f>+รายจ่ายจริง!K80</f>
        <v>21704206.08</v>
      </c>
      <c r="D18" s="167">
        <v>0</v>
      </c>
      <c r="E18" s="166">
        <f>SUM(C18:D18)</f>
        <v>21704206.08</v>
      </c>
      <c r="F18" s="166">
        <f>+รายจ่ายจริง!K81</f>
        <v>273679</v>
      </c>
      <c r="G18" s="166">
        <f>+รายจ่ายจริง!K82</f>
        <v>17851462.08</v>
      </c>
      <c r="H18" s="166">
        <f>+E18-F18-G18</f>
        <v>3579065</v>
      </c>
      <c r="I18" s="217">
        <f t="shared" si="2"/>
        <v>82.2488600329397</v>
      </c>
    </row>
    <row r="19" ht="37.5" hidden="1" customHeight="1" spans="1:9">
      <c r="A19" s="170" t="s">
        <v>828</v>
      </c>
      <c r="B19" s="170"/>
      <c r="C19" s="166">
        <f>+รายจ่ายจริง!L80</f>
        <v>64938993.92</v>
      </c>
      <c r="D19" s="167">
        <v>0</v>
      </c>
      <c r="E19" s="166">
        <f>SUM(C19:D19)</f>
        <v>64938993.92</v>
      </c>
      <c r="F19" s="166">
        <f>+รายจ่ายจริง!L81</f>
        <v>56626250</v>
      </c>
      <c r="G19" s="166">
        <f>+รายจ่ายจริง!L82</f>
        <v>6490719.5</v>
      </c>
      <c r="H19" s="166">
        <f>+E19-F19-G19</f>
        <v>1822024.42</v>
      </c>
      <c r="I19" s="217">
        <f t="shared" si="2"/>
        <v>9.99510326260379</v>
      </c>
    </row>
    <row r="20" ht="37.5" hidden="1" customHeight="1" spans="1:13">
      <c r="A20" s="165" t="s">
        <v>8</v>
      </c>
      <c r="B20" s="165"/>
      <c r="C20" s="166">
        <f>+รายจ่ายจริง!O80</f>
        <v>21595100</v>
      </c>
      <c r="D20" s="167">
        <v>0</v>
      </c>
      <c r="E20" s="166">
        <f>SUM(C20:D20)</f>
        <v>21595100</v>
      </c>
      <c r="F20" s="166">
        <f>+รายจ่ายจริง!O81</f>
        <v>111761.86</v>
      </c>
      <c r="G20" s="166">
        <f>+รายจ่ายจริง!O82</f>
        <v>6921441.63</v>
      </c>
      <c r="H20" s="166">
        <f>+E20-F20-G20</f>
        <v>14561896.51</v>
      </c>
      <c r="I20" s="217">
        <f t="shared" si="2"/>
        <v>32.0509820746373</v>
      </c>
      <c r="M20" s="214"/>
    </row>
    <row r="21" s="137" customFormat="1" ht="37.5" hidden="1" customHeight="1" spans="1:17">
      <c r="A21" s="171" t="s">
        <v>80</v>
      </c>
      <c r="B21" s="171"/>
      <c r="C21" s="172">
        <f t="shared" ref="C21:H21" si="4">+C15+C16+C17+C20</f>
        <v>1474414000</v>
      </c>
      <c r="D21" s="172">
        <f t="shared" si="4"/>
        <v>0</v>
      </c>
      <c r="E21" s="172">
        <f t="shared" si="4"/>
        <v>1474414000</v>
      </c>
      <c r="F21" s="172">
        <f t="shared" si="4"/>
        <v>76695558.87</v>
      </c>
      <c r="G21" s="172">
        <f t="shared" si="4"/>
        <v>1047048476.99</v>
      </c>
      <c r="H21" s="172">
        <f t="shared" si="4"/>
        <v>350669964.14</v>
      </c>
      <c r="I21" s="219">
        <f t="shared" si="2"/>
        <v>71.0145506614831</v>
      </c>
      <c r="J21" s="216"/>
      <c r="K21" s="216"/>
      <c r="L21" s="216"/>
      <c r="M21" s="220"/>
      <c r="N21" s="216"/>
      <c r="O21" s="216"/>
      <c r="P21" s="216"/>
      <c r="Q21" s="216"/>
    </row>
    <row r="22" s="137" customFormat="1" ht="32.25" customHeight="1" spans="1:17">
      <c r="A22" s="173" t="s">
        <v>332</v>
      </c>
      <c r="B22" s="172">
        <f t="shared" ref="B22:H22" si="5">+B12-B8</f>
        <v>1982503200</v>
      </c>
      <c r="C22" s="172">
        <f t="shared" si="5"/>
        <v>1851387600</v>
      </c>
      <c r="D22" s="172">
        <f t="shared" si="5"/>
        <v>-463616800</v>
      </c>
      <c r="E22" s="172">
        <f t="shared" si="5"/>
        <v>1387770800</v>
      </c>
      <c r="F22" s="172">
        <f t="shared" si="5"/>
        <v>19795629.87</v>
      </c>
      <c r="G22" s="172">
        <f t="shared" si="5"/>
        <v>1022706295.41</v>
      </c>
      <c r="H22" s="172">
        <f t="shared" si="5"/>
        <v>345268874.72</v>
      </c>
      <c r="I22" s="215">
        <f t="shared" si="2"/>
        <v>73.6941788521563</v>
      </c>
      <c r="J22" s="216"/>
      <c r="K22" s="216"/>
      <c r="L22" s="216"/>
      <c r="M22" s="220"/>
      <c r="N22" s="216"/>
      <c r="O22" s="216"/>
      <c r="P22" s="216"/>
      <c r="Q22" s="216"/>
    </row>
    <row r="23" s="137" customFormat="1" ht="32.25" customHeight="1" spans="1:17">
      <c r="A23" s="173" t="s">
        <v>150</v>
      </c>
      <c r="B23" s="172">
        <f t="shared" ref="B23:H23" si="6">+B8</f>
        <v>212436800</v>
      </c>
      <c r="C23" s="172">
        <f t="shared" si="6"/>
        <v>118294300</v>
      </c>
      <c r="D23" s="172">
        <f t="shared" si="6"/>
        <v>-31651100</v>
      </c>
      <c r="E23" s="172">
        <f t="shared" si="6"/>
        <v>86643200</v>
      </c>
      <c r="F23" s="172">
        <f t="shared" si="6"/>
        <v>56899929</v>
      </c>
      <c r="G23" s="172">
        <f t="shared" si="6"/>
        <v>24342181.58</v>
      </c>
      <c r="H23" s="172">
        <f t="shared" si="6"/>
        <v>5401089.42</v>
      </c>
      <c r="I23" s="215">
        <f t="shared" si="2"/>
        <v>28.0947397833875</v>
      </c>
      <c r="J23" s="216"/>
      <c r="K23" s="216"/>
      <c r="L23" s="216"/>
      <c r="M23" s="220"/>
      <c r="N23" s="216"/>
      <c r="O23" s="216"/>
      <c r="P23" s="216"/>
      <c r="Q23" s="216"/>
    </row>
    <row r="24" s="137" customFormat="1" ht="34.5" customHeight="1" spans="1:17">
      <c r="A24" s="174" t="s">
        <v>957</v>
      </c>
      <c r="B24" s="174"/>
      <c r="C24" s="174"/>
      <c r="D24" s="174"/>
      <c r="E24" s="174"/>
      <c r="F24" s="174"/>
      <c r="G24" s="174"/>
      <c r="H24" s="174"/>
      <c r="I24" s="174"/>
      <c r="J24" s="216"/>
      <c r="K24" s="216"/>
      <c r="L24" s="216"/>
      <c r="M24" s="220"/>
      <c r="N24" s="216"/>
      <c r="O24" s="216"/>
      <c r="P24" s="216"/>
      <c r="Q24" s="216"/>
    </row>
    <row r="25" s="137" customFormat="1" ht="48" customHeight="1" spans="1:17">
      <c r="A25" s="153" t="s">
        <v>831</v>
      </c>
      <c r="B25" s="153"/>
      <c r="C25" s="153"/>
      <c r="D25" s="153"/>
      <c r="E25" s="153" t="s">
        <v>832</v>
      </c>
      <c r="F25" s="175" t="s">
        <v>833</v>
      </c>
      <c r="G25" s="153" t="s">
        <v>834</v>
      </c>
      <c r="H25" s="153" t="s">
        <v>835</v>
      </c>
      <c r="I25" s="221" t="s">
        <v>958</v>
      </c>
      <c r="J25" s="216"/>
      <c r="K25" s="216"/>
      <c r="L25" s="216"/>
      <c r="M25" s="220"/>
      <c r="N25" s="216"/>
      <c r="O25" s="216"/>
      <c r="P25" s="216"/>
      <c r="Q25" s="216"/>
    </row>
    <row r="26" s="137" customFormat="1" ht="24.75" customHeight="1" spans="1:17">
      <c r="A26" s="176" t="s">
        <v>837</v>
      </c>
      <c r="B26" s="177"/>
      <c r="C26" s="178" t="s">
        <v>838</v>
      </c>
      <c r="D26" s="179" t="s">
        <v>118</v>
      </c>
      <c r="E26" s="180">
        <v>32</v>
      </c>
      <c r="F26" s="181">
        <v>54</v>
      </c>
      <c r="G26" s="180">
        <v>77</v>
      </c>
      <c r="H26" s="180">
        <v>100</v>
      </c>
      <c r="I26" s="222">
        <f>+I12-F26</f>
        <v>17.0145506614831</v>
      </c>
      <c r="J26" s="216"/>
      <c r="K26" s="216"/>
      <c r="L26" s="216"/>
      <c r="M26" s="220"/>
      <c r="N26" s="216"/>
      <c r="O26" s="216"/>
      <c r="P26" s="216"/>
      <c r="Q26" s="216"/>
    </row>
    <row r="27" s="137" customFormat="1" ht="24.75" customHeight="1" spans="1:17">
      <c r="A27" s="176" t="s">
        <v>332</v>
      </c>
      <c r="B27" s="177"/>
      <c r="C27" s="178" t="s">
        <v>838</v>
      </c>
      <c r="D27" s="179" t="s">
        <v>118</v>
      </c>
      <c r="E27" s="180">
        <v>36</v>
      </c>
      <c r="F27" s="181">
        <v>57</v>
      </c>
      <c r="G27" s="180">
        <v>80</v>
      </c>
      <c r="H27" s="180">
        <v>100</v>
      </c>
      <c r="I27" s="222">
        <f>+I22-F27</f>
        <v>16.6941788521563</v>
      </c>
      <c r="J27" s="216"/>
      <c r="K27" s="216"/>
      <c r="L27" s="216"/>
      <c r="M27" s="220"/>
      <c r="N27" s="216"/>
      <c r="O27" s="216"/>
      <c r="P27" s="216"/>
      <c r="Q27" s="216"/>
    </row>
    <row r="28" s="137" customFormat="1" ht="24.75" customHeight="1" spans="1:17">
      <c r="A28" s="176" t="s">
        <v>150</v>
      </c>
      <c r="B28" s="177"/>
      <c r="C28" s="178" t="s">
        <v>838</v>
      </c>
      <c r="D28" s="179" t="s">
        <v>118</v>
      </c>
      <c r="E28" s="180">
        <v>20</v>
      </c>
      <c r="F28" s="181">
        <v>45</v>
      </c>
      <c r="G28" s="180">
        <v>65</v>
      </c>
      <c r="H28" s="180">
        <v>100</v>
      </c>
      <c r="I28" s="222">
        <f>+I23-F28</f>
        <v>-16.9052602166125</v>
      </c>
      <c r="J28" s="216"/>
      <c r="K28" s="216"/>
      <c r="L28" s="216"/>
      <c r="M28" s="220"/>
      <c r="N28" s="216"/>
      <c r="O28" s="216"/>
      <c r="P28" s="216"/>
      <c r="Q28" s="216"/>
    </row>
    <row r="29" s="138" customFormat="1" ht="26.25" hidden="1" spans="1:14">
      <c r="A29" s="182" t="s">
        <v>959</v>
      </c>
      <c r="B29" s="182"/>
      <c r="C29" s="183" t="s">
        <v>960</v>
      </c>
      <c r="D29" s="184"/>
      <c r="E29" s="184"/>
      <c r="F29" s="184"/>
      <c r="G29" s="184"/>
      <c r="H29" s="184"/>
      <c r="I29" s="184"/>
      <c r="M29" s="223"/>
      <c r="N29" s="224"/>
    </row>
    <row r="30" s="139" customFormat="1" hidden="1" spans="1:14">
      <c r="A30" s="185"/>
      <c r="B30" s="185"/>
      <c r="C30" s="186" t="s">
        <v>961</v>
      </c>
      <c r="D30" s="187"/>
      <c r="E30" s="187"/>
      <c r="F30" s="187"/>
      <c r="G30" s="187"/>
      <c r="H30" s="187"/>
      <c r="I30" s="187"/>
      <c r="M30" s="225"/>
      <c r="N30" s="226"/>
    </row>
    <row r="31" ht="30.75" hidden="1" spans="1:12">
      <c r="A31" s="188" t="str">
        <f>+A1</f>
        <v>กรมพินิจและคุ้มครองเด็กและเยาวชน   กระทรวงยุติธรรม</v>
      </c>
      <c r="B31" s="188"/>
      <c r="C31" s="188"/>
      <c r="D31" s="188"/>
      <c r="E31" s="188"/>
      <c r="F31" s="188"/>
      <c r="G31" s="188"/>
      <c r="H31" s="188"/>
      <c r="I31" s="188"/>
      <c r="J31" s="227"/>
      <c r="K31" s="227"/>
      <c r="L31" s="227"/>
    </row>
    <row r="32" ht="28.5" hidden="1" spans="1:12">
      <c r="A32" s="189" t="s">
        <v>962</v>
      </c>
      <c r="B32" s="189"/>
      <c r="C32" s="189"/>
      <c r="D32" s="189"/>
      <c r="E32" s="189"/>
      <c r="F32" s="189"/>
      <c r="G32" s="189"/>
      <c r="H32" s="189"/>
      <c r="I32" s="189"/>
      <c r="J32" s="227"/>
      <c r="K32" s="227"/>
      <c r="L32" s="227"/>
    </row>
    <row r="33" s="140" customFormat="1" ht="26.25" hidden="1" spans="1:12">
      <c r="A33" s="190" t="s">
        <v>831</v>
      </c>
      <c r="B33" s="190"/>
      <c r="C33" s="190"/>
      <c r="D33" s="190"/>
      <c r="E33" s="191" t="s">
        <v>963</v>
      </c>
      <c r="F33" s="191"/>
      <c r="G33" s="191"/>
      <c r="H33" s="191"/>
      <c r="I33" s="203"/>
      <c r="J33" s="228"/>
      <c r="K33" s="228"/>
      <c r="L33" s="228"/>
    </row>
    <row r="34" s="140" customFormat="1" ht="26.25" hidden="1" spans="1:12">
      <c r="A34" s="190"/>
      <c r="B34" s="190"/>
      <c r="C34" s="190"/>
      <c r="D34" s="190"/>
      <c r="E34" s="191" t="s">
        <v>964</v>
      </c>
      <c r="F34" s="191" t="s">
        <v>965</v>
      </c>
      <c r="G34" s="191" t="s">
        <v>966</v>
      </c>
      <c r="H34" s="191" t="s">
        <v>967</v>
      </c>
      <c r="I34" s="203"/>
      <c r="J34" s="228"/>
      <c r="K34" s="228"/>
      <c r="L34" s="228"/>
    </row>
    <row r="35" s="141" customFormat="1" ht="23.25" hidden="1" spans="1:9">
      <c r="A35" s="192" t="s">
        <v>968</v>
      </c>
      <c r="B35" s="193"/>
      <c r="C35" s="193"/>
      <c r="D35" s="194"/>
      <c r="E35" s="195">
        <v>0.32</v>
      </c>
      <c r="F35" s="195">
        <v>0.54</v>
      </c>
      <c r="G35" s="195">
        <v>0.77</v>
      </c>
      <c r="H35" s="195">
        <v>1</v>
      </c>
      <c r="I35" s="229"/>
    </row>
    <row r="36" s="141" customFormat="1" ht="23.25" hidden="1" spans="1:9">
      <c r="A36" s="196" t="s">
        <v>969</v>
      </c>
      <c r="B36" s="196"/>
      <c r="C36" s="197">
        <f>+E12</f>
        <v>1474414000</v>
      </c>
      <c r="D36" s="198"/>
      <c r="E36" s="199">
        <f>+C36*0.32</f>
        <v>471812480</v>
      </c>
      <c r="F36" s="199">
        <f>+C36*0.54</f>
        <v>796183560</v>
      </c>
      <c r="G36" s="199">
        <f>+C36*0.77</f>
        <v>1135298780</v>
      </c>
      <c r="H36" s="199">
        <f>+C36*1</f>
        <v>1474414000</v>
      </c>
      <c r="I36" s="229"/>
    </row>
    <row r="37" s="142" customFormat="1" ht="23.25" hidden="1" spans="1:9">
      <c r="A37" s="192" t="s">
        <v>970</v>
      </c>
      <c r="B37" s="193"/>
      <c r="C37" s="193"/>
      <c r="D37" s="194"/>
      <c r="E37" s="195">
        <v>0.36</v>
      </c>
      <c r="F37" s="195">
        <v>0.57</v>
      </c>
      <c r="G37" s="195">
        <v>0.8</v>
      </c>
      <c r="H37" s="195">
        <v>1</v>
      </c>
      <c r="I37" s="229"/>
    </row>
    <row r="38" s="141" customFormat="1" ht="23.25" hidden="1" spans="1:9">
      <c r="A38" s="196" t="s">
        <v>969</v>
      </c>
      <c r="B38" s="196"/>
      <c r="C38" s="197">
        <f>+E6+E7+E11</f>
        <v>1387770800</v>
      </c>
      <c r="D38" s="198"/>
      <c r="E38" s="199">
        <f>+C38*0.36</f>
        <v>499597488</v>
      </c>
      <c r="F38" s="199">
        <f>+C38*0.57</f>
        <v>791029356</v>
      </c>
      <c r="G38" s="199">
        <f>+C38*0.8</f>
        <v>1110216640</v>
      </c>
      <c r="H38" s="199">
        <f>+C38*1</f>
        <v>1387770800</v>
      </c>
      <c r="I38" s="229"/>
    </row>
    <row r="39" s="141" customFormat="1" ht="23.25" hidden="1" spans="1:9">
      <c r="A39" s="192" t="s">
        <v>971</v>
      </c>
      <c r="B39" s="193"/>
      <c r="C39" s="193"/>
      <c r="D39" s="194"/>
      <c r="E39" s="195">
        <v>0.2</v>
      </c>
      <c r="F39" s="195">
        <v>0.45</v>
      </c>
      <c r="G39" s="195">
        <v>0.65</v>
      </c>
      <c r="H39" s="195">
        <v>1</v>
      </c>
      <c r="I39" s="229"/>
    </row>
    <row r="40" s="141" customFormat="1" ht="23.25" hidden="1" spans="1:9">
      <c r="A40" s="196" t="s">
        <v>969</v>
      </c>
      <c r="B40" s="196"/>
      <c r="C40" s="197">
        <f>+E8</f>
        <v>86643200</v>
      </c>
      <c r="D40" s="198"/>
      <c r="E40" s="199">
        <f>+C40*0.2</f>
        <v>17328640</v>
      </c>
      <c r="F40" s="199">
        <f>+C40*0.45</f>
        <v>38989440</v>
      </c>
      <c r="G40" s="199">
        <f>+C40*0.65</f>
        <v>56318080</v>
      </c>
      <c r="H40" s="199">
        <f>+C40*1</f>
        <v>86643200</v>
      </c>
      <c r="I40" s="229"/>
    </row>
    <row r="41" s="143" customFormat="1" hidden="1" customHeight="1" spans="1:9">
      <c r="A41" s="200" t="s">
        <v>972</v>
      </c>
      <c r="B41" s="200"/>
      <c r="C41" s="200"/>
      <c r="D41" s="200"/>
      <c r="E41" s="200"/>
      <c r="F41" s="200"/>
      <c r="G41" s="200"/>
      <c r="H41" s="200"/>
      <c r="I41" s="200"/>
    </row>
    <row r="42" s="144" customFormat="1" hidden="1" customHeight="1" spans="1:9">
      <c r="A42" s="201" t="s">
        <v>968</v>
      </c>
      <c r="B42" s="201"/>
      <c r="C42" s="202" t="s">
        <v>973</v>
      </c>
      <c r="D42" s="203"/>
      <c r="E42" s="203" t="s">
        <v>974</v>
      </c>
      <c r="F42" s="203" t="s">
        <v>975</v>
      </c>
      <c r="G42" s="203"/>
      <c r="H42" s="203"/>
      <c r="I42" s="203"/>
    </row>
    <row r="43" s="143" customFormat="1" hidden="1" customHeight="1" spans="1:9">
      <c r="A43" s="201"/>
      <c r="B43" s="201"/>
      <c r="C43" s="202"/>
      <c r="D43" s="203"/>
      <c r="E43" s="203"/>
      <c r="F43" s="203" t="s">
        <v>976</v>
      </c>
      <c r="G43" s="204"/>
      <c r="H43" s="205"/>
      <c r="I43" s="203"/>
    </row>
    <row r="44" s="143" customFormat="1" hidden="1" customHeight="1" spans="1:9">
      <c r="A44" s="201"/>
      <c r="B44" s="201"/>
      <c r="C44" s="202"/>
      <c r="D44" s="203"/>
      <c r="E44" s="203"/>
      <c r="F44" s="203" t="s">
        <v>977</v>
      </c>
      <c r="G44" s="203"/>
      <c r="H44" s="203"/>
      <c r="I44" s="203"/>
    </row>
    <row r="45" s="143" customFormat="1" hidden="1" customHeight="1" spans="1:9">
      <c r="A45" s="201"/>
      <c r="B45" s="201"/>
      <c r="C45" s="202"/>
      <c r="D45" s="203"/>
      <c r="E45" s="203"/>
      <c r="F45" s="203"/>
      <c r="G45" s="203"/>
      <c r="H45" s="203"/>
      <c r="I45" s="203"/>
    </row>
    <row r="46" s="143" customFormat="1" hidden="1" customHeight="1" spans="1:9">
      <c r="A46" s="201"/>
      <c r="B46" s="201"/>
      <c r="C46" s="202"/>
      <c r="D46" s="203"/>
      <c r="E46" s="203"/>
      <c r="F46" s="203"/>
      <c r="G46" s="203"/>
      <c r="H46" s="203"/>
      <c r="I46" s="203"/>
    </row>
    <row r="47" s="143" customFormat="1" hidden="1" customHeight="1" spans="1:9">
      <c r="A47" s="201"/>
      <c r="B47" s="201"/>
      <c r="C47" s="202"/>
      <c r="D47" s="203"/>
      <c r="E47" s="203"/>
      <c r="F47" s="203"/>
      <c r="G47" s="203"/>
      <c r="H47" s="203"/>
      <c r="I47" s="203"/>
    </row>
    <row r="48" s="143" customFormat="1" hidden="1" customHeight="1" spans="1:9">
      <c r="A48" s="201"/>
      <c r="B48" s="201"/>
      <c r="C48" s="202"/>
      <c r="D48" s="203"/>
      <c r="E48" s="203"/>
      <c r="F48" s="203"/>
      <c r="G48" s="203"/>
      <c r="H48" s="203"/>
      <c r="I48" s="203"/>
    </row>
    <row r="49" s="143" customFormat="1" hidden="1" customHeight="1" spans="1:9">
      <c r="A49" s="201"/>
      <c r="B49" s="201"/>
      <c r="C49" s="202"/>
      <c r="D49" s="203"/>
      <c r="E49" s="203"/>
      <c r="F49" s="203"/>
      <c r="G49" s="203"/>
      <c r="H49" s="203"/>
      <c r="I49" s="203"/>
    </row>
    <row r="50" s="143" customFormat="1" hidden="1" customHeight="1" spans="1:9">
      <c r="A50" s="201"/>
      <c r="B50" s="201"/>
      <c r="C50" s="202"/>
      <c r="D50" s="203"/>
      <c r="E50" s="203"/>
      <c r="F50" s="203"/>
      <c r="G50" s="203"/>
      <c r="H50" s="203"/>
      <c r="I50" s="203"/>
    </row>
    <row r="51" s="143" customFormat="1" hidden="1" customHeight="1" spans="1:9">
      <c r="A51" s="201"/>
      <c r="B51" s="201"/>
      <c r="C51" s="202"/>
      <c r="D51" s="203"/>
      <c r="E51" s="203"/>
      <c r="F51" s="203"/>
      <c r="G51" s="203"/>
      <c r="H51" s="203"/>
      <c r="I51" s="203"/>
    </row>
    <row r="52" s="143" customFormat="1" hidden="1" customHeight="1" spans="1:9">
      <c r="A52" s="201"/>
      <c r="B52" s="201"/>
      <c r="C52" s="202"/>
      <c r="D52" s="203"/>
      <c r="E52" s="203"/>
      <c r="F52" s="203"/>
      <c r="G52" s="203"/>
      <c r="H52" s="203"/>
      <c r="I52" s="203"/>
    </row>
    <row r="53" s="144" customFormat="1" hidden="1" customHeight="1" spans="1:9">
      <c r="A53" s="201"/>
      <c r="B53" s="201"/>
      <c r="C53" s="202"/>
      <c r="D53" s="203"/>
      <c r="E53" s="203"/>
      <c r="F53" s="203"/>
      <c r="G53" s="203"/>
      <c r="H53" s="203"/>
      <c r="I53" s="203"/>
    </row>
    <row r="54" s="144" customFormat="1" hidden="1" customHeight="1" spans="1:9">
      <c r="A54" s="201"/>
      <c r="B54" s="201"/>
      <c r="C54" s="202"/>
      <c r="D54" s="203"/>
      <c r="E54" s="203"/>
      <c r="F54" s="203"/>
      <c r="G54" s="203"/>
      <c r="H54" s="203"/>
      <c r="I54" s="203"/>
    </row>
    <row r="55" s="144" customFormat="1" hidden="1" customHeight="1" spans="1:9">
      <c r="A55" s="201"/>
      <c r="B55" s="201"/>
      <c r="C55" s="202"/>
      <c r="D55" s="203"/>
      <c r="E55" s="203"/>
      <c r="F55" s="203"/>
      <c r="G55" s="203"/>
      <c r="H55" s="203"/>
      <c r="I55" s="203"/>
    </row>
    <row r="56" s="140" customFormat="1" hidden="1" spans="1:9">
      <c r="A56" s="201"/>
      <c r="B56" s="201"/>
      <c r="C56" s="202"/>
      <c r="D56" s="203"/>
      <c r="E56" s="203"/>
      <c r="F56" s="203"/>
      <c r="G56" s="203"/>
      <c r="H56" s="203"/>
      <c r="I56" s="203"/>
    </row>
    <row r="57" ht="31.5" hidden="1" spans="1:9">
      <c r="A57" s="206" t="s">
        <v>152</v>
      </c>
      <c r="B57" s="206"/>
      <c r="C57" s="206"/>
      <c r="D57" s="206"/>
      <c r="E57" s="206"/>
      <c r="F57" s="206"/>
      <c r="G57" s="206"/>
      <c r="H57" s="206"/>
      <c r="I57" s="206"/>
    </row>
    <row r="58" ht="31.5" hidden="1" spans="1:9">
      <c r="A58" s="206" t="s">
        <v>978</v>
      </c>
      <c r="B58" s="206"/>
      <c r="C58" s="206"/>
      <c r="D58" s="206"/>
      <c r="E58" s="206"/>
      <c r="F58" s="206"/>
      <c r="G58" s="206"/>
      <c r="H58" s="206"/>
      <c r="I58" s="206"/>
    </row>
    <row r="59" ht="31.5" hidden="1" spans="1:9">
      <c r="A59" s="207" t="s">
        <v>979</v>
      </c>
      <c r="B59" s="207"/>
      <c r="C59" s="207"/>
      <c r="D59" s="207"/>
      <c r="E59" s="207"/>
      <c r="F59" s="207"/>
      <c r="G59" s="207"/>
      <c r="H59" s="207"/>
      <c r="I59" s="207"/>
    </row>
    <row r="60" ht="31.5" hidden="1" spans="1:9">
      <c r="A60" s="207" t="str">
        <f>+A69</f>
        <v>ตั้งแต่วันที่ 1  ตุลาคม 2564 ถึงวันที่ 30 เมษายน 2565</v>
      </c>
      <c r="B60" s="207"/>
      <c r="C60" s="207"/>
      <c r="D60" s="207"/>
      <c r="E60" s="207"/>
      <c r="F60" s="207"/>
      <c r="G60" s="207"/>
      <c r="H60" s="207"/>
      <c r="I60" s="207"/>
    </row>
    <row r="61" s="145" customFormat="1" ht="23.25" hidden="1" spans="1:17">
      <c r="A61" s="152" t="s">
        <v>980</v>
      </c>
      <c r="B61" s="152"/>
      <c r="C61" s="152"/>
      <c r="D61" s="152"/>
      <c r="E61" s="152"/>
      <c r="F61" s="152" t="s">
        <v>79</v>
      </c>
      <c r="G61" s="152" t="s">
        <v>26</v>
      </c>
      <c r="H61" s="152" t="s">
        <v>111</v>
      </c>
      <c r="I61" s="153" t="s">
        <v>504</v>
      </c>
      <c r="J61" s="230"/>
      <c r="K61" s="230"/>
      <c r="L61" s="230"/>
      <c r="M61" s="230"/>
      <c r="N61" s="230"/>
      <c r="O61" s="230"/>
      <c r="P61" s="230"/>
      <c r="Q61" s="230"/>
    </row>
    <row r="62" ht="28.5" hidden="1" customHeight="1" spans="1:9">
      <c r="A62" s="208"/>
      <c r="B62" s="208"/>
      <c r="C62" s="208"/>
      <c r="D62" s="208"/>
      <c r="E62" s="208"/>
      <c r="F62" s="208"/>
      <c r="G62" s="208"/>
      <c r="H62" s="208"/>
      <c r="I62" s="208"/>
    </row>
    <row r="63" ht="28.5" hidden="1" customHeight="1" spans="1:9">
      <c r="A63" s="208"/>
      <c r="B63" s="208"/>
      <c r="C63" s="208"/>
      <c r="D63" s="208"/>
      <c r="E63" s="208"/>
      <c r="F63" s="208"/>
      <c r="G63" s="208"/>
      <c r="H63" s="208"/>
      <c r="I63" s="208"/>
    </row>
    <row r="64" ht="28.5" hidden="1" customHeight="1" spans="1:9">
      <c r="A64" s="208"/>
      <c r="B64" s="208"/>
      <c r="C64" s="208"/>
      <c r="D64" s="208"/>
      <c r="E64" s="208"/>
      <c r="F64" s="208"/>
      <c r="G64" s="208"/>
      <c r="H64" s="208"/>
      <c r="I64" s="208"/>
    </row>
    <row r="65" ht="28.5" hidden="1" customHeight="1" spans="1:9">
      <c r="A65" s="208"/>
      <c r="B65" s="208"/>
      <c r="C65" s="208"/>
      <c r="D65" s="208"/>
      <c r="E65" s="208"/>
      <c r="F65" s="208"/>
      <c r="G65" s="208"/>
      <c r="H65" s="208"/>
      <c r="I65" s="208"/>
    </row>
    <row r="66" ht="26.25" hidden="1" spans="1:9">
      <c r="A66" s="231" t="s">
        <v>0</v>
      </c>
      <c r="B66" s="231"/>
      <c r="C66" s="231"/>
      <c r="D66" s="231"/>
      <c r="E66" s="231"/>
      <c r="F66" s="231"/>
      <c r="G66" s="231"/>
      <c r="H66" s="231"/>
      <c r="I66" s="231"/>
    </row>
    <row r="67" ht="26.25" hidden="1" spans="1:9">
      <c r="A67" s="231" t="s">
        <v>981</v>
      </c>
      <c r="B67" s="231"/>
      <c r="C67" s="231"/>
      <c r="D67" s="231"/>
      <c r="E67" s="231"/>
      <c r="F67" s="231"/>
      <c r="G67" s="231"/>
      <c r="H67" s="231"/>
      <c r="I67" s="231"/>
    </row>
    <row r="68" ht="26.25" hidden="1" spans="1:9">
      <c r="A68" s="232" t="s">
        <v>982</v>
      </c>
      <c r="B68" s="232"/>
      <c r="C68" s="231"/>
      <c r="D68" s="231"/>
      <c r="E68" s="231"/>
      <c r="F68" s="231"/>
      <c r="G68" s="231"/>
      <c r="H68" s="231"/>
      <c r="I68" s="231"/>
    </row>
    <row r="69" ht="26.25" hidden="1" spans="1:9">
      <c r="A69" s="233" t="str">
        <f>+A3</f>
        <v>ตั้งแต่วันที่ 1  ตุลาคม 2564 ถึงวันที่ 30 เมษายน 2565</v>
      </c>
      <c r="B69" s="233"/>
      <c r="C69" s="233"/>
      <c r="D69" s="233"/>
      <c r="E69" s="233"/>
      <c r="F69" s="233"/>
      <c r="G69" s="233"/>
      <c r="H69" s="233"/>
      <c r="I69" s="233"/>
    </row>
    <row r="70" ht="30.75" hidden="1" customHeight="1" spans="1:9">
      <c r="A70" s="234" t="s">
        <v>980</v>
      </c>
      <c r="B70" s="234"/>
      <c r="C70" s="234"/>
      <c r="D70" s="234"/>
      <c r="E70" s="234"/>
      <c r="F70" s="234" t="s">
        <v>79</v>
      </c>
      <c r="G70" s="234" t="s">
        <v>26</v>
      </c>
      <c r="H70" s="234" t="s">
        <v>111</v>
      </c>
      <c r="I70" s="234" t="s">
        <v>504</v>
      </c>
    </row>
    <row r="71" ht="30.75" hidden="1" customHeight="1" spans="1:9">
      <c r="A71" s="235" t="s">
        <v>983</v>
      </c>
      <c r="B71" s="236"/>
      <c r="C71" s="237"/>
      <c r="D71" s="238"/>
      <c r="E71" s="239"/>
      <c r="F71" s="169">
        <f>SUM(F72:F74)</f>
        <v>0</v>
      </c>
      <c r="G71" s="169">
        <f>SUM(G72:G74)</f>
        <v>0</v>
      </c>
      <c r="H71" s="169">
        <f>SUM(H72:H74)</f>
        <v>0</v>
      </c>
      <c r="I71" s="256" t="e">
        <f t="shared" ref="I71:I83" si="7">+G71*100/F71</f>
        <v>#DIV/0!</v>
      </c>
    </row>
    <row r="72" ht="30.75" hidden="1" customHeight="1" spans="1:9">
      <c r="A72" s="165">
        <v>1</v>
      </c>
      <c r="B72" s="240"/>
      <c r="C72" s="235"/>
      <c r="D72" s="238"/>
      <c r="E72" s="241"/>
      <c r="F72" s="169">
        <v>0</v>
      </c>
      <c r="G72" s="218">
        <v>0</v>
      </c>
      <c r="H72" s="218">
        <f>+F72-G72</f>
        <v>0</v>
      </c>
      <c r="I72" s="256" t="e">
        <f t="shared" si="7"/>
        <v>#DIV/0!</v>
      </c>
    </row>
    <row r="73" ht="30.75" hidden="1" customHeight="1" spans="1:9">
      <c r="A73" s="165">
        <v>2</v>
      </c>
      <c r="B73" s="240"/>
      <c r="C73" s="235"/>
      <c r="D73" s="238"/>
      <c r="E73" s="241"/>
      <c r="F73" s="169">
        <v>0</v>
      </c>
      <c r="G73" s="218">
        <v>0</v>
      </c>
      <c r="H73" s="218">
        <f>+F73-G73</f>
        <v>0</v>
      </c>
      <c r="I73" s="256" t="e">
        <f t="shared" si="7"/>
        <v>#DIV/0!</v>
      </c>
    </row>
    <row r="74" ht="30.75" hidden="1" customHeight="1" spans="1:9">
      <c r="A74" s="165">
        <v>3</v>
      </c>
      <c r="B74" s="240"/>
      <c r="C74" s="235"/>
      <c r="D74" s="238"/>
      <c r="E74" s="241"/>
      <c r="F74" s="169">
        <v>0</v>
      </c>
      <c r="G74" s="218">
        <v>0</v>
      </c>
      <c r="H74" s="218">
        <f>+F74-G74</f>
        <v>0</v>
      </c>
      <c r="I74" s="256" t="e">
        <f t="shared" si="7"/>
        <v>#DIV/0!</v>
      </c>
    </row>
    <row r="75" ht="30.75" hidden="1" customHeight="1" spans="1:9">
      <c r="A75" s="168" t="s">
        <v>984</v>
      </c>
      <c r="B75" s="235"/>
      <c r="C75" s="235"/>
      <c r="D75" s="238"/>
      <c r="E75" s="239"/>
      <c r="F75" s="169">
        <f>SUM(F76:F78)</f>
        <v>0</v>
      </c>
      <c r="G75" s="169">
        <f>SUM(G76:G78)</f>
        <v>0</v>
      </c>
      <c r="H75" s="169">
        <f>SUM(H76:H78)</f>
        <v>0</v>
      </c>
      <c r="I75" s="256" t="e">
        <f t="shared" si="7"/>
        <v>#DIV/0!</v>
      </c>
    </row>
    <row r="76" ht="30.75" hidden="1" customHeight="1" spans="1:9">
      <c r="A76" s="165">
        <v>1</v>
      </c>
      <c r="B76" s="240"/>
      <c r="C76" s="240"/>
      <c r="D76" s="242"/>
      <c r="E76" s="243"/>
      <c r="F76" s="169">
        <v>0</v>
      </c>
      <c r="G76" s="218">
        <v>0</v>
      </c>
      <c r="H76" s="218">
        <f>+F76-G76</f>
        <v>0</v>
      </c>
      <c r="I76" s="256" t="e">
        <f t="shared" si="7"/>
        <v>#DIV/0!</v>
      </c>
    </row>
    <row r="77" ht="30.75" hidden="1" customHeight="1" spans="1:9">
      <c r="A77" s="165">
        <v>2</v>
      </c>
      <c r="B77" s="240"/>
      <c r="C77" s="240"/>
      <c r="D77" s="242"/>
      <c r="E77" s="243"/>
      <c r="F77" s="169">
        <v>0</v>
      </c>
      <c r="G77" s="218">
        <v>0</v>
      </c>
      <c r="H77" s="218">
        <f>+F77-G77</f>
        <v>0</v>
      </c>
      <c r="I77" s="256" t="e">
        <f t="shared" si="7"/>
        <v>#DIV/0!</v>
      </c>
    </row>
    <row r="78" ht="30.75" hidden="1" customHeight="1" spans="1:9">
      <c r="A78" s="165">
        <v>3</v>
      </c>
      <c r="B78" s="240"/>
      <c r="C78" s="240"/>
      <c r="D78" s="242"/>
      <c r="E78" s="243"/>
      <c r="F78" s="169">
        <v>0</v>
      </c>
      <c r="G78" s="218">
        <v>0</v>
      </c>
      <c r="H78" s="218">
        <f>+F78-G78</f>
        <v>0</v>
      </c>
      <c r="I78" s="256" t="e">
        <f t="shared" si="7"/>
        <v>#DIV/0!</v>
      </c>
    </row>
    <row r="79" ht="35.25" hidden="1" customHeight="1" spans="1:9">
      <c r="A79" s="168" t="s">
        <v>985</v>
      </c>
      <c r="B79" s="235"/>
      <c r="C79" s="235"/>
      <c r="D79" s="238"/>
      <c r="E79" s="239"/>
      <c r="F79" s="169">
        <f>+F80</f>
        <v>3942765</v>
      </c>
      <c r="G79" s="169">
        <f>+G80</f>
        <v>1918904.16</v>
      </c>
      <c r="H79" s="169">
        <f>+H80</f>
        <v>2023860.84</v>
      </c>
      <c r="I79" s="169">
        <f t="shared" si="7"/>
        <v>48.6689965037226</v>
      </c>
    </row>
    <row r="80" ht="35.25" hidden="1" customHeight="1" spans="1:9">
      <c r="A80" s="240">
        <v>1</v>
      </c>
      <c r="B80" s="244"/>
      <c r="C80" s="244" t="s">
        <v>986</v>
      </c>
      <c r="D80" s="242"/>
      <c r="E80" s="243"/>
      <c r="F80" s="169">
        <f>SUM(F81:F82)</f>
        <v>3942765</v>
      </c>
      <c r="G80" s="169">
        <f>SUM(G81:G82)</f>
        <v>1918904.16</v>
      </c>
      <c r="H80" s="169">
        <f>SUM(H81:H82)</f>
        <v>2023860.84</v>
      </c>
      <c r="I80" s="169">
        <f t="shared" si="7"/>
        <v>48.6689965037226</v>
      </c>
    </row>
    <row r="81" ht="35.25" hidden="1" customHeight="1" spans="1:9">
      <c r="A81" s="240"/>
      <c r="B81" s="244"/>
      <c r="C81" s="245" t="s">
        <v>987</v>
      </c>
      <c r="D81" s="245"/>
      <c r="E81" s="246"/>
      <c r="F81" s="247">
        <f>+'เบิกแทน กรมคุม'!E103</f>
        <v>3942765</v>
      </c>
      <c r="G81" s="218">
        <f>+'เบิกแทน กรมคุม'!F103</f>
        <v>1918904.16</v>
      </c>
      <c r="H81" s="218">
        <f>+F81-G81</f>
        <v>2023860.84</v>
      </c>
      <c r="I81" s="169">
        <f t="shared" si="7"/>
        <v>48.6689965037226</v>
      </c>
    </row>
    <row r="82" ht="42.75" hidden="1" customHeight="1" spans="1:9">
      <c r="A82" s="248"/>
      <c r="B82" s="249"/>
      <c r="C82" s="250" t="s">
        <v>988</v>
      </c>
      <c r="D82" s="250"/>
      <c r="E82" s="251"/>
      <c r="F82" s="252">
        <f>+'เบิกแทน กรมคุม'!H103</f>
        <v>0</v>
      </c>
      <c r="G82" s="253">
        <f>+'เบิกแทน กรมคุม'!I103</f>
        <v>0</v>
      </c>
      <c r="H82" s="253">
        <f>+F82-G82</f>
        <v>0</v>
      </c>
      <c r="I82" s="253" t="e">
        <f t="shared" si="7"/>
        <v>#DIV/0!</v>
      </c>
    </row>
    <row r="83" s="134" customFormat="1" ht="35.25" hidden="1" customHeight="1" spans="1:17">
      <c r="A83" s="254" t="s">
        <v>80</v>
      </c>
      <c r="B83" s="254"/>
      <c r="C83" s="254"/>
      <c r="D83" s="254"/>
      <c r="E83" s="254"/>
      <c r="F83" s="255">
        <f>+F71+F75+F79</f>
        <v>3942765</v>
      </c>
      <c r="G83" s="255">
        <f>+G71+G75+G79</f>
        <v>1918904.16</v>
      </c>
      <c r="H83" s="255">
        <f>+H71+H75+H79</f>
        <v>2023860.84</v>
      </c>
      <c r="I83" s="159">
        <f t="shared" si="7"/>
        <v>48.6689965037226</v>
      </c>
      <c r="J83" s="209"/>
      <c r="K83" s="209"/>
      <c r="L83" s="209"/>
      <c r="M83" s="209"/>
      <c r="N83" s="209"/>
      <c r="O83" s="209"/>
      <c r="P83" s="209"/>
      <c r="Q83" s="209"/>
    </row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 spans="8:8">
      <c r="H369" s="257"/>
    </row>
    <row r="370" hidden="1"/>
    <row r="371" hidden="1"/>
    <row r="372" s="136" customFormat="1" spans="1:17">
      <c r="A372" s="136" t="s">
        <v>989</v>
      </c>
      <c r="D372" s="137"/>
      <c r="J372" s="213"/>
      <c r="K372" s="213"/>
      <c r="L372" s="213"/>
      <c r="M372" s="213"/>
      <c r="N372" s="213"/>
      <c r="O372" s="213"/>
      <c r="P372" s="213"/>
      <c r="Q372" s="213"/>
    </row>
    <row r="373" ht="33.75" customHeight="1" spans="1:9">
      <c r="A373" s="258" t="s">
        <v>990</v>
      </c>
      <c r="B373" s="258"/>
      <c r="C373" s="258"/>
      <c r="D373" s="258"/>
      <c r="E373" s="258"/>
      <c r="F373" s="258"/>
      <c r="G373" s="258"/>
      <c r="H373" s="258"/>
      <c r="I373" s="258"/>
    </row>
    <row r="374" s="145" customFormat="1" ht="30.75" customHeight="1" spans="1:17">
      <c r="A374" s="152" t="s">
        <v>980</v>
      </c>
      <c r="B374" s="152"/>
      <c r="C374" s="152"/>
      <c r="D374" s="152"/>
      <c r="E374" s="152"/>
      <c r="F374" s="152" t="s">
        <v>842</v>
      </c>
      <c r="G374" s="152" t="s">
        <v>26</v>
      </c>
      <c r="H374" s="152" t="s">
        <v>111</v>
      </c>
      <c r="I374" s="153" t="s">
        <v>504</v>
      </c>
      <c r="J374" s="230"/>
      <c r="K374" s="230"/>
      <c r="L374" s="230"/>
      <c r="M374" s="230"/>
      <c r="N374" s="230"/>
      <c r="O374" s="230"/>
      <c r="P374" s="230"/>
      <c r="Q374" s="230"/>
    </row>
    <row r="375" ht="26.25" customHeight="1" spans="1:9">
      <c r="A375" s="235" t="s">
        <v>991</v>
      </c>
      <c r="B375" s="236"/>
      <c r="C375" s="236"/>
      <c r="D375" s="238"/>
      <c r="E375" s="239"/>
      <c r="F375" s="218" t="e">
        <f>SUM(F376:F377)</f>
        <v>#REF!</v>
      </c>
      <c r="G375" s="218" t="e">
        <f>SUM(G376:G377)</f>
        <v>#REF!</v>
      </c>
      <c r="H375" s="218" t="e">
        <f>SUM(H376:H377)</f>
        <v>#REF!</v>
      </c>
      <c r="I375" s="219" t="e">
        <f t="shared" ref="I375:I384" si="8">+G375*100/F375</f>
        <v>#REF!</v>
      </c>
    </row>
    <row r="376" s="136" customFormat="1" ht="26.25" customHeight="1" spans="1:17">
      <c r="A376" s="240">
        <v>1</v>
      </c>
      <c r="B376" s="244"/>
      <c r="C376" s="259" t="s">
        <v>992</v>
      </c>
      <c r="D376" s="259"/>
      <c r="E376" s="260"/>
      <c r="F376" s="217" t="e">
        <f>+#REF!</f>
        <v>#REF!</v>
      </c>
      <c r="G376" s="217" t="e">
        <f>+#REF!</f>
        <v>#REF!</v>
      </c>
      <c r="H376" s="217" t="e">
        <f>+F376-G376</f>
        <v>#REF!</v>
      </c>
      <c r="I376" s="268" t="e">
        <f t="shared" si="8"/>
        <v>#REF!</v>
      </c>
      <c r="J376" s="213"/>
      <c r="K376" s="213"/>
      <c r="L376" s="213"/>
      <c r="M376" s="213"/>
      <c r="N376" s="213"/>
      <c r="O376" s="213"/>
      <c r="P376" s="213"/>
      <c r="Q376" s="213"/>
    </row>
    <row r="377" ht="26.25" customHeight="1" spans="1:9">
      <c r="A377" s="240">
        <v>2</v>
      </c>
      <c r="B377" s="244"/>
      <c r="C377" s="259" t="s">
        <v>993</v>
      </c>
      <c r="D377" s="259"/>
      <c r="E377" s="260"/>
      <c r="F377" s="217" t="e">
        <f>+#REF!</f>
        <v>#REF!</v>
      </c>
      <c r="G377" s="217" t="e">
        <f>+#REF!</f>
        <v>#REF!</v>
      </c>
      <c r="H377" s="217" t="e">
        <f>+F377-G377</f>
        <v>#REF!</v>
      </c>
      <c r="I377" s="268" t="e">
        <f t="shared" si="8"/>
        <v>#REF!</v>
      </c>
    </row>
    <row r="378" ht="26.25" customHeight="1" spans="1:9">
      <c r="A378" s="235" t="s">
        <v>994</v>
      </c>
      <c r="B378" s="236"/>
      <c r="C378" s="236"/>
      <c r="D378" s="238"/>
      <c r="E378" s="239"/>
      <c r="F378" s="218" t="e">
        <f>+F379+F380+F383</f>
        <v>#REF!</v>
      </c>
      <c r="G378" s="218" t="e">
        <f>SUM(G379+G380+G383)</f>
        <v>#REF!</v>
      </c>
      <c r="H378" s="218" t="e">
        <f>SUM(H379+H380+H383)</f>
        <v>#REF!</v>
      </c>
      <c r="I378" s="219" t="e">
        <f t="shared" si="8"/>
        <v>#REF!</v>
      </c>
    </row>
    <row r="379" s="136" customFormat="1" ht="26.25" customHeight="1" spans="1:17">
      <c r="A379" s="240">
        <v>1</v>
      </c>
      <c r="B379" s="244"/>
      <c r="C379" s="259" t="s">
        <v>5</v>
      </c>
      <c r="D379" s="259"/>
      <c r="E379" s="260"/>
      <c r="F379" s="217" t="e">
        <f>+#REF!</f>
        <v>#REF!</v>
      </c>
      <c r="G379" s="217" t="e">
        <f>+#REF!</f>
        <v>#REF!</v>
      </c>
      <c r="H379" s="217" t="e">
        <f>+F379-G379</f>
        <v>#REF!</v>
      </c>
      <c r="I379" s="268" t="e">
        <f t="shared" si="8"/>
        <v>#REF!</v>
      </c>
      <c r="J379" s="213"/>
      <c r="K379" s="213"/>
      <c r="L379" s="213"/>
      <c r="M379" s="213"/>
      <c r="N379" s="213"/>
      <c r="O379" s="213"/>
      <c r="P379" s="213"/>
      <c r="Q379" s="213"/>
    </row>
    <row r="380" s="136" customFormat="1" ht="26.25" customHeight="1" spans="1:17">
      <c r="A380" s="240">
        <v>2</v>
      </c>
      <c r="B380" s="244"/>
      <c r="C380" s="259" t="s">
        <v>6</v>
      </c>
      <c r="D380" s="261"/>
      <c r="E380" s="262"/>
      <c r="F380" s="218" t="e">
        <f>SUM(F381:F382)</f>
        <v>#REF!</v>
      </c>
      <c r="G380" s="218" t="e">
        <f>SUM(G381:G382)</f>
        <v>#REF!</v>
      </c>
      <c r="H380" s="218" t="e">
        <f>SUM(H381:H382)</f>
        <v>#REF!</v>
      </c>
      <c r="I380" s="219" t="e">
        <f t="shared" si="8"/>
        <v>#REF!</v>
      </c>
      <c r="J380" s="213"/>
      <c r="K380" s="213"/>
      <c r="L380" s="213"/>
      <c r="M380" s="213"/>
      <c r="N380" s="213"/>
      <c r="O380" s="213"/>
      <c r="P380" s="213"/>
      <c r="Q380" s="213"/>
    </row>
    <row r="381" s="136" customFormat="1" ht="26.25" customHeight="1" spans="1:17">
      <c r="A381" s="240"/>
      <c r="B381" s="244"/>
      <c r="C381" s="263">
        <v>2.1</v>
      </c>
      <c r="D381" s="259" t="s">
        <v>995</v>
      </c>
      <c r="E381" s="260"/>
      <c r="F381" s="217" t="e">
        <f>+#REF!</f>
        <v>#REF!</v>
      </c>
      <c r="G381" s="217" t="e">
        <f>+#REF!</f>
        <v>#REF!</v>
      </c>
      <c r="H381" s="217" t="e">
        <f>+#REF!</f>
        <v>#REF!</v>
      </c>
      <c r="I381" s="268" t="e">
        <f t="shared" si="8"/>
        <v>#REF!</v>
      </c>
      <c r="J381" s="213"/>
      <c r="K381" s="213"/>
      <c r="L381" s="213"/>
      <c r="M381" s="213"/>
      <c r="N381" s="213"/>
      <c r="O381" s="213"/>
      <c r="P381" s="213"/>
      <c r="Q381" s="213"/>
    </row>
    <row r="382" s="136" customFormat="1" ht="26.25" customHeight="1" spans="1:17">
      <c r="A382" s="240"/>
      <c r="B382" s="244"/>
      <c r="C382" s="263">
        <v>2.2</v>
      </c>
      <c r="D382" s="259" t="s">
        <v>104</v>
      </c>
      <c r="E382" s="260"/>
      <c r="F382" s="217" t="e">
        <f>+#REF!</f>
        <v>#REF!</v>
      </c>
      <c r="G382" s="217" t="e">
        <f>+#REF!</f>
        <v>#REF!</v>
      </c>
      <c r="H382" s="217" t="e">
        <f>+F382-G382</f>
        <v>#REF!</v>
      </c>
      <c r="I382" s="268" t="e">
        <f t="shared" si="8"/>
        <v>#REF!</v>
      </c>
      <c r="J382" s="213"/>
      <c r="K382" s="213"/>
      <c r="L382" s="213"/>
      <c r="M382" s="213"/>
      <c r="N382" s="213"/>
      <c r="O382" s="213"/>
      <c r="P382" s="213"/>
      <c r="Q382" s="213"/>
    </row>
    <row r="383" s="136" customFormat="1" ht="26.25" customHeight="1" spans="1:17">
      <c r="A383" s="240">
        <v>3</v>
      </c>
      <c r="B383" s="244"/>
      <c r="C383" s="259" t="s">
        <v>8</v>
      </c>
      <c r="D383" s="259"/>
      <c r="E383" s="260"/>
      <c r="F383" s="217" t="e">
        <f>+#REF!</f>
        <v>#REF!</v>
      </c>
      <c r="G383" s="217" t="e">
        <f>+#REF!</f>
        <v>#REF!</v>
      </c>
      <c r="H383" s="217" t="e">
        <f>+F383-G383</f>
        <v>#REF!</v>
      </c>
      <c r="I383" s="268" t="e">
        <f t="shared" si="8"/>
        <v>#REF!</v>
      </c>
      <c r="J383" s="213"/>
      <c r="K383" s="213"/>
      <c r="L383" s="213"/>
      <c r="M383" s="213"/>
      <c r="N383" s="213"/>
      <c r="O383" s="213"/>
      <c r="P383" s="213"/>
      <c r="Q383" s="213"/>
    </row>
    <row r="384" ht="30.75" customHeight="1" spans="1:9">
      <c r="A384" s="264" t="s">
        <v>996</v>
      </c>
      <c r="B384" s="265"/>
      <c r="C384" s="265"/>
      <c r="D384" s="265"/>
      <c r="E384" s="266"/>
      <c r="F384" s="267" t="e">
        <f>+F375+F378</f>
        <v>#REF!</v>
      </c>
      <c r="G384" s="267" t="e">
        <f>+G375+G378</f>
        <v>#REF!</v>
      </c>
      <c r="H384" s="267" t="e">
        <f>+H375+H378</f>
        <v>#REF!</v>
      </c>
      <c r="I384" s="269" t="e">
        <f t="shared" si="8"/>
        <v>#REF!</v>
      </c>
    </row>
    <row r="385" ht="23.25" spans="1:1">
      <c r="A385" s="146" t="s">
        <v>997</v>
      </c>
    </row>
    <row r="386" spans="1:1">
      <c r="A386" s="146" t="s">
        <v>998</v>
      </c>
    </row>
    <row r="387" spans="1:9">
      <c r="A387" s="146" t="s">
        <v>999</v>
      </c>
      <c r="I387" s="257"/>
    </row>
    <row r="388" ht="32.25" customHeight="1" spans="1:9">
      <c r="A388" s="149" t="s">
        <v>1000</v>
      </c>
      <c r="B388" s="149"/>
      <c r="C388" s="149"/>
      <c r="D388" s="149"/>
      <c r="E388" s="149"/>
      <c r="F388" s="149"/>
      <c r="G388" s="149"/>
      <c r="H388" s="149"/>
      <c r="I388" s="149"/>
    </row>
    <row r="389" ht="69.75" spans="1:9">
      <c r="A389" s="270" t="s">
        <v>980</v>
      </c>
      <c r="B389" s="270"/>
      <c r="C389" s="270"/>
      <c r="D389" s="270" t="s">
        <v>109</v>
      </c>
      <c r="E389" s="270" t="s">
        <v>26</v>
      </c>
      <c r="F389" s="270" t="s">
        <v>111</v>
      </c>
      <c r="G389" s="270" t="s">
        <v>1001</v>
      </c>
      <c r="H389" s="270" t="s">
        <v>1002</v>
      </c>
      <c r="I389" s="270" t="s">
        <v>165</v>
      </c>
    </row>
    <row r="390" s="136" customFormat="1" spans="1:17">
      <c r="A390" s="271" t="s">
        <v>1003</v>
      </c>
      <c r="B390" s="272"/>
      <c r="C390" s="273" t="s">
        <v>1004</v>
      </c>
      <c r="D390" s="274"/>
      <c r="E390" s="275"/>
      <c r="F390" s="275"/>
      <c r="G390" s="275"/>
      <c r="H390" s="275"/>
      <c r="I390" s="275"/>
      <c r="J390" s="213"/>
      <c r="K390" s="213"/>
      <c r="L390" s="213"/>
      <c r="M390" s="213"/>
      <c r="N390" s="213"/>
      <c r="O390" s="213"/>
      <c r="P390" s="213"/>
      <c r="Q390" s="213"/>
    </row>
    <row r="391" s="136" customFormat="1" spans="1:17">
      <c r="A391" s="276"/>
      <c r="B391" s="277"/>
      <c r="C391" s="278">
        <f>+'เบิกแทน กรมคุม'!K103</f>
        <v>3942765</v>
      </c>
      <c r="D391" s="279">
        <v>0</v>
      </c>
      <c r="E391" s="280">
        <f>+'เบิกแทน กรมคุม'!L103</f>
        <v>1918904.16</v>
      </c>
      <c r="F391" s="280">
        <f>+C391-D391-E391</f>
        <v>2023860.84</v>
      </c>
      <c r="G391" s="280">
        <f>+E391*100/C391</f>
        <v>48.6689965037226</v>
      </c>
      <c r="H391" s="281">
        <f>+D391+E391*100/C391</f>
        <v>48.6689965037226</v>
      </c>
      <c r="I391" s="282"/>
      <c r="J391" s="213"/>
      <c r="K391" s="213"/>
      <c r="L391" s="213"/>
      <c r="M391" s="213"/>
      <c r="N391" s="213"/>
      <c r="O391" s="213"/>
      <c r="P391" s="213"/>
      <c r="Q391" s="213"/>
    </row>
  </sheetData>
  <mergeCells count="40">
    <mergeCell ref="A1:I1"/>
    <mergeCell ref="A2:I2"/>
    <mergeCell ref="A3:I3"/>
    <mergeCell ref="A4:I4"/>
    <mergeCell ref="A13:I13"/>
    <mergeCell ref="A24:I24"/>
    <mergeCell ref="A25:D25"/>
    <mergeCell ref="A31:I31"/>
    <mergeCell ref="A32:I32"/>
    <mergeCell ref="E33:H33"/>
    <mergeCell ref="A35:D35"/>
    <mergeCell ref="C36:D36"/>
    <mergeCell ref="A37:D37"/>
    <mergeCell ref="C38:D38"/>
    <mergeCell ref="A39:D39"/>
    <mergeCell ref="C40:D40"/>
    <mergeCell ref="A41:I41"/>
    <mergeCell ref="A57:I57"/>
    <mergeCell ref="A58:I58"/>
    <mergeCell ref="A59:I59"/>
    <mergeCell ref="A60:I60"/>
    <mergeCell ref="A61:E61"/>
    <mergeCell ref="A66:I66"/>
    <mergeCell ref="A67:I67"/>
    <mergeCell ref="A68:I68"/>
    <mergeCell ref="A69:I69"/>
    <mergeCell ref="A70:E70"/>
    <mergeCell ref="C81:E81"/>
    <mergeCell ref="C82:E82"/>
    <mergeCell ref="A83:E83"/>
    <mergeCell ref="A373:I373"/>
    <mergeCell ref="A374:E374"/>
    <mergeCell ref="C376:E376"/>
    <mergeCell ref="C377:E377"/>
    <mergeCell ref="C379:E379"/>
    <mergeCell ref="D382:E382"/>
    <mergeCell ref="A384:E384"/>
    <mergeCell ref="A388:I388"/>
    <mergeCell ref="A389:C389"/>
    <mergeCell ref="A33:D34"/>
  </mergeCells>
  <pageMargins left="0.45" right="0.354330708661417" top="0.38" bottom="0.39" header="0.15748031496063" footer="0.16"/>
  <pageSetup paperSize="9" orientation="landscape"/>
  <headerFooter>
    <oddFooter>&amp;Cหน้าที่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M24"/>
  <sheetViews>
    <sheetView zoomScale="75" zoomScaleNormal="75" topLeftCell="C5" workbookViewId="0">
      <pane ySplit="1545" topLeftCell="A13" activePane="bottomLeft"/>
      <selection/>
      <selection pane="bottomLeft" activeCell="E19" sqref="E19"/>
    </sheetView>
  </sheetViews>
  <sheetFormatPr defaultColWidth="9.14285714285714" defaultRowHeight="21"/>
  <cols>
    <col min="1" max="1" width="2.57142857142857" style="57" customWidth="1"/>
    <col min="2" max="2" width="9.28571428571429" style="57" customWidth="1"/>
    <col min="3" max="3" width="32.1428571428571" style="58" customWidth="1"/>
    <col min="4" max="5" width="24.8571428571429" style="58" customWidth="1"/>
    <col min="6" max="6" width="23.4285714285714" style="58" customWidth="1"/>
    <col min="7" max="7" width="17.5714285714286" style="58" customWidth="1"/>
    <col min="8" max="9" width="25.2857142857143" style="58" customWidth="1"/>
    <col min="10" max="10" width="17.5714285714286" style="58" customWidth="1"/>
    <col min="11" max="12" width="29.1428571428571" style="58" customWidth="1"/>
    <col min="13" max="16384" width="9.14285714285714" style="58"/>
  </cols>
  <sheetData>
    <row r="1" ht="28.5" spans="1:13">
      <c r="A1" s="1059" t="str">
        <f>+รายงานผู้บริหาร!A1</f>
        <v>กรมพินิจและคุ้มครองเด็กและเยาวชน กระทรวงยุติธรรม</v>
      </c>
      <c r="B1" s="1059"/>
      <c r="C1" s="1059"/>
      <c r="D1" s="1059"/>
      <c r="E1" s="1059"/>
      <c r="F1" s="1059"/>
      <c r="G1" s="1059"/>
      <c r="H1" s="1059"/>
      <c r="I1" s="1059"/>
      <c r="J1" s="1059"/>
      <c r="K1" s="1059"/>
      <c r="L1" s="1059"/>
      <c r="M1" s="52"/>
    </row>
    <row r="2" ht="28.5" spans="1:13">
      <c r="A2" s="1059" t="s">
        <v>103</v>
      </c>
      <c r="B2" s="1059"/>
      <c r="C2" s="1059"/>
      <c r="D2" s="1059"/>
      <c r="E2" s="1059"/>
      <c r="F2" s="1059"/>
      <c r="G2" s="1059"/>
      <c r="H2" s="1059"/>
      <c r="I2" s="1059"/>
      <c r="J2" s="1059"/>
      <c r="K2" s="1059"/>
      <c r="L2" s="1059"/>
      <c r="M2" s="104"/>
    </row>
    <row r="3" ht="28.5" spans="1:13">
      <c r="A3" s="1059" t="s">
        <v>104</v>
      </c>
      <c r="B3" s="1059"/>
      <c r="C3" s="1059"/>
      <c r="D3" s="1059"/>
      <c r="E3" s="1059"/>
      <c r="F3" s="1059"/>
      <c r="G3" s="1059"/>
      <c r="H3" s="1059"/>
      <c r="I3" s="1059"/>
      <c r="J3" s="1059"/>
      <c r="K3" s="1059"/>
      <c r="L3" s="1059"/>
      <c r="M3" s="104"/>
    </row>
    <row r="4" ht="28.5" spans="1:13">
      <c r="A4" s="1060" t="str">
        <f>+รายงานผู้บริหาร!A3</f>
        <v>ตั้งแต่วันที่ 1  ตุลาคม 2564 ถึงวันที่ 30 เมษายน 2565</v>
      </c>
      <c r="B4" s="1061"/>
      <c r="C4" s="1061"/>
      <c r="D4" s="1061"/>
      <c r="E4" s="1061"/>
      <c r="F4" s="1061"/>
      <c r="G4" s="1061"/>
      <c r="H4" s="1061"/>
      <c r="I4" s="1061"/>
      <c r="J4" s="1061"/>
      <c r="K4" s="1061"/>
      <c r="L4" s="1061"/>
      <c r="M4" s="52"/>
    </row>
    <row r="5" s="52" customFormat="1" ht="23.25" spans="1:12">
      <c r="A5" s="1062" t="s">
        <v>105</v>
      </c>
      <c r="B5" s="1062"/>
      <c r="C5" s="1062"/>
      <c r="D5" s="105" t="s">
        <v>106</v>
      </c>
      <c r="E5" s="105"/>
      <c r="F5" s="1062" t="s">
        <v>107</v>
      </c>
      <c r="G5" s="1063" t="s">
        <v>108</v>
      </c>
      <c r="H5" s="1064" t="s">
        <v>109</v>
      </c>
      <c r="I5" s="105" t="s">
        <v>110</v>
      </c>
      <c r="J5" s="1121"/>
      <c r="K5" s="1122" t="s">
        <v>111</v>
      </c>
      <c r="L5" s="1062" t="s">
        <v>112</v>
      </c>
    </row>
    <row r="6" s="52" customFormat="1" ht="23.25" spans="1:12">
      <c r="A6" s="1065"/>
      <c r="B6" s="1065"/>
      <c r="C6" s="1065"/>
      <c r="D6" s="1062" t="s">
        <v>113</v>
      </c>
      <c r="E6" s="1062" t="s">
        <v>114</v>
      </c>
      <c r="F6" s="1065"/>
      <c r="G6" s="1066" t="s">
        <v>115</v>
      </c>
      <c r="H6" s="1067" t="s">
        <v>116</v>
      </c>
      <c r="I6" s="1062" t="s">
        <v>117</v>
      </c>
      <c r="J6" s="1063" t="s">
        <v>118</v>
      </c>
      <c r="K6" s="1123" t="s">
        <v>119</v>
      </c>
      <c r="L6" s="1065" t="s">
        <v>115</v>
      </c>
    </row>
    <row r="7" s="52" customFormat="1" ht="23.25" spans="1:12">
      <c r="A7" s="1068"/>
      <c r="B7" s="1068"/>
      <c r="C7" s="1068"/>
      <c r="D7" s="1069" t="s">
        <v>120</v>
      </c>
      <c r="E7" s="1069" t="s">
        <v>121</v>
      </c>
      <c r="F7" s="1069" t="s">
        <v>122</v>
      </c>
      <c r="G7" s="1070" t="s">
        <v>123</v>
      </c>
      <c r="H7" s="1071" t="s">
        <v>124</v>
      </c>
      <c r="I7" s="1124" t="s">
        <v>125</v>
      </c>
      <c r="J7" s="1070" t="s">
        <v>126</v>
      </c>
      <c r="K7" s="1125" t="s">
        <v>127</v>
      </c>
      <c r="L7" s="1124" t="s">
        <v>128</v>
      </c>
    </row>
    <row r="8" s="1057" customFormat="1" ht="30" customHeight="1" spans="1:12">
      <c r="A8" s="1072" t="s">
        <v>129</v>
      </c>
      <c r="B8" s="1073"/>
      <c r="C8" s="1073"/>
      <c r="D8" s="1073"/>
      <c r="E8" s="1073"/>
      <c r="F8" s="1073"/>
      <c r="G8" s="1074"/>
      <c r="H8" s="1075"/>
      <c r="I8" s="1073"/>
      <c r="J8" s="1074"/>
      <c r="K8" s="1073"/>
      <c r="L8" s="1126"/>
    </row>
    <row r="9" s="53" customFormat="1" ht="23.25" spans="1:12">
      <c r="A9" s="77"/>
      <c r="B9" s="1076" t="s">
        <v>130</v>
      </c>
      <c r="C9" s="79"/>
      <c r="D9" s="93">
        <f>+เงินกันปี64เสนอรองญ!H7+เงินกันปี64เสนอรองญ!H8+เงินกันปี64เสนอรองญ!H9+เงินกันปี64เสนอรองญ!H10+เงินกันปี64เสนอรองญ!H11</f>
        <v>93756328</v>
      </c>
      <c r="E9" s="94"/>
      <c r="F9" s="93">
        <f>+เงินกันปี64เสนอรองญ!I7+เงินกันปี64เสนอรองญ!I8+เงินกันปี64เสนอรองญ!I9+เงินกันปี64เสนอรองญ!I10+เงินกันปี64เสนอรองญ!I11</f>
        <v>33308865.67</v>
      </c>
      <c r="G9" s="956">
        <f>+F9*100/D9</f>
        <v>35.5270586855748</v>
      </c>
      <c r="H9" s="957"/>
      <c r="I9" s="117"/>
      <c r="J9" s="1127"/>
      <c r="K9" s="119">
        <f>+D9-F9</f>
        <v>60447462.33</v>
      </c>
      <c r="L9" s="80">
        <f>+K9*100/D9</f>
        <v>64.4729413144252</v>
      </c>
    </row>
    <row r="10" s="53" customFormat="1" ht="23.25" spans="1:12">
      <c r="A10" s="77"/>
      <c r="B10" s="1076" t="s">
        <v>131</v>
      </c>
      <c r="C10" s="79"/>
      <c r="D10" s="93">
        <f>+เงินกันปี64เสนอรองญ!H24-D9</f>
        <v>23641044.82</v>
      </c>
      <c r="E10" s="94"/>
      <c r="F10" s="93">
        <f>+เงินกันปี64เสนอรองญ!I24-F9</f>
        <v>16860533.62</v>
      </c>
      <c r="G10" s="956">
        <f>+F10*100/D10</f>
        <v>71.3189021397913</v>
      </c>
      <c r="H10" s="957"/>
      <c r="I10" s="117"/>
      <c r="J10" s="1127"/>
      <c r="K10" s="119">
        <f>+D10-F10</f>
        <v>6780511.2</v>
      </c>
      <c r="L10" s="80">
        <f>+K10*100/D10</f>
        <v>28.6810978602087</v>
      </c>
    </row>
    <row r="11" s="1058" customFormat="1" ht="28.5" spans="1:12">
      <c r="A11" s="1077" t="s">
        <v>132</v>
      </c>
      <c r="B11" s="1077"/>
      <c r="C11" s="1077"/>
      <c r="D11" s="1078">
        <f>SUM(D9:D10)</f>
        <v>117397372.82</v>
      </c>
      <c r="E11" s="1079"/>
      <c r="F11" s="1078">
        <f t="shared" ref="F11:K11" si="0">SUM(F9:F10)</f>
        <v>50169399.29</v>
      </c>
      <c r="G11" s="1080">
        <f>+F11*100/D11</f>
        <v>42.7346865478178</v>
      </c>
      <c r="H11" s="1081"/>
      <c r="I11" s="1079"/>
      <c r="J11" s="1128"/>
      <c r="K11" s="1129">
        <f t="shared" si="0"/>
        <v>67227973.53</v>
      </c>
      <c r="L11" s="1100">
        <f>+K11*100/D11</f>
        <v>57.2653134521822</v>
      </c>
    </row>
    <row r="12" s="1057" customFormat="1" ht="31.5" customHeight="1" spans="1:12">
      <c r="A12" s="1082" t="s">
        <v>133</v>
      </c>
      <c r="B12" s="1083"/>
      <c r="C12" s="1084"/>
      <c r="D12" s="1085"/>
      <c r="E12" s="1085"/>
      <c r="F12" s="1085"/>
      <c r="G12" s="1086"/>
      <c r="H12" s="1087"/>
      <c r="I12" s="1130"/>
      <c r="J12" s="1086"/>
      <c r="K12" s="1085"/>
      <c r="L12" s="1131"/>
    </row>
    <row r="13" s="1057" customFormat="1" ht="32.25" customHeight="1" spans="1:12">
      <c r="A13" s="1088"/>
      <c r="B13" s="1089" t="s">
        <v>130</v>
      </c>
      <c r="C13" s="1090"/>
      <c r="D13" s="1009">
        <f>SUM(D14:D15)</f>
        <v>68712600</v>
      </c>
      <c r="E13" s="1009">
        <f t="shared" ref="E13:H13" si="1">SUM(E14:E15)</f>
        <v>39674810.31</v>
      </c>
      <c r="F13" s="1009">
        <f t="shared" si="1"/>
        <v>0</v>
      </c>
      <c r="G13" s="1091">
        <f t="shared" ref="G13:G19" si="2">+F13*100/D13</f>
        <v>0</v>
      </c>
      <c r="H13" s="1092">
        <f t="shared" si="1"/>
        <v>39584100</v>
      </c>
      <c r="I13" s="1009">
        <f t="shared" ref="I13:I14" si="3">+F13+H13</f>
        <v>39584100</v>
      </c>
      <c r="J13" s="1091">
        <f t="shared" ref="J13:J19" si="4">+I13*100/D13</f>
        <v>57.6082115943801</v>
      </c>
      <c r="K13" s="1099">
        <f t="shared" ref="K13" si="5">+D13-F13</f>
        <v>68712600</v>
      </c>
      <c r="L13" s="1009">
        <f t="shared" ref="L13:L19" si="6">+K13*100/D13</f>
        <v>100</v>
      </c>
    </row>
    <row r="14" s="53" customFormat="1" ht="32.25" customHeight="1" spans="1:12">
      <c r="A14" s="77"/>
      <c r="B14" s="89" t="s">
        <v>134</v>
      </c>
      <c r="C14" s="79" t="s">
        <v>135</v>
      </c>
      <c r="D14" s="80">
        <f>+งบลงทุนเสนอรองญ!E37+งบลงทุนเสนอรองญ!E38+งบลงทุนเสนอรองญ!E39+งบลงทุนเสนอรองญ!E40+งบลงทุนเสนอรองญ!E41+งบลงทุนเสนอรองญ!E43</f>
        <v>66565100</v>
      </c>
      <c r="E14" s="80">
        <f>+งบลงทุนเสนอรองญ!G37+งบลงทุนเสนอรองญ!G38+งบลงทุนเสนอรองญ!G39+งบลงทุนเสนอรองญ!G40+งบลงทุนเสนอรองญ!G41+งบลงทุนเสนอรองญ!G43</f>
        <v>39584100</v>
      </c>
      <c r="F14" s="80">
        <f>+งบลงทุนเสนอรองญ!I37+งบลงทุนเสนอรองญ!I38+งบลงทุนเสนอรองญ!I39+งบลงทุนเสนอรองญ!I40+งบลงทุนเสนอรองญ!I41+งบลงทุนเสนอรองญ!I43</f>
        <v>0</v>
      </c>
      <c r="G14" s="956">
        <f t="shared" si="2"/>
        <v>0</v>
      </c>
      <c r="H14" s="957">
        <f>+งบลงทุนเสนอรองญ!H37+งบลงทุนเสนอรองญ!H38+งบลงทุนเสนอรองญ!H39+งบลงทุนเสนอรองญ!H40+งบลงทุนเสนอรองญ!H41+งบลงทุนเสนอรองญ!H43</f>
        <v>39584100</v>
      </c>
      <c r="I14" s="80">
        <f t="shared" si="3"/>
        <v>39584100</v>
      </c>
      <c r="J14" s="956">
        <f t="shared" si="4"/>
        <v>59.4667475899533</v>
      </c>
      <c r="K14" s="82">
        <f t="shared" ref="K14:K18" si="7">+D14-F14</f>
        <v>66565100</v>
      </c>
      <c r="L14" s="80">
        <f t="shared" ref="L14:L18" si="8">+K14*100/D14</f>
        <v>100</v>
      </c>
    </row>
    <row r="15" s="53" customFormat="1" ht="69.75" spans="1:12">
      <c r="A15" s="77"/>
      <c r="B15" s="1093" t="s">
        <v>136</v>
      </c>
      <c r="C15" s="1094" t="s">
        <v>137</v>
      </c>
      <c r="D15" s="1095">
        <f>+งบลงทุนเสนอรองญ!E17+งบลงทุนเสนอรองญ!E22+งบลงทุนเสนอรองญ!E30</f>
        <v>2147500</v>
      </c>
      <c r="E15" s="1095">
        <f>+งบลงทุนเสนอรองญ!G17+งบลงทุนเสนอรองญ!G22+งบลงทุนเสนอรองญ!G30</f>
        <v>90710.31</v>
      </c>
      <c r="F15" s="1096">
        <v>0</v>
      </c>
      <c r="G15" s="1097">
        <f t="shared" si="2"/>
        <v>0</v>
      </c>
      <c r="H15" s="1098">
        <v>0</v>
      </c>
      <c r="I15" s="1095">
        <f t="shared" ref="I15" si="9">+F15+H15</f>
        <v>0</v>
      </c>
      <c r="J15" s="1097">
        <f t="shared" ref="J15:J16" si="10">+I15*100/D15</f>
        <v>0</v>
      </c>
      <c r="K15" s="1096">
        <f>+E15</f>
        <v>90710.31</v>
      </c>
      <c r="L15" s="1095">
        <f t="shared" si="8"/>
        <v>4.22399580908033</v>
      </c>
    </row>
    <row r="16" s="1057" customFormat="1" ht="26.25" spans="1:12">
      <c r="A16" s="1088"/>
      <c r="B16" s="1089" t="s">
        <v>131</v>
      </c>
      <c r="C16" s="1090"/>
      <c r="D16" s="1009">
        <f>SUM(D17:D18)</f>
        <v>30453000</v>
      </c>
      <c r="E16" s="1009">
        <f t="shared" ref="E16:F16" si="11">SUM(E17:E18)</f>
        <v>25264183.61</v>
      </c>
      <c r="F16" s="1009">
        <f t="shared" si="11"/>
        <v>6490719.5</v>
      </c>
      <c r="G16" s="1091">
        <f t="shared" si="2"/>
        <v>21.3138918989919</v>
      </c>
      <c r="H16" s="1099">
        <f t="shared" ref="H16" si="12">SUM(H17:H18)</f>
        <v>17042150</v>
      </c>
      <c r="I16" s="1009">
        <f t="shared" ref="I16" si="13">SUM(I17:I18)</f>
        <v>23532869.5</v>
      </c>
      <c r="J16" s="1091">
        <f t="shared" si="10"/>
        <v>77.2760302761633</v>
      </c>
      <c r="K16" s="1099">
        <f t="shared" ref="K16" si="14">SUM(K17:K18)</f>
        <v>23962280.5</v>
      </c>
      <c r="L16" s="1009">
        <f t="shared" si="8"/>
        <v>78.6861081010081</v>
      </c>
    </row>
    <row r="17" s="53" customFormat="1" ht="23.25" spans="1:12">
      <c r="A17" s="77"/>
      <c r="B17" s="89" t="s">
        <v>138</v>
      </c>
      <c r="C17" s="79" t="s">
        <v>135</v>
      </c>
      <c r="D17" s="80">
        <f>+งบลงทุนเสนอรองญ!E42</f>
        <v>5439200</v>
      </c>
      <c r="E17" s="80">
        <f>+งบลงทุนเสนอรองญ!G42</f>
        <v>0</v>
      </c>
      <c r="F17" s="80">
        <f>+งบลงทุนเสนอรองญ!H42</f>
        <v>0</v>
      </c>
      <c r="G17" s="956">
        <f>+งบลงทุนเสนอรองญ!I42</f>
        <v>0</v>
      </c>
      <c r="H17" s="82">
        <v>0</v>
      </c>
      <c r="I17" s="80">
        <f t="shared" ref="I17:I18" si="15">+F17+H17</f>
        <v>0</v>
      </c>
      <c r="J17" s="956">
        <f t="shared" ref="J17:J18" si="16">+I17*100/D17</f>
        <v>0</v>
      </c>
      <c r="K17" s="82">
        <f t="shared" si="7"/>
        <v>5439200</v>
      </c>
      <c r="L17" s="80">
        <f t="shared" si="8"/>
        <v>100</v>
      </c>
    </row>
    <row r="18" s="53" customFormat="1" ht="23.25" spans="1:12">
      <c r="A18" s="77"/>
      <c r="B18" s="89" t="s">
        <v>139</v>
      </c>
      <c r="C18" s="79" t="s">
        <v>140</v>
      </c>
      <c r="D18" s="80">
        <f>+งบลงทุนเสนอรองญ!E8-รายงานเสนอรองญ!D15</f>
        <v>25013800</v>
      </c>
      <c r="E18" s="80">
        <f>+งบลงทุนเสนอรองญ!G8-รายงานเสนอรองญ!E15</f>
        <v>25264183.61</v>
      </c>
      <c r="F18" s="80">
        <f>+งบลงทุนเสนอรองญ!I8</f>
        <v>6490719.5</v>
      </c>
      <c r="G18" s="956">
        <f t="shared" si="2"/>
        <v>25.9485543979723</v>
      </c>
      <c r="H18" s="82">
        <f>+งบลงทุนเสนอรองญ!H8</f>
        <v>17042150</v>
      </c>
      <c r="I18" s="80">
        <f t="shared" si="15"/>
        <v>23532869.5</v>
      </c>
      <c r="J18" s="956">
        <f t="shared" si="16"/>
        <v>94.079546090558</v>
      </c>
      <c r="K18" s="82">
        <f t="shared" si="7"/>
        <v>18523080.5</v>
      </c>
      <c r="L18" s="80">
        <f t="shared" si="8"/>
        <v>74.0514456020277</v>
      </c>
    </row>
    <row r="19" s="1058" customFormat="1" ht="28.5" spans="1:12">
      <c r="A19" s="1077" t="s">
        <v>141</v>
      </c>
      <c r="B19" s="1077"/>
      <c r="C19" s="1077"/>
      <c r="D19" s="1100">
        <f>+D13+D16</f>
        <v>99165600</v>
      </c>
      <c r="E19" s="1100">
        <f>+E13+E16</f>
        <v>64938993.92</v>
      </c>
      <c r="F19" s="1100">
        <f>+F13+F16</f>
        <v>6490719.5</v>
      </c>
      <c r="G19" s="1080">
        <f t="shared" si="2"/>
        <v>6.54533376493461</v>
      </c>
      <c r="H19" s="1101">
        <f t="shared" ref="H19:I19" si="17">+H13+H16</f>
        <v>56626250</v>
      </c>
      <c r="I19" s="1100">
        <f t="shared" si="17"/>
        <v>63116969.5</v>
      </c>
      <c r="J19" s="1080">
        <f t="shared" si="4"/>
        <v>63.6480488193486</v>
      </c>
      <c r="K19" s="1101">
        <f>+K13+K16</f>
        <v>92674880.5</v>
      </c>
      <c r="L19" s="1100">
        <f t="shared" si="6"/>
        <v>93.4546662350654</v>
      </c>
    </row>
    <row r="20" s="1057" customFormat="1" ht="28.5" spans="1:12">
      <c r="A20" s="1102" t="s">
        <v>142</v>
      </c>
      <c r="B20" s="1103"/>
      <c r="C20" s="1103"/>
      <c r="D20" s="1103"/>
      <c r="E20" s="1103"/>
      <c r="F20" s="1103"/>
      <c r="G20" s="1103"/>
      <c r="H20" s="1103"/>
      <c r="I20" s="1103"/>
      <c r="J20" s="1103"/>
      <c r="K20" s="1103"/>
      <c r="L20" s="1132"/>
    </row>
    <row r="21" s="52" customFormat="1" ht="33" customHeight="1" spans="1:12">
      <c r="A21" s="964" t="s">
        <v>105</v>
      </c>
      <c r="B21" s="965"/>
      <c r="C21" s="291" t="s">
        <v>143</v>
      </c>
      <c r="D21" s="1104"/>
      <c r="E21" s="1105" t="s">
        <v>144</v>
      </c>
      <c r="F21" s="1106"/>
      <c r="G21" s="977" t="s">
        <v>145</v>
      </c>
      <c r="H21" s="1107"/>
      <c r="I21" s="1014" t="s">
        <v>146</v>
      </c>
      <c r="J21" s="291"/>
      <c r="K21" s="1133" t="s">
        <v>147</v>
      </c>
      <c r="L21" s="1134"/>
    </row>
    <row r="22" s="52" customFormat="1" ht="33" customHeight="1" spans="1:12">
      <c r="A22" s="972"/>
      <c r="B22" s="973"/>
      <c r="C22" s="291" t="s">
        <v>148</v>
      </c>
      <c r="D22" s="974" t="s">
        <v>149</v>
      </c>
      <c r="E22" s="975" t="s">
        <v>148</v>
      </c>
      <c r="F22" s="1108" t="s">
        <v>149</v>
      </c>
      <c r="G22" s="977" t="s">
        <v>148</v>
      </c>
      <c r="H22" s="978" t="s">
        <v>149</v>
      </c>
      <c r="I22" s="1014" t="s">
        <v>148</v>
      </c>
      <c r="J22" s="1015" t="s">
        <v>149</v>
      </c>
      <c r="K22" s="291" t="s">
        <v>148</v>
      </c>
      <c r="L22" s="1015" t="s">
        <v>149</v>
      </c>
    </row>
    <row r="23" s="53" customFormat="1" ht="30.75" spans="1:12">
      <c r="A23" s="979" t="s">
        <v>150</v>
      </c>
      <c r="B23" s="980"/>
      <c r="C23" s="1109">
        <v>13</v>
      </c>
      <c r="D23" s="1110">
        <v>28.96</v>
      </c>
      <c r="E23" s="1111">
        <f>+C23+16</f>
        <v>29</v>
      </c>
      <c r="F23" s="1112">
        <f>+D23+29.19</f>
        <v>58.15</v>
      </c>
      <c r="G23" s="1113">
        <f>+E23+17</f>
        <v>46</v>
      </c>
      <c r="H23" s="1114">
        <f>+F23+23.5</f>
        <v>81.65</v>
      </c>
      <c r="I23" s="1135">
        <f>+G23+29</f>
        <v>75</v>
      </c>
      <c r="J23" s="1109">
        <f>+H23+18.35</f>
        <v>100</v>
      </c>
      <c r="K23" s="1136" t="s">
        <v>151</v>
      </c>
      <c r="L23" s="1136" t="s">
        <v>151</v>
      </c>
    </row>
    <row r="24" s="53" customFormat="1" ht="36" spans="1:12">
      <c r="A24" s="987"/>
      <c r="B24" s="988"/>
      <c r="C24" s="1115"/>
      <c r="D24" s="1116"/>
      <c r="E24" s="1117"/>
      <c r="F24" s="1118"/>
      <c r="G24" s="1119"/>
      <c r="H24" s="1120"/>
      <c r="I24" s="1137"/>
      <c r="J24" s="1115"/>
      <c r="K24" s="1138">
        <f>+G23-G19</f>
        <v>39.4546662350654</v>
      </c>
      <c r="L24" s="1138">
        <f>+H23-J19</f>
        <v>18.0019511806514</v>
      </c>
    </row>
  </sheetData>
  <mergeCells count="26">
    <mergeCell ref="A1:L1"/>
    <mergeCell ref="A2:L2"/>
    <mergeCell ref="A3:L3"/>
    <mergeCell ref="A4:L4"/>
    <mergeCell ref="D5:E5"/>
    <mergeCell ref="I5:J5"/>
    <mergeCell ref="A11:C11"/>
    <mergeCell ref="A19:C19"/>
    <mergeCell ref="A20:L20"/>
    <mergeCell ref="C21:D21"/>
    <mergeCell ref="E21:F21"/>
    <mergeCell ref="G21:H21"/>
    <mergeCell ref="I21:J21"/>
    <mergeCell ref="K21:L21"/>
    <mergeCell ref="C23:C24"/>
    <mergeCell ref="D23:D24"/>
    <mergeCell ref="E23:E24"/>
    <mergeCell ref="F5:F6"/>
    <mergeCell ref="F23:F24"/>
    <mergeCell ref="G23:G24"/>
    <mergeCell ref="H23:H24"/>
    <mergeCell ref="I23:I24"/>
    <mergeCell ref="J23:J24"/>
    <mergeCell ref="A23:B24"/>
    <mergeCell ref="A21:B22"/>
    <mergeCell ref="A5:C7"/>
  </mergeCells>
  <printOptions horizontalCentered="1"/>
  <pageMargins left="0.196850393700787" right="0.118110236220472" top="0.393700787401575" bottom="0.354330708661417" header="0.31496062992126" footer="0.118110236220472"/>
  <pageSetup paperSize="5" scale="70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M38"/>
  <sheetViews>
    <sheetView topLeftCell="D1" workbookViewId="0">
      <selection activeCell="K14" sqref="K14"/>
    </sheetView>
  </sheetViews>
  <sheetFormatPr defaultColWidth="9.14285714285714" defaultRowHeight="21"/>
  <cols>
    <col min="1" max="1" width="2.57142857142857" style="57" customWidth="1"/>
    <col min="2" max="2" width="5" style="57" customWidth="1"/>
    <col min="3" max="3" width="25.1428571428571" style="58" customWidth="1"/>
    <col min="4" max="4" width="22.2857142857143" style="58" customWidth="1"/>
    <col min="5" max="6" width="20.1428571428571" style="58" customWidth="1"/>
    <col min="7" max="7" width="17.5714285714286" style="58" customWidth="1"/>
    <col min="8" max="8" width="18.4285714285714" style="58" customWidth="1"/>
    <col min="9" max="9" width="20.1428571428571" style="58" customWidth="1"/>
    <col min="10" max="10" width="17.5714285714286" style="58" customWidth="1"/>
    <col min="11" max="11" width="22.2857142857143" style="58" customWidth="1"/>
    <col min="12" max="12" width="17.5714285714286" style="58" customWidth="1"/>
    <col min="13" max="16384" width="9.14285714285714" style="58"/>
  </cols>
  <sheetData>
    <row r="1" ht="26.25" spans="1:13">
      <c r="A1" s="59" t="str">
        <f>+รายงานผู้บริหาร!A1</f>
        <v>กรมพินิจและคุ้มครองเด็กและเยาวชน กระทรวงยุติธรรม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2"/>
    </row>
    <row r="2" ht="26.25" spans="1:13">
      <c r="A2" s="59" t="str">
        <f>+รายงานผู้บริหาร!A2</f>
        <v>สรุปรายละเอียดการเบิกจ่ายเงินงบประมาณประจำปีงบประมาณ พ.ศ. 2565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104"/>
    </row>
    <row r="3" ht="26.25" spans="1:13">
      <c r="A3" s="60" t="str">
        <f>+รายงานผู้บริหาร!A3</f>
        <v>ตั้งแต่วันที่ 1  ตุลาคม 2564 ถึงวันที่ 30 เมษายน 2565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52"/>
    </row>
    <row r="4" s="51" customFormat="1" spans="1:12">
      <c r="A4" s="62" t="s">
        <v>105</v>
      </c>
      <c r="B4" s="62"/>
      <c r="C4" s="62"/>
      <c r="D4" s="63" t="s">
        <v>106</v>
      </c>
      <c r="E4" s="63"/>
      <c r="F4" s="62" t="s">
        <v>107</v>
      </c>
      <c r="G4" s="64" t="s">
        <v>108</v>
      </c>
      <c r="H4" s="65" t="s">
        <v>109</v>
      </c>
      <c r="I4" s="63" t="s">
        <v>110</v>
      </c>
      <c r="J4" s="112"/>
      <c r="K4" s="65" t="s">
        <v>111</v>
      </c>
      <c r="L4" s="62" t="s">
        <v>112</v>
      </c>
    </row>
    <row r="5" s="51" customFormat="1" spans="1:12">
      <c r="A5" s="66"/>
      <c r="B5" s="66"/>
      <c r="C5" s="66"/>
      <c r="D5" s="62" t="s">
        <v>113</v>
      </c>
      <c r="E5" s="62" t="s">
        <v>114</v>
      </c>
      <c r="F5" s="66"/>
      <c r="G5" s="67" t="s">
        <v>115</v>
      </c>
      <c r="H5" s="68" t="s">
        <v>116</v>
      </c>
      <c r="I5" s="62" t="s">
        <v>117</v>
      </c>
      <c r="J5" s="64" t="s">
        <v>118</v>
      </c>
      <c r="K5" s="68" t="s">
        <v>119</v>
      </c>
      <c r="L5" s="66" t="s">
        <v>115</v>
      </c>
    </row>
    <row r="6" s="51" customFormat="1" spans="1:12">
      <c r="A6" s="69"/>
      <c r="B6" s="69"/>
      <c r="C6" s="69"/>
      <c r="D6" s="70" t="s">
        <v>120</v>
      </c>
      <c r="E6" s="70" t="s">
        <v>121</v>
      </c>
      <c r="F6" s="70" t="s">
        <v>122</v>
      </c>
      <c r="G6" s="71" t="s">
        <v>123</v>
      </c>
      <c r="H6" s="72" t="s">
        <v>124</v>
      </c>
      <c r="I6" s="113" t="s">
        <v>125</v>
      </c>
      <c r="J6" s="71" t="s">
        <v>126</v>
      </c>
      <c r="K6" s="72" t="s">
        <v>127</v>
      </c>
      <c r="L6" s="113" t="s">
        <v>128</v>
      </c>
    </row>
    <row r="7" s="52" customFormat="1" ht="31.5" customHeight="1" spans="1:12">
      <c r="A7" s="73" t="s">
        <v>1005</v>
      </c>
      <c r="B7" s="74"/>
      <c r="C7" s="75"/>
      <c r="D7" s="76"/>
      <c r="E7" s="76"/>
      <c r="F7" s="76"/>
      <c r="G7" s="76"/>
      <c r="H7" s="76"/>
      <c r="I7" s="114"/>
      <c r="J7" s="76"/>
      <c r="K7" s="76"/>
      <c r="L7" s="115"/>
    </row>
    <row r="8" s="53" customFormat="1" ht="31.5" customHeight="1" spans="1:12">
      <c r="A8" s="77"/>
      <c r="B8" s="78">
        <v>1.1</v>
      </c>
      <c r="C8" s="79" t="s">
        <v>4</v>
      </c>
      <c r="D8" s="80">
        <f>+รายจ่ายจริง!G79</f>
        <v>1390052000</v>
      </c>
      <c r="E8" s="80">
        <f>+รายจ่ายจริง!G80</f>
        <v>1042539000</v>
      </c>
      <c r="F8" s="80">
        <f>+รายจ่ายจริง!G82</f>
        <v>802035169.26</v>
      </c>
      <c r="G8" s="81">
        <f>+F8*100/D8</f>
        <v>57.6982133948946</v>
      </c>
      <c r="H8" s="82">
        <f>+รายจ่ายจริง!G81</f>
        <v>0</v>
      </c>
      <c r="I8" s="80">
        <f>+F8+H8</f>
        <v>802035169.26</v>
      </c>
      <c r="J8" s="81">
        <f>+I8*100/D8</f>
        <v>57.6982133948946</v>
      </c>
      <c r="K8" s="82">
        <f>+D8-F8</f>
        <v>588016830.74</v>
      </c>
      <c r="L8" s="80">
        <f>+K8*100/D8</f>
        <v>42.3017866051054</v>
      </c>
    </row>
    <row r="9" s="53" customFormat="1" ht="31.5" customHeight="1" spans="1:12">
      <c r="A9" s="77"/>
      <c r="B9" s="78">
        <v>1.2</v>
      </c>
      <c r="C9" s="79" t="s">
        <v>5</v>
      </c>
      <c r="D9" s="80">
        <f>+รายจ่ายจริง!J79</f>
        <v>432541700</v>
      </c>
      <c r="E9" s="80">
        <f>+รายจ่ายจริง!J80</f>
        <v>323636700</v>
      </c>
      <c r="F9" s="80">
        <f>+รายจ่ายจริง!J82</f>
        <v>213749684.52</v>
      </c>
      <c r="G9" s="81">
        <f t="shared" ref="G9:G25" si="0">+F9*100/D9</f>
        <v>49.4171277636353</v>
      </c>
      <c r="H9" s="82">
        <f>+รายจ่ายจริง!J81</f>
        <v>19683868.01</v>
      </c>
      <c r="I9" s="80">
        <f t="shared" ref="I9:I11" si="1">+F9+H9</f>
        <v>233433552.53</v>
      </c>
      <c r="J9" s="81">
        <f t="shared" ref="J9:J14" si="2">+I9*100/D9</f>
        <v>53.9678723531165</v>
      </c>
      <c r="K9" s="82">
        <f t="shared" ref="K9:K11" si="3">+D9-F9</f>
        <v>218792015.48</v>
      </c>
      <c r="L9" s="80">
        <f t="shared" ref="L9:L22" si="4">+K9*100/D9</f>
        <v>50.5828722363647</v>
      </c>
    </row>
    <row r="10" s="53" customFormat="1" ht="31.5" customHeight="1" spans="1:12">
      <c r="A10" s="77"/>
      <c r="B10" s="78">
        <v>1.3</v>
      </c>
      <c r="C10" s="79" t="s">
        <v>6</v>
      </c>
      <c r="D10" s="80">
        <f>+รายจ่ายจริง!M79</f>
        <v>118294300</v>
      </c>
      <c r="E10" s="80">
        <f>+รายจ่ายจริง!M80</f>
        <v>86643200</v>
      </c>
      <c r="F10" s="80">
        <f>+รายจ่ายจริง!M82</f>
        <v>24342181.58</v>
      </c>
      <c r="G10" s="81">
        <f t="shared" si="0"/>
        <v>20.5776453979608</v>
      </c>
      <c r="H10" s="82">
        <f>+รายจ่ายจริง!M81</f>
        <v>56899929</v>
      </c>
      <c r="I10" s="80">
        <f t="shared" si="1"/>
        <v>81242110.58</v>
      </c>
      <c r="J10" s="81">
        <f t="shared" si="2"/>
        <v>68.6779587689348</v>
      </c>
      <c r="K10" s="82">
        <f t="shared" si="3"/>
        <v>93952118.42</v>
      </c>
      <c r="L10" s="80">
        <f t="shared" si="4"/>
        <v>79.4223546020391</v>
      </c>
    </row>
    <row r="11" s="53" customFormat="1" ht="31.5" customHeight="1" spans="1:12">
      <c r="A11" s="77"/>
      <c r="B11" s="78">
        <v>1.4</v>
      </c>
      <c r="C11" s="79" t="s">
        <v>8</v>
      </c>
      <c r="D11" s="80">
        <f>+รายจ่ายจริง!O79</f>
        <v>28793900</v>
      </c>
      <c r="E11" s="80">
        <f>+รายจ่ายจริง!O80</f>
        <v>21595100</v>
      </c>
      <c r="F11" s="80">
        <f>+รายจ่ายจริง!O82</f>
        <v>6921441.63</v>
      </c>
      <c r="G11" s="81">
        <f t="shared" si="0"/>
        <v>24.0378747929249</v>
      </c>
      <c r="H11" s="82">
        <f>+รายจ่ายจริง!O81</f>
        <v>111761.86</v>
      </c>
      <c r="I11" s="80">
        <f t="shared" si="1"/>
        <v>7033203.49</v>
      </c>
      <c r="J11" s="81">
        <f t="shared" si="2"/>
        <v>24.426019017917</v>
      </c>
      <c r="K11" s="82">
        <f t="shared" si="3"/>
        <v>21872458.37</v>
      </c>
      <c r="L11" s="80">
        <f t="shared" si="4"/>
        <v>75.9621252070751</v>
      </c>
    </row>
    <row r="12" s="52" customFormat="1" ht="31.5" customHeight="1" spans="1:12">
      <c r="A12" s="83" t="s">
        <v>80</v>
      </c>
      <c r="B12" s="83"/>
      <c r="C12" s="83"/>
      <c r="D12" s="84">
        <f>SUM(D8:D11)</f>
        <v>1969681900</v>
      </c>
      <c r="E12" s="84">
        <f t="shared" ref="E12:H12" si="5">SUM(E8:E11)</f>
        <v>1474414000</v>
      </c>
      <c r="F12" s="84">
        <f t="shared" si="5"/>
        <v>1047048476.99</v>
      </c>
      <c r="G12" s="85">
        <f t="shared" si="0"/>
        <v>53.1582524563992</v>
      </c>
      <c r="H12" s="86">
        <f t="shared" si="5"/>
        <v>76695558.87</v>
      </c>
      <c r="I12" s="84">
        <f t="shared" ref="I12" si="6">SUM(I8:I11)</f>
        <v>1123744035.86</v>
      </c>
      <c r="J12" s="85">
        <f t="shared" si="2"/>
        <v>57.0520567742436</v>
      </c>
      <c r="K12" s="86">
        <f t="shared" ref="K12" si="7">SUM(K8:K11)</f>
        <v>922633423.01</v>
      </c>
      <c r="L12" s="84">
        <f t="shared" si="4"/>
        <v>46.8417475436008</v>
      </c>
    </row>
    <row r="13" s="53" customFormat="1" ht="31.5" customHeight="1" spans="1:12">
      <c r="A13" s="87" t="s">
        <v>329</v>
      </c>
      <c r="B13" s="87"/>
      <c r="C13" s="87"/>
      <c r="D13" s="80">
        <f>SUM(D8:D9)+D11</f>
        <v>1851387600</v>
      </c>
      <c r="E13" s="80">
        <f t="shared" ref="E13:K13" si="8">SUM(E8:E9)+E11</f>
        <v>1387770800</v>
      </c>
      <c r="F13" s="80">
        <f t="shared" si="8"/>
        <v>1022706295.41</v>
      </c>
      <c r="G13" s="81">
        <f t="shared" si="0"/>
        <v>55.239988396271</v>
      </c>
      <c r="H13" s="82">
        <f t="shared" ref="H13" si="9">SUM(H8:H9)+H11</f>
        <v>19795629.87</v>
      </c>
      <c r="I13" s="80">
        <f t="shared" si="8"/>
        <v>1042501925.28</v>
      </c>
      <c r="J13" s="81">
        <f t="shared" si="2"/>
        <v>56.3092204614528</v>
      </c>
      <c r="K13" s="82">
        <f t="shared" si="8"/>
        <v>828681304.59</v>
      </c>
      <c r="L13" s="80">
        <f t="shared" si="4"/>
        <v>44.760011603729</v>
      </c>
    </row>
    <row r="14" s="53" customFormat="1" ht="31.5" customHeight="1" spans="1:12">
      <c r="A14" s="87" t="s">
        <v>330</v>
      </c>
      <c r="B14" s="87"/>
      <c r="C14" s="87"/>
      <c r="D14" s="80">
        <f>+D10</f>
        <v>118294300</v>
      </c>
      <c r="E14" s="80">
        <f t="shared" ref="E14:K14" si="10">+E10</f>
        <v>86643200</v>
      </c>
      <c r="F14" s="80">
        <f t="shared" si="10"/>
        <v>24342181.58</v>
      </c>
      <c r="G14" s="81">
        <f t="shared" si="0"/>
        <v>20.5776453979608</v>
      </c>
      <c r="H14" s="82">
        <f t="shared" ref="H14" si="11">+H10</f>
        <v>56899929</v>
      </c>
      <c r="I14" s="80">
        <f t="shared" si="10"/>
        <v>81242110.58</v>
      </c>
      <c r="J14" s="81">
        <f t="shared" si="2"/>
        <v>68.6779587689348</v>
      </c>
      <c r="K14" s="82">
        <f t="shared" si="10"/>
        <v>93952118.42</v>
      </c>
      <c r="L14" s="80">
        <f t="shared" si="4"/>
        <v>79.4223546020391</v>
      </c>
    </row>
    <row r="15" s="53" customFormat="1" ht="31.5" customHeight="1" spans="1:12">
      <c r="A15" s="88"/>
      <c r="B15" s="89"/>
      <c r="C15" s="89"/>
      <c r="D15" s="90"/>
      <c r="E15" s="90"/>
      <c r="F15" s="90"/>
      <c r="G15" s="90"/>
      <c r="H15" s="90"/>
      <c r="I15" s="90"/>
      <c r="J15" s="90"/>
      <c r="K15" s="90"/>
      <c r="L15" s="82"/>
    </row>
    <row r="16" s="53" customFormat="1" ht="31.5" customHeight="1" spans="1:12">
      <c r="A16" s="88"/>
      <c r="B16" s="89"/>
      <c r="C16" s="89"/>
      <c r="D16" s="90"/>
      <c r="E16" s="90"/>
      <c r="F16" s="90"/>
      <c r="G16" s="90"/>
      <c r="H16" s="90"/>
      <c r="I16" s="90"/>
      <c r="J16" s="90"/>
      <c r="K16" s="90"/>
      <c r="L16" s="82"/>
    </row>
    <row r="17" s="53" customFormat="1" ht="31.5" customHeight="1" spans="1:12">
      <c r="A17" s="88"/>
      <c r="B17" s="89"/>
      <c r="C17" s="89"/>
      <c r="D17" s="90"/>
      <c r="E17" s="90"/>
      <c r="F17" s="90"/>
      <c r="G17" s="90"/>
      <c r="H17" s="90"/>
      <c r="I17" s="90"/>
      <c r="J17" s="90"/>
      <c r="K17" s="90"/>
      <c r="L17" s="82"/>
    </row>
    <row r="18" s="53" customFormat="1" ht="31.5" customHeight="1" spans="1:12">
      <c r="A18" s="88"/>
      <c r="B18" s="89"/>
      <c r="C18" s="89"/>
      <c r="D18" s="90"/>
      <c r="E18" s="90"/>
      <c r="F18" s="90"/>
      <c r="G18" s="90"/>
      <c r="H18" s="90"/>
      <c r="I18" s="90"/>
      <c r="J18" s="90"/>
      <c r="K18" s="90"/>
      <c r="L18" s="82"/>
    </row>
    <row r="19" s="52" customFormat="1" ht="31.5" customHeight="1" spans="1:12">
      <c r="A19" s="91" t="s">
        <v>333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116"/>
    </row>
    <row r="20" s="53" customFormat="1" ht="31.5" customHeight="1" spans="1:12">
      <c r="A20" s="77"/>
      <c r="B20" s="78">
        <v>2.1</v>
      </c>
      <c r="C20" s="79" t="s">
        <v>334</v>
      </c>
      <c r="D20" s="93">
        <f>+เงินกันปี64!H65-เงินกันปี64!H63</f>
        <v>136444872.72</v>
      </c>
      <c r="E20" s="94"/>
      <c r="F20" s="93">
        <f>+เงินกันปี64!I65-เงินกันปี64!I63</f>
        <v>64886281.69</v>
      </c>
      <c r="G20" s="81">
        <f t="shared" si="0"/>
        <v>47.5549431770543</v>
      </c>
      <c r="H20" s="82"/>
      <c r="I20" s="117"/>
      <c r="J20" s="118"/>
      <c r="K20" s="119">
        <f>+D20-F20</f>
        <v>71558591.03</v>
      </c>
      <c r="L20" s="80">
        <f t="shared" si="4"/>
        <v>52.4450568229457</v>
      </c>
    </row>
    <row r="21" s="53" customFormat="1" ht="31.5" customHeight="1" spans="1:12">
      <c r="A21" s="77"/>
      <c r="B21" s="78">
        <v>2.2</v>
      </c>
      <c r="C21" s="79" t="s">
        <v>335</v>
      </c>
      <c r="D21" s="93">
        <f>+เงินกันปี64!H63</f>
        <v>5000000</v>
      </c>
      <c r="E21" s="94"/>
      <c r="F21" s="93">
        <f>+เงินกันปี64!I63</f>
        <v>5000000</v>
      </c>
      <c r="G21" s="81">
        <f t="shared" si="0"/>
        <v>100</v>
      </c>
      <c r="H21" s="82"/>
      <c r="I21" s="117"/>
      <c r="J21" s="118"/>
      <c r="K21" s="119">
        <f>+D21-F21</f>
        <v>0</v>
      </c>
      <c r="L21" s="80">
        <f t="shared" si="4"/>
        <v>0</v>
      </c>
    </row>
    <row r="22" s="52" customFormat="1" ht="31.5" customHeight="1" spans="1:12">
      <c r="A22" s="83" t="s">
        <v>80</v>
      </c>
      <c r="B22" s="83"/>
      <c r="C22" s="83"/>
      <c r="D22" s="95">
        <f>SUM(D20:D21)</f>
        <v>141444872.72</v>
      </c>
      <c r="E22" s="96"/>
      <c r="F22" s="95">
        <f t="shared" ref="F22:K22" si="12">SUM(F20:F21)</f>
        <v>69886281.69</v>
      </c>
      <c r="G22" s="85">
        <f t="shared" si="0"/>
        <v>49.4088476634602</v>
      </c>
      <c r="H22" s="86"/>
      <c r="I22" s="96"/>
      <c r="J22" s="120"/>
      <c r="K22" s="121">
        <f t="shared" si="12"/>
        <v>71558591.03</v>
      </c>
      <c r="L22" s="84">
        <f t="shared" si="4"/>
        <v>50.5911523365398</v>
      </c>
    </row>
    <row r="23" s="53" customFormat="1" ht="28.5" customHeight="1" spans="1:12">
      <c r="A23" s="97" t="s">
        <v>336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="53" customFormat="1" ht="28.5" customHeight="1" spans="1:12">
      <c r="A24" s="98"/>
      <c r="B24" s="78" t="s">
        <v>337</v>
      </c>
      <c r="C24" s="99"/>
      <c r="D24" s="80">
        <f>+'เบิกแทน กรมคุม'!E103</f>
        <v>3942765</v>
      </c>
      <c r="E24" s="94"/>
      <c r="F24" s="100">
        <f>+'เบิกแทน กรมคุม'!F103</f>
        <v>1918904.16</v>
      </c>
      <c r="G24" s="81">
        <f t="shared" si="0"/>
        <v>48.6689965037226</v>
      </c>
      <c r="H24" s="82"/>
      <c r="I24" s="94"/>
      <c r="J24" s="122"/>
      <c r="K24" s="119">
        <f>+D24-F24</f>
        <v>2023860.84</v>
      </c>
      <c r="L24" s="80">
        <f t="shared" ref="L24:L25" si="13">+K24*100/D24</f>
        <v>51.3310034962774</v>
      </c>
    </row>
    <row r="25" s="52" customFormat="1" ht="28.5" customHeight="1" spans="1:12">
      <c r="A25" s="83" t="s">
        <v>80</v>
      </c>
      <c r="B25" s="83"/>
      <c r="C25" s="83"/>
      <c r="D25" s="95">
        <f>+D24</f>
        <v>3942765</v>
      </c>
      <c r="E25" s="96"/>
      <c r="F25" s="101">
        <f>+F24</f>
        <v>1918904.16</v>
      </c>
      <c r="G25" s="85">
        <f t="shared" si="0"/>
        <v>48.6689965037226</v>
      </c>
      <c r="H25" s="86"/>
      <c r="I25" s="96"/>
      <c r="J25" s="120"/>
      <c r="K25" s="121">
        <f t="shared" ref="K25" si="14">SUM(K23:K24)</f>
        <v>2023860.84</v>
      </c>
      <c r="L25" s="84">
        <f t="shared" si="13"/>
        <v>51.3310034962774</v>
      </c>
    </row>
    <row r="26" s="54" customFormat="1" ht="23.25" spans="1:2">
      <c r="A26" s="102" t="s">
        <v>338</v>
      </c>
      <c r="B26" s="102"/>
    </row>
    <row r="27" s="54" customFormat="1" ht="23.25" spans="1:2">
      <c r="A27" s="103" t="s">
        <v>1006</v>
      </c>
      <c r="B27" s="102"/>
    </row>
    <row r="28" s="52" customFormat="1" ht="23.25" spans="1:2">
      <c r="A28" s="103" t="s">
        <v>340</v>
      </c>
      <c r="B28" s="103"/>
    </row>
    <row r="29" s="52" customFormat="1" ht="33.75" customHeight="1" spans="1:12">
      <c r="A29" s="104" t="s">
        <v>341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</row>
    <row r="30" s="55" customFormat="1" ht="33" customHeight="1" spans="1:12">
      <c r="A30" s="105" t="s">
        <v>105</v>
      </c>
      <c r="B30" s="105"/>
      <c r="C30" s="105"/>
      <c r="D30" s="105"/>
      <c r="E30" s="105"/>
      <c r="F30" s="105"/>
      <c r="G30" s="105"/>
      <c r="H30" s="105"/>
      <c r="I30" s="105"/>
      <c r="J30" s="105" t="s">
        <v>342</v>
      </c>
      <c r="K30" s="105"/>
      <c r="L30" s="105" t="s">
        <v>165</v>
      </c>
    </row>
    <row r="31" s="52" customFormat="1" ht="33" customHeight="1" spans="1:12">
      <c r="A31" s="98">
        <v>1</v>
      </c>
      <c r="B31" s="106" t="s">
        <v>5</v>
      </c>
      <c r="C31" s="106"/>
      <c r="D31" s="106"/>
      <c r="E31" s="106"/>
      <c r="F31" s="106"/>
      <c r="G31" s="106"/>
      <c r="H31" s="106"/>
      <c r="I31" s="99"/>
      <c r="J31" s="98"/>
      <c r="K31" s="86">
        <f>+J32</f>
        <v>721233.5</v>
      </c>
      <c r="L31" s="123"/>
    </row>
    <row r="32" s="56" customFormat="1" ht="84" customHeight="1" spans="1:12">
      <c r="A32" s="107"/>
      <c r="B32" s="108"/>
      <c r="C32" s="109" t="s">
        <v>343</v>
      </c>
      <c r="D32" s="109"/>
      <c r="E32" s="109"/>
      <c r="F32" s="109"/>
      <c r="G32" s="109"/>
      <c r="H32" s="109"/>
      <c r="I32" s="124"/>
      <c r="J32" s="125">
        <v>721233.5</v>
      </c>
      <c r="K32" s="126"/>
      <c r="L32" s="127" t="s">
        <v>1007</v>
      </c>
    </row>
    <row r="33" s="52" customFormat="1" ht="37.5" customHeight="1" spans="1:12">
      <c r="A33" s="98">
        <v>2</v>
      </c>
      <c r="B33" s="106" t="s">
        <v>6</v>
      </c>
      <c r="C33" s="106"/>
      <c r="D33" s="106"/>
      <c r="E33" s="106"/>
      <c r="F33" s="106"/>
      <c r="G33" s="106"/>
      <c r="H33" s="106"/>
      <c r="I33" s="99"/>
      <c r="J33" s="128"/>
      <c r="K33" s="129">
        <f>SUM(J34:K37)</f>
        <v>20862347.39</v>
      </c>
      <c r="L33" s="123"/>
    </row>
    <row r="34" s="53" customFormat="1" ht="37.5" customHeight="1" spans="1:12">
      <c r="A34" s="77"/>
      <c r="B34" s="78">
        <v>2.1</v>
      </c>
      <c r="C34" s="78" t="s">
        <v>345</v>
      </c>
      <c r="D34" s="78"/>
      <c r="E34" s="78"/>
      <c r="F34" s="78"/>
      <c r="G34" s="78"/>
      <c r="H34" s="78"/>
      <c r="I34" s="79"/>
      <c r="J34" s="130">
        <v>11135650</v>
      </c>
      <c r="K34" s="130"/>
      <c r="L34" s="131"/>
    </row>
    <row r="35" s="53" customFormat="1" ht="37.5" customHeight="1" spans="1:12">
      <c r="A35" s="77"/>
      <c r="B35" s="110">
        <v>2.2</v>
      </c>
      <c r="C35" s="78" t="s">
        <v>346</v>
      </c>
      <c r="D35" s="78"/>
      <c r="E35" s="78"/>
      <c r="F35" s="78"/>
      <c r="G35" s="78"/>
      <c r="H35" s="78"/>
      <c r="I35" s="79"/>
      <c r="J35" s="130">
        <v>2339940.84</v>
      </c>
      <c r="K35" s="130"/>
      <c r="L35" s="131"/>
    </row>
    <row r="36" s="53" customFormat="1" ht="37.5" customHeight="1" spans="1:12">
      <c r="A36" s="77"/>
      <c r="B36" s="110">
        <v>2.3</v>
      </c>
      <c r="C36" s="78" t="s">
        <v>347</v>
      </c>
      <c r="D36" s="78"/>
      <c r="E36" s="78"/>
      <c r="F36" s="78"/>
      <c r="G36" s="78"/>
      <c r="H36" s="78"/>
      <c r="I36" s="79"/>
      <c r="J36" s="130">
        <v>4231617.55</v>
      </c>
      <c r="K36" s="130"/>
      <c r="L36" s="131"/>
    </row>
    <row r="37" s="53" customFormat="1" ht="37.5" customHeight="1" spans="1:12">
      <c r="A37" s="77"/>
      <c r="B37" s="110">
        <v>2.4</v>
      </c>
      <c r="C37" s="78" t="s">
        <v>348</v>
      </c>
      <c r="D37" s="78"/>
      <c r="E37" s="78"/>
      <c r="F37" s="78"/>
      <c r="G37" s="78"/>
      <c r="H37" s="78"/>
      <c r="I37" s="79"/>
      <c r="J37" s="130">
        <v>3155139</v>
      </c>
      <c r="K37" s="130"/>
      <c r="L37" s="123" t="s">
        <v>349</v>
      </c>
    </row>
    <row r="38" s="55" customFormat="1" ht="37.5" customHeight="1" spans="1:12">
      <c r="A38" s="111" t="s">
        <v>350</v>
      </c>
      <c r="B38" s="111"/>
      <c r="C38" s="111"/>
      <c r="D38" s="111"/>
      <c r="E38" s="111"/>
      <c r="F38" s="111"/>
      <c r="G38" s="111"/>
      <c r="H38" s="111"/>
      <c r="I38" s="111"/>
      <c r="J38" s="132">
        <f>SUM(J31:K37)/2</f>
        <v>21583580.89</v>
      </c>
      <c r="K38" s="132"/>
      <c r="L38" s="133"/>
    </row>
  </sheetData>
  <mergeCells count="24">
    <mergeCell ref="A1:L1"/>
    <mergeCell ref="A2:L2"/>
    <mergeCell ref="A3:L3"/>
    <mergeCell ref="D4:E4"/>
    <mergeCell ref="I4:J4"/>
    <mergeCell ref="A12:C12"/>
    <mergeCell ref="A13:C13"/>
    <mergeCell ref="A14:C14"/>
    <mergeCell ref="A22:C22"/>
    <mergeCell ref="A23:L23"/>
    <mergeCell ref="A25:C25"/>
    <mergeCell ref="A29:L29"/>
    <mergeCell ref="A30:I30"/>
    <mergeCell ref="J30:K30"/>
    <mergeCell ref="C32:I32"/>
    <mergeCell ref="J32:K32"/>
    <mergeCell ref="J34:K34"/>
    <mergeCell ref="J35:K35"/>
    <mergeCell ref="J36:K36"/>
    <mergeCell ref="J37:K37"/>
    <mergeCell ref="A38:I38"/>
    <mergeCell ref="J38:K38"/>
    <mergeCell ref="F4:F5"/>
    <mergeCell ref="A4:C6"/>
  </mergeCells>
  <pageMargins left="0.393700787401575" right="0.118110236220472" top="0.748031496062992" bottom="0.748031496062992" header="0.31496062992126" footer="0.31496062992126"/>
  <pageSetup paperSize="9" scale="73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30"/>
  <sheetViews>
    <sheetView zoomScale="70" zoomScaleNormal="70" topLeftCell="A22" workbookViewId="0">
      <selection activeCell="E36" sqref="E36"/>
    </sheetView>
  </sheetViews>
  <sheetFormatPr defaultColWidth="9" defaultRowHeight="21"/>
  <cols>
    <col min="1" max="1" width="8" style="4" customWidth="1"/>
    <col min="2" max="2" width="22.2857142857143" style="5" customWidth="1"/>
    <col min="3" max="3" width="12.7142857142857" style="6" customWidth="1"/>
    <col min="4" max="4" width="11.8571428571429" style="6" customWidth="1"/>
    <col min="5" max="5" width="21.4285714285714" style="7" customWidth="1"/>
    <col min="6" max="6" width="12.4285714285714" style="6" customWidth="1"/>
    <col min="7" max="7" width="40" style="8" customWidth="1"/>
    <col min="8" max="8" width="18.8571428571429" style="5" customWidth="1"/>
    <col min="9" max="9" width="18.1428571428571" style="5" customWidth="1"/>
    <col min="10" max="10" width="18.8571428571429" style="9" customWidth="1"/>
    <col min="11" max="11" width="9.28571428571429" style="10" customWidth="1"/>
    <col min="12" max="12" width="16.5714285714286" style="11" customWidth="1"/>
    <col min="13" max="13" width="34.8571428571429" style="10" customWidth="1"/>
    <col min="14" max="79" width="9.14285714285714" style="5"/>
    <col min="80" max="80" width="6.42857142857143" style="5" customWidth="1"/>
    <col min="81" max="81" width="32" style="5" customWidth="1"/>
    <col min="82" max="82" width="14.5714285714286" style="5" customWidth="1"/>
    <col min="83" max="83" width="12.4285714285714" style="5" customWidth="1"/>
    <col min="84" max="84" width="51.2857142857143" style="5" customWidth="1"/>
    <col min="85" max="85" width="14.8571428571429" style="5" customWidth="1"/>
    <col min="86" max="86" width="25" style="5" customWidth="1"/>
    <col min="87" max="88" width="12.2857142857143" style="5" customWidth="1"/>
    <col min="89" max="89" width="24.7142857142857" style="5" customWidth="1"/>
    <col min="90" max="90" width="15" style="5" customWidth="1"/>
    <col min="91" max="335" width="9.14285714285714" style="5"/>
    <col min="336" max="336" width="6.42857142857143" style="5" customWidth="1"/>
    <col min="337" max="337" width="32" style="5" customWidth="1"/>
    <col min="338" max="338" width="14.5714285714286" style="5" customWidth="1"/>
    <col min="339" max="339" width="12.4285714285714" style="5" customWidth="1"/>
    <col min="340" max="340" width="51.2857142857143" style="5" customWidth="1"/>
    <col min="341" max="341" width="14.8571428571429" style="5" customWidth="1"/>
    <col min="342" max="342" width="25" style="5" customWidth="1"/>
    <col min="343" max="344" width="12.2857142857143" style="5" customWidth="1"/>
    <col min="345" max="345" width="24.7142857142857" style="5" customWidth="1"/>
    <col min="346" max="346" width="15" style="5" customWidth="1"/>
    <col min="347" max="591" width="9.14285714285714" style="5"/>
    <col min="592" max="592" width="6.42857142857143" style="5" customWidth="1"/>
    <col min="593" max="593" width="32" style="5" customWidth="1"/>
    <col min="594" max="594" width="14.5714285714286" style="5" customWidth="1"/>
    <col min="595" max="595" width="12.4285714285714" style="5" customWidth="1"/>
    <col min="596" max="596" width="51.2857142857143" style="5" customWidth="1"/>
    <col min="597" max="597" width="14.8571428571429" style="5" customWidth="1"/>
    <col min="598" max="598" width="25" style="5" customWidth="1"/>
    <col min="599" max="600" width="12.2857142857143" style="5" customWidth="1"/>
    <col min="601" max="601" width="24.7142857142857" style="5" customWidth="1"/>
    <col min="602" max="602" width="15" style="5" customWidth="1"/>
    <col min="603" max="847" width="9.14285714285714" style="5"/>
    <col min="848" max="848" width="6.42857142857143" style="5" customWidth="1"/>
    <col min="849" max="849" width="32" style="5" customWidth="1"/>
    <col min="850" max="850" width="14.5714285714286" style="5" customWidth="1"/>
    <col min="851" max="851" width="12.4285714285714" style="5" customWidth="1"/>
    <col min="852" max="852" width="51.2857142857143" style="5" customWidth="1"/>
    <col min="853" max="853" width="14.8571428571429" style="5" customWidth="1"/>
    <col min="854" max="854" width="25" style="5" customWidth="1"/>
    <col min="855" max="856" width="12.2857142857143" style="5" customWidth="1"/>
    <col min="857" max="857" width="24.7142857142857" style="5" customWidth="1"/>
    <col min="858" max="858" width="15" style="5" customWidth="1"/>
    <col min="859" max="1103" width="9.14285714285714" style="5"/>
    <col min="1104" max="1104" width="6.42857142857143" style="5" customWidth="1"/>
    <col min="1105" max="1105" width="32" style="5" customWidth="1"/>
    <col min="1106" max="1106" width="14.5714285714286" style="5" customWidth="1"/>
    <col min="1107" max="1107" width="12.4285714285714" style="5" customWidth="1"/>
    <col min="1108" max="1108" width="51.2857142857143" style="5" customWidth="1"/>
    <col min="1109" max="1109" width="14.8571428571429" style="5" customWidth="1"/>
    <col min="1110" max="1110" width="25" style="5" customWidth="1"/>
    <col min="1111" max="1112" width="12.2857142857143" style="5" customWidth="1"/>
    <col min="1113" max="1113" width="24.7142857142857" style="5" customWidth="1"/>
    <col min="1114" max="1114" width="15" style="5" customWidth="1"/>
    <col min="1115" max="1359" width="9.14285714285714" style="5"/>
    <col min="1360" max="1360" width="6.42857142857143" style="5" customWidth="1"/>
    <col min="1361" max="1361" width="32" style="5" customWidth="1"/>
    <col min="1362" max="1362" width="14.5714285714286" style="5" customWidth="1"/>
    <col min="1363" max="1363" width="12.4285714285714" style="5" customWidth="1"/>
    <col min="1364" max="1364" width="51.2857142857143" style="5" customWidth="1"/>
    <col min="1365" max="1365" width="14.8571428571429" style="5" customWidth="1"/>
    <col min="1366" max="1366" width="25" style="5" customWidth="1"/>
    <col min="1367" max="1368" width="12.2857142857143" style="5" customWidth="1"/>
    <col min="1369" max="1369" width="24.7142857142857" style="5" customWidth="1"/>
    <col min="1370" max="1370" width="15" style="5" customWidth="1"/>
    <col min="1371" max="1615" width="9.14285714285714" style="5"/>
    <col min="1616" max="1616" width="6.42857142857143" style="5" customWidth="1"/>
    <col min="1617" max="1617" width="32" style="5" customWidth="1"/>
    <col min="1618" max="1618" width="14.5714285714286" style="5" customWidth="1"/>
    <col min="1619" max="1619" width="12.4285714285714" style="5" customWidth="1"/>
    <col min="1620" max="1620" width="51.2857142857143" style="5" customWidth="1"/>
    <col min="1621" max="1621" width="14.8571428571429" style="5" customWidth="1"/>
    <col min="1622" max="1622" width="25" style="5" customWidth="1"/>
    <col min="1623" max="1624" width="12.2857142857143" style="5" customWidth="1"/>
    <col min="1625" max="1625" width="24.7142857142857" style="5" customWidth="1"/>
    <col min="1626" max="1626" width="15" style="5" customWidth="1"/>
    <col min="1627" max="1871" width="9.14285714285714" style="5"/>
    <col min="1872" max="1872" width="6.42857142857143" style="5" customWidth="1"/>
    <col min="1873" max="1873" width="32" style="5" customWidth="1"/>
    <col min="1874" max="1874" width="14.5714285714286" style="5" customWidth="1"/>
    <col min="1875" max="1875" width="12.4285714285714" style="5" customWidth="1"/>
    <col min="1876" max="1876" width="51.2857142857143" style="5" customWidth="1"/>
    <col min="1877" max="1877" width="14.8571428571429" style="5" customWidth="1"/>
    <col min="1878" max="1878" width="25" style="5" customWidth="1"/>
    <col min="1879" max="1880" width="12.2857142857143" style="5" customWidth="1"/>
    <col min="1881" max="1881" width="24.7142857142857" style="5" customWidth="1"/>
    <col min="1882" max="1882" width="15" style="5" customWidth="1"/>
    <col min="1883" max="2127" width="9.14285714285714" style="5"/>
    <col min="2128" max="2128" width="6.42857142857143" style="5" customWidth="1"/>
    <col min="2129" max="2129" width="32" style="5" customWidth="1"/>
    <col min="2130" max="2130" width="14.5714285714286" style="5" customWidth="1"/>
    <col min="2131" max="2131" width="12.4285714285714" style="5" customWidth="1"/>
    <col min="2132" max="2132" width="51.2857142857143" style="5" customWidth="1"/>
    <col min="2133" max="2133" width="14.8571428571429" style="5" customWidth="1"/>
    <col min="2134" max="2134" width="25" style="5" customWidth="1"/>
    <col min="2135" max="2136" width="12.2857142857143" style="5" customWidth="1"/>
    <col min="2137" max="2137" width="24.7142857142857" style="5" customWidth="1"/>
    <col min="2138" max="2138" width="15" style="5" customWidth="1"/>
    <col min="2139" max="2383" width="9.14285714285714" style="5"/>
    <col min="2384" max="2384" width="6.42857142857143" style="5" customWidth="1"/>
    <col min="2385" max="2385" width="32" style="5" customWidth="1"/>
    <col min="2386" max="2386" width="14.5714285714286" style="5" customWidth="1"/>
    <col min="2387" max="2387" width="12.4285714285714" style="5" customWidth="1"/>
    <col min="2388" max="2388" width="51.2857142857143" style="5" customWidth="1"/>
    <col min="2389" max="2389" width="14.8571428571429" style="5" customWidth="1"/>
    <col min="2390" max="2390" width="25" style="5" customWidth="1"/>
    <col min="2391" max="2392" width="12.2857142857143" style="5" customWidth="1"/>
    <col min="2393" max="2393" width="24.7142857142857" style="5" customWidth="1"/>
    <col min="2394" max="2394" width="15" style="5" customWidth="1"/>
    <col min="2395" max="2639" width="9.14285714285714" style="5"/>
    <col min="2640" max="2640" width="6.42857142857143" style="5" customWidth="1"/>
    <col min="2641" max="2641" width="32" style="5" customWidth="1"/>
    <col min="2642" max="2642" width="14.5714285714286" style="5" customWidth="1"/>
    <col min="2643" max="2643" width="12.4285714285714" style="5" customWidth="1"/>
    <col min="2644" max="2644" width="51.2857142857143" style="5" customWidth="1"/>
    <col min="2645" max="2645" width="14.8571428571429" style="5" customWidth="1"/>
    <col min="2646" max="2646" width="25" style="5" customWidth="1"/>
    <col min="2647" max="2648" width="12.2857142857143" style="5" customWidth="1"/>
    <col min="2649" max="2649" width="24.7142857142857" style="5" customWidth="1"/>
    <col min="2650" max="2650" width="15" style="5" customWidth="1"/>
    <col min="2651" max="2895" width="9.14285714285714" style="5"/>
    <col min="2896" max="2896" width="6.42857142857143" style="5" customWidth="1"/>
    <col min="2897" max="2897" width="32" style="5" customWidth="1"/>
    <col min="2898" max="2898" width="14.5714285714286" style="5" customWidth="1"/>
    <col min="2899" max="2899" width="12.4285714285714" style="5" customWidth="1"/>
    <col min="2900" max="2900" width="51.2857142857143" style="5" customWidth="1"/>
    <col min="2901" max="2901" width="14.8571428571429" style="5" customWidth="1"/>
    <col min="2902" max="2902" width="25" style="5" customWidth="1"/>
    <col min="2903" max="2904" width="12.2857142857143" style="5" customWidth="1"/>
    <col min="2905" max="2905" width="24.7142857142857" style="5" customWidth="1"/>
    <col min="2906" max="2906" width="15" style="5" customWidth="1"/>
    <col min="2907" max="3151" width="9.14285714285714" style="5"/>
    <col min="3152" max="3152" width="6.42857142857143" style="5" customWidth="1"/>
    <col min="3153" max="3153" width="32" style="5" customWidth="1"/>
    <col min="3154" max="3154" width="14.5714285714286" style="5" customWidth="1"/>
    <col min="3155" max="3155" width="12.4285714285714" style="5" customWidth="1"/>
    <col min="3156" max="3156" width="51.2857142857143" style="5" customWidth="1"/>
    <col min="3157" max="3157" width="14.8571428571429" style="5" customWidth="1"/>
    <col min="3158" max="3158" width="25" style="5" customWidth="1"/>
    <col min="3159" max="3160" width="12.2857142857143" style="5" customWidth="1"/>
    <col min="3161" max="3161" width="24.7142857142857" style="5" customWidth="1"/>
    <col min="3162" max="3162" width="15" style="5" customWidth="1"/>
    <col min="3163" max="3407" width="9.14285714285714" style="5"/>
    <col min="3408" max="3408" width="6.42857142857143" style="5" customWidth="1"/>
    <col min="3409" max="3409" width="32" style="5" customWidth="1"/>
    <col min="3410" max="3410" width="14.5714285714286" style="5" customWidth="1"/>
    <col min="3411" max="3411" width="12.4285714285714" style="5" customWidth="1"/>
    <col min="3412" max="3412" width="51.2857142857143" style="5" customWidth="1"/>
    <col min="3413" max="3413" width="14.8571428571429" style="5" customWidth="1"/>
    <col min="3414" max="3414" width="25" style="5" customWidth="1"/>
    <col min="3415" max="3416" width="12.2857142857143" style="5" customWidth="1"/>
    <col min="3417" max="3417" width="24.7142857142857" style="5" customWidth="1"/>
    <col min="3418" max="3418" width="15" style="5" customWidth="1"/>
    <col min="3419" max="3663" width="9.14285714285714" style="5"/>
    <col min="3664" max="3664" width="6.42857142857143" style="5" customWidth="1"/>
    <col min="3665" max="3665" width="32" style="5" customWidth="1"/>
    <col min="3666" max="3666" width="14.5714285714286" style="5" customWidth="1"/>
    <col min="3667" max="3667" width="12.4285714285714" style="5" customWidth="1"/>
    <col min="3668" max="3668" width="51.2857142857143" style="5" customWidth="1"/>
    <col min="3669" max="3669" width="14.8571428571429" style="5" customWidth="1"/>
    <col min="3670" max="3670" width="25" style="5" customWidth="1"/>
    <col min="3671" max="3672" width="12.2857142857143" style="5" customWidth="1"/>
    <col min="3673" max="3673" width="24.7142857142857" style="5" customWidth="1"/>
    <col min="3674" max="3674" width="15" style="5" customWidth="1"/>
    <col min="3675" max="3919" width="9.14285714285714" style="5"/>
    <col min="3920" max="3920" width="6.42857142857143" style="5" customWidth="1"/>
    <col min="3921" max="3921" width="32" style="5" customWidth="1"/>
    <col min="3922" max="3922" width="14.5714285714286" style="5" customWidth="1"/>
    <col min="3923" max="3923" width="12.4285714285714" style="5" customWidth="1"/>
    <col min="3924" max="3924" width="51.2857142857143" style="5" customWidth="1"/>
    <col min="3925" max="3925" width="14.8571428571429" style="5" customWidth="1"/>
    <col min="3926" max="3926" width="25" style="5" customWidth="1"/>
    <col min="3927" max="3928" width="12.2857142857143" style="5" customWidth="1"/>
    <col min="3929" max="3929" width="24.7142857142857" style="5" customWidth="1"/>
    <col min="3930" max="3930" width="15" style="5" customWidth="1"/>
    <col min="3931" max="4175" width="9.14285714285714" style="5"/>
    <col min="4176" max="4176" width="6.42857142857143" style="5" customWidth="1"/>
    <col min="4177" max="4177" width="32" style="5" customWidth="1"/>
    <col min="4178" max="4178" width="14.5714285714286" style="5" customWidth="1"/>
    <col min="4179" max="4179" width="12.4285714285714" style="5" customWidth="1"/>
    <col min="4180" max="4180" width="51.2857142857143" style="5" customWidth="1"/>
    <col min="4181" max="4181" width="14.8571428571429" style="5" customWidth="1"/>
    <col min="4182" max="4182" width="25" style="5" customWidth="1"/>
    <col min="4183" max="4184" width="12.2857142857143" style="5" customWidth="1"/>
    <col min="4185" max="4185" width="24.7142857142857" style="5" customWidth="1"/>
    <col min="4186" max="4186" width="15" style="5" customWidth="1"/>
    <col min="4187" max="4431" width="9.14285714285714" style="5"/>
    <col min="4432" max="4432" width="6.42857142857143" style="5" customWidth="1"/>
    <col min="4433" max="4433" width="32" style="5" customWidth="1"/>
    <col min="4434" max="4434" width="14.5714285714286" style="5" customWidth="1"/>
    <col min="4435" max="4435" width="12.4285714285714" style="5" customWidth="1"/>
    <col min="4436" max="4436" width="51.2857142857143" style="5" customWidth="1"/>
    <col min="4437" max="4437" width="14.8571428571429" style="5" customWidth="1"/>
    <col min="4438" max="4438" width="25" style="5" customWidth="1"/>
    <col min="4439" max="4440" width="12.2857142857143" style="5" customWidth="1"/>
    <col min="4441" max="4441" width="24.7142857142857" style="5" customWidth="1"/>
    <col min="4442" max="4442" width="15" style="5" customWidth="1"/>
    <col min="4443" max="4687" width="9.14285714285714" style="5"/>
    <col min="4688" max="4688" width="6.42857142857143" style="5" customWidth="1"/>
    <col min="4689" max="4689" width="32" style="5" customWidth="1"/>
    <col min="4690" max="4690" width="14.5714285714286" style="5" customWidth="1"/>
    <col min="4691" max="4691" width="12.4285714285714" style="5" customWidth="1"/>
    <col min="4692" max="4692" width="51.2857142857143" style="5" customWidth="1"/>
    <col min="4693" max="4693" width="14.8571428571429" style="5" customWidth="1"/>
    <col min="4694" max="4694" width="25" style="5" customWidth="1"/>
    <col min="4695" max="4696" width="12.2857142857143" style="5" customWidth="1"/>
    <col min="4697" max="4697" width="24.7142857142857" style="5" customWidth="1"/>
    <col min="4698" max="4698" width="15" style="5" customWidth="1"/>
    <col min="4699" max="4943" width="9.14285714285714" style="5"/>
    <col min="4944" max="4944" width="6.42857142857143" style="5" customWidth="1"/>
    <col min="4945" max="4945" width="32" style="5" customWidth="1"/>
    <col min="4946" max="4946" width="14.5714285714286" style="5" customWidth="1"/>
    <col min="4947" max="4947" width="12.4285714285714" style="5" customWidth="1"/>
    <col min="4948" max="4948" width="51.2857142857143" style="5" customWidth="1"/>
    <col min="4949" max="4949" width="14.8571428571429" style="5" customWidth="1"/>
    <col min="4950" max="4950" width="25" style="5" customWidth="1"/>
    <col min="4951" max="4952" width="12.2857142857143" style="5" customWidth="1"/>
    <col min="4953" max="4953" width="24.7142857142857" style="5" customWidth="1"/>
    <col min="4954" max="4954" width="15" style="5" customWidth="1"/>
    <col min="4955" max="5199" width="9.14285714285714" style="5"/>
    <col min="5200" max="5200" width="6.42857142857143" style="5" customWidth="1"/>
    <col min="5201" max="5201" width="32" style="5" customWidth="1"/>
    <col min="5202" max="5202" width="14.5714285714286" style="5" customWidth="1"/>
    <col min="5203" max="5203" width="12.4285714285714" style="5" customWidth="1"/>
    <col min="5204" max="5204" width="51.2857142857143" style="5" customWidth="1"/>
    <col min="5205" max="5205" width="14.8571428571429" style="5" customWidth="1"/>
    <col min="5206" max="5206" width="25" style="5" customWidth="1"/>
    <col min="5207" max="5208" width="12.2857142857143" style="5" customWidth="1"/>
    <col min="5209" max="5209" width="24.7142857142857" style="5" customWidth="1"/>
    <col min="5210" max="5210" width="15" style="5" customWidth="1"/>
    <col min="5211" max="5455" width="9.14285714285714" style="5"/>
    <col min="5456" max="5456" width="6.42857142857143" style="5" customWidth="1"/>
    <col min="5457" max="5457" width="32" style="5" customWidth="1"/>
    <col min="5458" max="5458" width="14.5714285714286" style="5" customWidth="1"/>
    <col min="5459" max="5459" width="12.4285714285714" style="5" customWidth="1"/>
    <col min="5460" max="5460" width="51.2857142857143" style="5" customWidth="1"/>
    <col min="5461" max="5461" width="14.8571428571429" style="5" customWidth="1"/>
    <col min="5462" max="5462" width="25" style="5" customWidth="1"/>
    <col min="5463" max="5464" width="12.2857142857143" style="5" customWidth="1"/>
    <col min="5465" max="5465" width="24.7142857142857" style="5" customWidth="1"/>
    <col min="5466" max="5466" width="15" style="5" customWidth="1"/>
    <col min="5467" max="5711" width="9.14285714285714" style="5"/>
    <col min="5712" max="5712" width="6.42857142857143" style="5" customWidth="1"/>
    <col min="5713" max="5713" width="32" style="5" customWidth="1"/>
    <col min="5714" max="5714" width="14.5714285714286" style="5" customWidth="1"/>
    <col min="5715" max="5715" width="12.4285714285714" style="5" customWidth="1"/>
    <col min="5716" max="5716" width="51.2857142857143" style="5" customWidth="1"/>
    <col min="5717" max="5717" width="14.8571428571429" style="5" customWidth="1"/>
    <col min="5718" max="5718" width="25" style="5" customWidth="1"/>
    <col min="5719" max="5720" width="12.2857142857143" style="5" customWidth="1"/>
    <col min="5721" max="5721" width="24.7142857142857" style="5" customWidth="1"/>
    <col min="5722" max="5722" width="15" style="5" customWidth="1"/>
    <col min="5723" max="5967" width="9.14285714285714" style="5"/>
    <col min="5968" max="5968" width="6.42857142857143" style="5" customWidth="1"/>
    <col min="5969" max="5969" width="32" style="5" customWidth="1"/>
    <col min="5970" max="5970" width="14.5714285714286" style="5" customWidth="1"/>
    <col min="5971" max="5971" width="12.4285714285714" style="5" customWidth="1"/>
    <col min="5972" max="5972" width="51.2857142857143" style="5" customWidth="1"/>
    <col min="5973" max="5973" width="14.8571428571429" style="5" customWidth="1"/>
    <col min="5974" max="5974" width="25" style="5" customWidth="1"/>
    <col min="5975" max="5976" width="12.2857142857143" style="5" customWidth="1"/>
    <col min="5977" max="5977" width="24.7142857142857" style="5" customWidth="1"/>
    <col min="5978" max="5978" width="15" style="5" customWidth="1"/>
    <col min="5979" max="6223" width="9.14285714285714" style="5"/>
    <col min="6224" max="6224" width="6.42857142857143" style="5" customWidth="1"/>
    <col min="6225" max="6225" width="32" style="5" customWidth="1"/>
    <col min="6226" max="6226" width="14.5714285714286" style="5" customWidth="1"/>
    <col min="6227" max="6227" width="12.4285714285714" style="5" customWidth="1"/>
    <col min="6228" max="6228" width="51.2857142857143" style="5" customWidth="1"/>
    <col min="6229" max="6229" width="14.8571428571429" style="5" customWidth="1"/>
    <col min="6230" max="6230" width="25" style="5" customWidth="1"/>
    <col min="6231" max="6232" width="12.2857142857143" style="5" customWidth="1"/>
    <col min="6233" max="6233" width="24.7142857142857" style="5" customWidth="1"/>
    <col min="6234" max="6234" width="15" style="5" customWidth="1"/>
    <col min="6235" max="6479" width="9.14285714285714" style="5"/>
    <col min="6480" max="6480" width="6.42857142857143" style="5" customWidth="1"/>
    <col min="6481" max="6481" width="32" style="5" customWidth="1"/>
    <col min="6482" max="6482" width="14.5714285714286" style="5" customWidth="1"/>
    <col min="6483" max="6483" width="12.4285714285714" style="5" customWidth="1"/>
    <col min="6484" max="6484" width="51.2857142857143" style="5" customWidth="1"/>
    <col min="6485" max="6485" width="14.8571428571429" style="5" customWidth="1"/>
    <col min="6486" max="6486" width="25" style="5" customWidth="1"/>
    <col min="6487" max="6488" width="12.2857142857143" style="5" customWidth="1"/>
    <col min="6489" max="6489" width="24.7142857142857" style="5" customWidth="1"/>
    <col min="6490" max="6490" width="15" style="5" customWidth="1"/>
    <col min="6491" max="6735" width="9.14285714285714" style="5"/>
    <col min="6736" max="6736" width="6.42857142857143" style="5" customWidth="1"/>
    <col min="6737" max="6737" width="32" style="5" customWidth="1"/>
    <col min="6738" max="6738" width="14.5714285714286" style="5" customWidth="1"/>
    <col min="6739" max="6739" width="12.4285714285714" style="5" customWidth="1"/>
    <col min="6740" max="6740" width="51.2857142857143" style="5" customWidth="1"/>
    <col min="6741" max="6741" width="14.8571428571429" style="5" customWidth="1"/>
    <col min="6742" max="6742" width="25" style="5" customWidth="1"/>
    <col min="6743" max="6744" width="12.2857142857143" style="5" customWidth="1"/>
    <col min="6745" max="6745" width="24.7142857142857" style="5" customWidth="1"/>
    <col min="6746" max="6746" width="15" style="5" customWidth="1"/>
    <col min="6747" max="6991" width="9.14285714285714" style="5"/>
    <col min="6992" max="6992" width="6.42857142857143" style="5" customWidth="1"/>
    <col min="6993" max="6993" width="32" style="5" customWidth="1"/>
    <col min="6994" max="6994" width="14.5714285714286" style="5" customWidth="1"/>
    <col min="6995" max="6995" width="12.4285714285714" style="5" customWidth="1"/>
    <col min="6996" max="6996" width="51.2857142857143" style="5" customWidth="1"/>
    <col min="6997" max="6997" width="14.8571428571429" style="5" customWidth="1"/>
    <col min="6998" max="6998" width="25" style="5" customWidth="1"/>
    <col min="6999" max="7000" width="12.2857142857143" style="5" customWidth="1"/>
    <col min="7001" max="7001" width="24.7142857142857" style="5" customWidth="1"/>
    <col min="7002" max="7002" width="15" style="5" customWidth="1"/>
    <col min="7003" max="7247" width="9.14285714285714" style="5"/>
    <col min="7248" max="7248" width="6.42857142857143" style="5" customWidth="1"/>
    <col min="7249" max="7249" width="32" style="5" customWidth="1"/>
    <col min="7250" max="7250" width="14.5714285714286" style="5" customWidth="1"/>
    <col min="7251" max="7251" width="12.4285714285714" style="5" customWidth="1"/>
    <col min="7252" max="7252" width="51.2857142857143" style="5" customWidth="1"/>
    <col min="7253" max="7253" width="14.8571428571429" style="5" customWidth="1"/>
    <col min="7254" max="7254" width="25" style="5" customWidth="1"/>
    <col min="7255" max="7256" width="12.2857142857143" style="5" customWidth="1"/>
    <col min="7257" max="7257" width="24.7142857142857" style="5" customWidth="1"/>
    <col min="7258" max="7258" width="15" style="5" customWidth="1"/>
    <col min="7259" max="7503" width="9.14285714285714" style="5"/>
    <col min="7504" max="7504" width="6.42857142857143" style="5" customWidth="1"/>
    <col min="7505" max="7505" width="32" style="5" customWidth="1"/>
    <col min="7506" max="7506" width="14.5714285714286" style="5" customWidth="1"/>
    <col min="7507" max="7507" width="12.4285714285714" style="5" customWidth="1"/>
    <col min="7508" max="7508" width="51.2857142857143" style="5" customWidth="1"/>
    <col min="7509" max="7509" width="14.8571428571429" style="5" customWidth="1"/>
    <col min="7510" max="7510" width="25" style="5" customWidth="1"/>
    <col min="7511" max="7512" width="12.2857142857143" style="5" customWidth="1"/>
    <col min="7513" max="7513" width="24.7142857142857" style="5" customWidth="1"/>
    <col min="7514" max="7514" width="15" style="5" customWidth="1"/>
    <col min="7515" max="7759" width="9.14285714285714" style="5"/>
    <col min="7760" max="7760" width="6.42857142857143" style="5" customWidth="1"/>
    <col min="7761" max="7761" width="32" style="5" customWidth="1"/>
    <col min="7762" max="7762" width="14.5714285714286" style="5" customWidth="1"/>
    <col min="7763" max="7763" width="12.4285714285714" style="5" customWidth="1"/>
    <col min="7764" max="7764" width="51.2857142857143" style="5" customWidth="1"/>
    <col min="7765" max="7765" width="14.8571428571429" style="5" customWidth="1"/>
    <col min="7766" max="7766" width="25" style="5" customWidth="1"/>
    <col min="7767" max="7768" width="12.2857142857143" style="5" customWidth="1"/>
    <col min="7769" max="7769" width="24.7142857142857" style="5" customWidth="1"/>
    <col min="7770" max="7770" width="15" style="5" customWidth="1"/>
    <col min="7771" max="8015" width="9.14285714285714" style="5"/>
    <col min="8016" max="8016" width="6.42857142857143" style="5" customWidth="1"/>
    <col min="8017" max="8017" width="32" style="5" customWidth="1"/>
    <col min="8018" max="8018" width="14.5714285714286" style="5" customWidth="1"/>
    <col min="8019" max="8019" width="12.4285714285714" style="5" customWidth="1"/>
    <col min="8020" max="8020" width="51.2857142857143" style="5" customWidth="1"/>
    <col min="8021" max="8021" width="14.8571428571429" style="5" customWidth="1"/>
    <col min="8022" max="8022" width="25" style="5" customWidth="1"/>
    <col min="8023" max="8024" width="12.2857142857143" style="5" customWidth="1"/>
    <col min="8025" max="8025" width="24.7142857142857" style="5" customWidth="1"/>
    <col min="8026" max="8026" width="15" style="5" customWidth="1"/>
    <col min="8027" max="8271" width="9.14285714285714" style="5"/>
    <col min="8272" max="8272" width="6.42857142857143" style="5" customWidth="1"/>
    <col min="8273" max="8273" width="32" style="5" customWidth="1"/>
    <col min="8274" max="8274" width="14.5714285714286" style="5" customWidth="1"/>
    <col min="8275" max="8275" width="12.4285714285714" style="5" customWidth="1"/>
    <col min="8276" max="8276" width="51.2857142857143" style="5" customWidth="1"/>
    <col min="8277" max="8277" width="14.8571428571429" style="5" customWidth="1"/>
    <col min="8278" max="8278" width="25" style="5" customWidth="1"/>
    <col min="8279" max="8280" width="12.2857142857143" style="5" customWidth="1"/>
    <col min="8281" max="8281" width="24.7142857142857" style="5" customWidth="1"/>
    <col min="8282" max="8282" width="15" style="5" customWidth="1"/>
    <col min="8283" max="8527" width="9.14285714285714" style="5"/>
    <col min="8528" max="8528" width="6.42857142857143" style="5" customWidth="1"/>
    <col min="8529" max="8529" width="32" style="5" customWidth="1"/>
    <col min="8530" max="8530" width="14.5714285714286" style="5" customWidth="1"/>
    <col min="8531" max="8531" width="12.4285714285714" style="5" customWidth="1"/>
    <col min="8532" max="8532" width="51.2857142857143" style="5" customWidth="1"/>
    <col min="8533" max="8533" width="14.8571428571429" style="5" customWidth="1"/>
    <col min="8534" max="8534" width="25" style="5" customWidth="1"/>
    <col min="8535" max="8536" width="12.2857142857143" style="5" customWidth="1"/>
    <col min="8537" max="8537" width="24.7142857142857" style="5" customWidth="1"/>
    <col min="8538" max="8538" width="15" style="5" customWidth="1"/>
    <col min="8539" max="8783" width="9.14285714285714" style="5"/>
    <col min="8784" max="8784" width="6.42857142857143" style="5" customWidth="1"/>
    <col min="8785" max="8785" width="32" style="5" customWidth="1"/>
    <col min="8786" max="8786" width="14.5714285714286" style="5" customWidth="1"/>
    <col min="8787" max="8787" width="12.4285714285714" style="5" customWidth="1"/>
    <col min="8788" max="8788" width="51.2857142857143" style="5" customWidth="1"/>
    <col min="8789" max="8789" width="14.8571428571429" style="5" customWidth="1"/>
    <col min="8790" max="8790" width="25" style="5" customWidth="1"/>
    <col min="8791" max="8792" width="12.2857142857143" style="5" customWidth="1"/>
    <col min="8793" max="8793" width="24.7142857142857" style="5" customWidth="1"/>
    <col min="8794" max="8794" width="15" style="5" customWidth="1"/>
    <col min="8795" max="9039" width="9.14285714285714" style="5"/>
    <col min="9040" max="9040" width="6.42857142857143" style="5" customWidth="1"/>
    <col min="9041" max="9041" width="32" style="5" customWidth="1"/>
    <col min="9042" max="9042" width="14.5714285714286" style="5" customWidth="1"/>
    <col min="9043" max="9043" width="12.4285714285714" style="5" customWidth="1"/>
    <col min="9044" max="9044" width="51.2857142857143" style="5" customWidth="1"/>
    <col min="9045" max="9045" width="14.8571428571429" style="5" customWidth="1"/>
    <col min="9046" max="9046" width="25" style="5" customWidth="1"/>
    <col min="9047" max="9048" width="12.2857142857143" style="5" customWidth="1"/>
    <col min="9049" max="9049" width="24.7142857142857" style="5" customWidth="1"/>
    <col min="9050" max="9050" width="15" style="5" customWidth="1"/>
    <col min="9051" max="9295" width="9.14285714285714" style="5"/>
    <col min="9296" max="9296" width="6.42857142857143" style="5" customWidth="1"/>
    <col min="9297" max="9297" width="32" style="5" customWidth="1"/>
    <col min="9298" max="9298" width="14.5714285714286" style="5" customWidth="1"/>
    <col min="9299" max="9299" width="12.4285714285714" style="5" customWidth="1"/>
    <col min="9300" max="9300" width="51.2857142857143" style="5" customWidth="1"/>
    <col min="9301" max="9301" width="14.8571428571429" style="5" customWidth="1"/>
    <col min="9302" max="9302" width="25" style="5" customWidth="1"/>
    <col min="9303" max="9304" width="12.2857142857143" style="5" customWidth="1"/>
    <col min="9305" max="9305" width="24.7142857142857" style="5" customWidth="1"/>
    <col min="9306" max="9306" width="15" style="5" customWidth="1"/>
    <col min="9307" max="9551" width="9.14285714285714" style="5"/>
    <col min="9552" max="9552" width="6.42857142857143" style="5" customWidth="1"/>
    <col min="9553" max="9553" width="32" style="5" customWidth="1"/>
    <col min="9554" max="9554" width="14.5714285714286" style="5" customWidth="1"/>
    <col min="9555" max="9555" width="12.4285714285714" style="5" customWidth="1"/>
    <col min="9556" max="9556" width="51.2857142857143" style="5" customWidth="1"/>
    <col min="9557" max="9557" width="14.8571428571429" style="5" customWidth="1"/>
    <col min="9558" max="9558" width="25" style="5" customWidth="1"/>
    <col min="9559" max="9560" width="12.2857142857143" style="5" customWidth="1"/>
    <col min="9561" max="9561" width="24.7142857142857" style="5" customWidth="1"/>
    <col min="9562" max="9562" width="15" style="5" customWidth="1"/>
    <col min="9563" max="9807" width="9.14285714285714" style="5"/>
    <col min="9808" max="9808" width="6.42857142857143" style="5" customWidth="1"/>
    <col min="9809" max="9809" width="32" style="5" customWidth="1"/>
    <col min="9810" max="9810" width="14.5714285714286" style="5" customWidth="1"/>
    <col min="9811" max="9811" width="12.4285714285714" style="5" customWidth="1"/>
    <col min="9812" max="9812" width="51.2857142857143" style="5" customWidth="1"/>
    <col min="9813" max="9813" width="14.8571428571429" style="5" customWidth="1"/>
    <col min="9814" max="9814" width="25" style="5" customWidth="1"/>
    <col min="9815" max="9816" width="12.2857142857143" style="5" customWidth="1"/>
    <col min="9817" max="9817" width="24.7142857142857" style="5" customWidth="1"/>
    <col min="9818" max="9818" width="15" style="5" customWidth="1"/>
    <col min="9819" max="10063" width="9.14285714285714" style="5"/>
    <col min="10064" max="10064" width="6.42857142857143" style="5" customWidth="1"/>
    <col min="10065" max="10065" width="32" style="5" customWidth="1"/>
    <col min="10066" max="10066" width="14.5714285714286" style="5" customWidth="1"/>
    <col min="10067" max="10067" width="12.4285714285714" style="5" customWidth="1"/>
    <col min="10068" max="10068" width="51.2857142857143" style="5" customWidth="1"/>
    <col min="10069" max="10069" width="14.8571428571429" style="5" customWidth="1"/>
    <col min="10070" max="10070" width="25" style="5" customWidth="1"/>
    <col min="10071" max="10072" width="12.2857142857143" style="5" customWidth="1"/>
    <col min="10073" max="10073" width="24.7142857142857" style="5" customWidth="1"/>
    <col min="10074" max="10074" width="15" style="5" customWidth="1"/>
    <col min="10075" max="10319" width="9.14285714285714" style="5"/>
    <col min="10320" max="10320" width="6.42857142857143" style="5" customWidth="1"/>
    <col min="10321" max="10321" width="32" style="5" customWidth="1"/>
    <col min="10322" max="10322" width="14.5714285714286" style="5" customWidth="1"/>
    <col min="10323" max="10323" width="12.4285714285714" style="5" customWidth="1"/>
    <col min="10324" max="10324" width="51.2857142857143" style="5" customWidth="1"/>
    <col min="10325" max="10325" width="14.8571428571429" style="5" customWidth="1"/>
    <col min="10326" max="10326" width="25" style="5" customWidth="1"/>
    <col min="10327" max="10328" width="12.2857142857143" style="5" customWidth="1"/>
    <col min="10329" max="10329" width="24.7142857142857" style="5" customWidth="1"/>
    <col min="10330" max="10330" width="15" style="5" customWidth="1"/>
    <col min="10331" max="10575" width="9.14285714285714" style="5"/>
    <col min="10576" max="10576" width="6.42857142857143" style="5" customWidth="1"/>
    <col min="10577" max="10577" width="32" style="5" customWidth="1"/>
    <col min="10578" max="10578" width="14.5714285714286" style="5" customWidth="1"/>
    <col min="10579" max="10579" width="12.4285714285714" style="5" customWidth="1"/>
    <col min="10580" max="10580" width="51.2857142857143" style="5" customWidth="1"/>
    <col min="10581" max="10581" width="14.8571428571429" style="5" customWidth="1"/>
    <col min="10582" max="10582" width="25" style="5" customWidth="1"/>
    <col min="10583" max="10584" width="12.2857142857143" style="5" customWidth="1"/>
    <col min="10585" max="10585" width="24.7142857142857" style="5" customWidth="1"/>
    <col min="10586" max="10586" width="15" style="5" customWidth="1"/>
    <col min="10587" max="10831" width="9.14285714285714" style="5"/>
    <col min="10832" max="10832" width="6.42857142857143" style="5" customWidth="1"/>
    <col min="10833" max="10833" width="32" style="5" customWidth="1"/>
    <col min="10834" max="10834" width="14.5714285714286" style="5" customWidth="1"/>
    <col min="10835" max="10835" width="12.4285714285714" style="5" customWidth="1"/>
    <col min="10836" max="10836" width="51.2857142857143" style="5" customWidth="1"/>
    <col min="10837" max="10837" width="14.8571428571429" style="5" customWidth="1"/>
    <col min="10838" max="10838" width="25" style="5" customWidth="1"/>
    <col min="10839" max="10840" width="12.2857142857143" style="5" customWidth="1"/>
    <col min="10841" max="10841" width="24.7142857142857" style="5" customWidth="1"/>
    <col min="10842" max="10842" width="15" style="5" customWidth="1"/>
    <col min="10843" max="11087" width="9.14285714285714" style="5"/>
    <col min="11088" max="11088" width="6.42857142857143" style="5" customWidth="1"/>
    <col min="11089" max="11089" width="32" style="5" customWidth="1"/>
    <col min="11090" max="11090" width="14.5714285714286" style="5" customWidth="1"/>
    <col min="11091" max="11091" width="12.4285714285714" style="5" customWidth="1"/>
    <col min="11092" max="11092" width="51.2857142857143" style="5" customWidth="1"/>
    <col min="11093" max="11093" width="14.8571428571429" style="5" customWidth="1"/>
    <col min="11094" max="11094" width="25" style="5" customWidth="1"/>
    <col min="11095" max="11096" width="12.2857142857143" style="5" customWidth="1"/>
    <col min="11097" max="11097" width="24.7142857142857" style="5" customWidth="1"/>
    <col min="11098" max="11098" width="15" style="5" customWidth="1"/>
    <col min="11099" max="11343" width="9.14285714285714" style="5"/>
    <col min="11344" max="11344" width="6.42857142857143" style="5" customWidth="1"/>
    <col min="11345" max="11345" width="32" style="5" customWidth="1"/>
    <col min="11346" max="11346" width="14.5714285714286" style="5" customWidth="1"/>
    <col min="11347" max="11347" width="12.4285714285714" style="5" customWidth="1"/>
    <col min="11348" max="11348" width="51.2857142857143" style="5" customWidth="1"/>
    <col min="11349" max="11349" width="14.8571428571429" style="5" customWidth="1"/>
    <col min="11350" max="11350" width="25" style="5" customWidth="1"/>
    <col min="11351" max="11352" width="12.2857142857143" style="5" customWidth="1"/>
    <col min="11353" max="11353" width="24.7142857142857" style="5" customWidth="1"/>
    <col min="11354" max="11354" width="15" style="5" customWidth="1"/>
    <col min="11355" max="11599" width="9.14285714285714" style="5"/>
    <col min="11600" max="11600" width="6.42857142857143" style="5" customWidth="1"/>
    <col min="11601" max="11601" width="32" style="5" customWidth="1"/>
    <col min="11602" max="11602" width="14.5714285714286" style="5" customWidth="1"/>
    <col min="11603" max="11603" width="12.4285714285714" style="5" customWidth="1"/>
    <col min="11604" max="11604" width="51.2857142857143" style="5" customWidth="1"/>
    <col min="11605" max="11605" width="14.8571428571429" style="5" customWidth="1"/>
    <col min="11606" max="11606" width="25" style="5" customWidth="1"/>
    <col min="11607" max="11608" width="12.2857142857143" style="5" customWidth="1"/>
    <col min="11609" max="11609" width="24.7142857142857" style="5" customWidth="1"/>
    <col min="11610" max="11610" width="15" style="5" customWidth="1"/>
    <col min="11611" max="11855" width="9.14285714285714" style="5"/>
    <col min="11856" max="11856" width="6.42857142857143" style="5" customWidth="1"/>
    <col min="11857" max="11857" width="32" style="5" customWidth="1"/>
    <col min="11858" max="11858" width="14.5714285714286" style="5" customWidth="1"/>
    <col min="11859" max="11859" width="12.4285714285714" style="5" customWidth="1"/>
    <col min="11860" max="11860" width="51.2857142857143" style="5" customWidth="1"/>
    <col min="11861" max="11861" width="14.8571428571429" style="5" customWidth="1"/>
    <col min="11862" max="11862" width="25" style="5" customWidth="1"/>
    <col min="11863" max="11864" width="12.2857142857143" style="5" customWidth="1"/>
    <col min="11865" max="11865" width="24.7142857142857" style="5" customWidth="1"/>
    <col min="11866" max="11866" width="15" style="5" customWidth="1"/>
    <col min="11867" max="12111" width="9.14285714285714" style="5"/>
    <col min="12112" max="12112" width="6.42857142857143" style="5" customWidth="1"/>
    <col min="12113" max="12113" width="32" style="5" customWidth="1"/>
    <col min="12114" max="12114" width="14.5714285714286" style="5" customWidth="1"/>
    <col min="12115" max="12115" width="12.4285714285714" style="5" customWidth="1"/>
    <col min="12116" max="12116" width="51.2857142857143" style="5" customWidth="1"/>
    <col min="12117" max="12117" width="14.8571428571429" style="5" customWidth="1"/>
    <col min="12118" max="12118" width="25" style="5" customWidth="1"/>
    <col min="12119" max="12120" width="12.2857142857143" style="5" customWidth="1"/>
    <col min="12121" max="12121" width="24.7142857142857" style="5" customWidth="1"/>
    <col min="12122" max="12122" width="15" style="5" customWidth="1"/>
    <col min="12123" max="12367" width="9.14285714285714" style="5"/>
    <col min="12368" max="12368" width="6.42857142857143" style="5" customWidth="1"/>
    <col min="12369" max="12369" width="32" style="5" customWidth="1"/>
    <col min="12370" max="12370" width="14.5714285714286" style="5" customWidth="1"/>
    <col min="12371" max="12371" width="12.4285714285714" style="5" customWidth="1"/>
    <col min="12372" max="12372" width="51.2857142857143" style="5" customWidth="1"/>
    <col min="12373" max="12373" width="14.8571428571429" style="5" customWidth="1"/>
    <col min="12374" max="12374" width="25" style="5" customWidth="1"/>
    <col min="12375" max="12376" width="12.2857142857143" style="5" customWidth="1"/>
    <col min="12377" max="12377" width="24.7142857142857" style="5" customWidth="1"/>
    <col min="12378" max="12378" width="15" style="5" customWidth="1"/>
    <col min="12379" max="12623" width="9.14285714285714" style="5"/>
    <col min="12624" max="12624" width="6.42857142857143" style="5" customWidth="1"/>
    <col min="12625" max="12625" width="32" style="5" customWidth="1"/>
    <col min="12626" max="12626" width="14.5714285714286" style="5" customWidth="1"/>
    <col min="12627" max="12627" width="12.4285714285714" style="5" customWidth="1"/>
    <col min="12628" max="12628" width="51.2857142857143" style="5" customWidth="1"/>
    <col min="12629" max="12629" width="14.8571428571429" style="5" customWidth="1"/>
    <col min="12630" max="12630" width="25" style="5" customWidth="1"/>
    <col min="12631" max="12632" width="12.2857142857143" style="5" customWidth="1"/>
    <col min="12633" max="12633" width="24.7142857142857" style="5" customWidth="1"/>
    <col min="12634" max="12634" width="15" style="5" customWidth="1"/>
    <col min="12635" max="12879" width="9.14285714285714" style="5"/>
    <col min="12880" max="12880" width="6.42857142857143" style="5" customWidth="1"/>
    <col min="12881" max="12881" width="32" style="5" customWidth="1"/>
    <col min="12882" max="12882" width="14.5714285714286" style="5" customWidth="1"/>
    <col min="12883" max="12883" width="12.4285714285714" style="5" customWidth="1"/>
    <col min="12884" max="12884" width="51.2857142857143" style="5" customWidth="1"/>
    <col min="12885" max="12885" width="14.8571428571429" style="5" customWidth="1"/>
    <col min="12886" max="12886" width="25" style="5" customWidth="1"/>
    <col min="12887" max="12888" width="12.2857142857143" style="5" customWidth="1"/>
    <col min="12889" max="12889" width="24.7142857142857" style="5" customWidth="1"/>
    <col min="12890" max="12890" width="15" style="5" customWidth="1"/>
    <col min="12891" max="13135" width="9.14285714285714" style="5"/>
    <col min="13136" max="13136" width="6.42857142857143" style="5" customWidth="1"/>
    <col min="13137" max="13137" width="32" style="5" customWidth="1"/>
    <col min="13138" max="13138" width="14.5714285714286" style="5" customWidth="1"/>
    <col min="13139" max="13139" width="12.4285714285714" style="5" customWidth="1"/>
    <col min="13140" max="13140" width="51.2857142857143" style="5" customWidth="1"/>
    <col min="13141" max="13141" width="14.8571428571429" style="5" customWidth="1"/>
    <col min="13142" max="13142" width="25" style="5" customWidth="1"/>
    <col min="13143" max="13144" width="12.2857142857143" style="5" customWidth="1"/>
    <col min="13145" max="13145" width="24.7142857142857" style="5" customWidth="1"/>
    <col min="13146" max="13146" width="15" style="5" customWidth="1"/>
    <col min="13147" max="13391" width="9.14285714285714" style="5"/>
    <col min="13392" max="13392" width="6.42857142857143" style="5" customWidth="1"/>
    <col min="13393" max="13393" width="32" style="5" customWidth="1"/>
    <col min="13394" max="13394" width="14.5714285714286" style="5" customWidth="1"/>
    <col min="13395" max="13395" width="12.4285714285714" style="5" customWidth="1"/>
    <col min="13396" max="13396" width="51.2857142857143" style="5" customWidth="1"/>
    <col min="13397" max="13397" width="14.8571428571429" style="5" customWidth="1"/>
    <col min="13398" max="13398" width="25" style="5" customWidth="1"/>
    <col min="13399" max="13400" width="12.2857142857143" style="5" customWidth="1"/>
    <col min="13401" max="13401" width="24.7142857142857" style="5" customWidth="1"/>
    <col min="13402" max="13402" width="15" style="5" customWidth="1"/>
    <col min="13403" max="13647" width="9.14285714285714" style="5"/>
    <col min="13648" max="13648" width="6.42857142857143" style="5" customWidth="1"/>
    <col min="13649" max="13649" width="32" style="5" customWidth="1"/>
    <col min="13650" max="13650" width="14.5714285714286" style="5" customWidth="1"/>
    <col min="13651" max="13651" width="12.4285714285714" style="5" customWidth="1"/>
    <col min="13652" max="13652" width="51.2857142857143" style="5" customWidth="1"/>
    <col min="13653" max="13653" width="14.8571428571429" style="5" customWidth="1"/>
    <col min="13654" max="13654" width="25" style="5" customWidth="1"/>
    <col min="13655" max="13656" width="12.2857142857143" style="5" customWidth="1"/>
    <col min="13657" max="13657" width="24.7142857142857" style="5" customWidth="1"/>
    <col min="13658" max="13658" width="15" style="5" customWidth="1"/>
    <col min="13659" max="13903" width="9.14285714285714" style="5"/>
    <col min="13904" max="13904" width="6.42857142857143" style="5" customWidth="1"/>
    <col min="13905" max="13905" width="32" style="5" customWidth="1"/>
    <col min="13906" max="13906" width="14.5714285714286" style="5" customWidth="1"/>
    <col min="13907" max="13907" width="12.4285714285714" style="5" customWidth="1"/>
    <col min="13908" max="13908" width="51.2857142857143" style="5" customWidth="1"/>
    <col min="13909" max="13909" width="14.8571428571429" style="5" customWidth="1"/>
    <col min="13910" max="13910" width="25" style="5" customWidth="1"/>
    <col min="13911" max="13912" width="12.2857142857143" style="5" customWidth="1"/>
    <col min="13913" max="13913" width="24.7142857142857" style="5" customWidth="1"/>
    <col min="13914" max="13914" width="15" style="5" customWidth="1"/>
    <col min="13915" max="14159" width="9.14285714285714" style="5"/>
    <col min="14160" max="14160" width="6.42857142857143" style="5" customWidth="1"/>
    <col min="14161" max="14161" width="32" style="5" customWidth="1"/>
    <col min="14162" max="14162" width="14.5714285714286" style="5" customWidth="1"/>
    <col min="14163" max="14163" width="12.4285714285714" style="5" customWidth="1"/>
    <col min="14164" max="14164" width="51.2857142857143" style="5" customWidth="1"/>
    <col min="14165" max="14165" width="14.8571428571429" style="5" customWidth="1"/>
    <col min="14166" max="14166" width="25" style="5" customWidth="1"/>
    <col min="14167" max="14168" width="12.2857142857143" style="5" customWidth="1"/>
    <col min="14169" max="14169" width="24.7142857142857" style="5" customWidth="1"/>
    <col min="14170" max="14170" width="15" style="5" customWidth="1"/>
    <col min="14171" max="14415" width="9.14285714285714" style="5"/>
    <col min="14416" max="14416" width="6.42857142857143" style="5" customWidth="1"/>
    <col min="14417" max="14417" width="32" style="5" customWidth="1"/>
    <col min="14418" max="14418" width="14.5714285714286" style="5" customWidth="1"/>
    <col min="14419" max="14419" width="12.4285714285714" style="5" customWidth="1"/>
    <col min="14420" max="14420" width="51.2857142857143" style="5" customWidth="1"/>
    <col min="14421" max="14421" width="14.8571428571429" style="5" customWidth="1"/>
    <col min="14422" max="14422" width="25" style="5" customWidth="1"/>
    <col min="14423" max="14424" width="12.2857142857143" style="5" customWidth="1"/>
    <col min="14425" max="14425" width="24.7142857142857" style="5" customWidth="1"/>
    <col min="14426" max="14426" width="15" style="5" customWidth="1"/>
    <col min="14427" max="14671" width="9.14285714285714" style="5"/>
    <col min="14672" max="14672" width="6.42857142857143" style="5" customWidth="1"/>
    <col min="14673" max="14673" width="32" style="5" customWidth="1"/>
    <col min="14674" max="14674" width="14.5714285714286" style="5" customWidth="1"/>
    <col min="14675" max="14675" width="12.4285714285714" style="5" customWidth="1"/>
    <col min="14676" max="14676" width="51.2857142857143" style="5" customWidth="1"/>
    <col min="14677" max="14677" width="14.8571428571429" style="5" customWidth="1"/>
    <col min="14678" max="14678" width="25" style="5" customWidth="1"/>
    <col min="14679" max="14680" width="12.2857142857143" style="5" customWidth="1"/>
    <col min="14681" max="14681" width="24.7142857142857" style="5" customWidth="1"/>
    <col min="14682" max="14682" width="15" style="5" customWidth="1"/>
    <col min="14683" max="14927" width="9.14285714285714" style="5"/>
    <col min="14928" max="14928" width="6.42857142857143" style="5" customWidth="1"/>
    <col min="14929" max="14929" width="32" style="5" customWidth="1"/>
    <col min="14930" max="14930" width="14.5714285714286" style="5" customWidth="1"/>
    <col min="14931" max="14931" width="12.4285714285714" style="5" customWidth="1"/>
    <col min="14932" max="14932" width="51.2857142857143" style="5" customWidth="1"/>
    <col min="14933" max="14933" width="14.8571428571429" style="5" customWidth="1"/>
    <col min="14934" max="14934" width="25" style="5" customWidth="1"/>
    <col min="14935" max="14936" width="12.2857142857143" style="5" customWidth="1"/>
    <col min="14937" max="14937" width="24.7142857142857" style="5" customWidth="1"/>
    <col min="14938" max="14938" width="15" style="5" customWidth="1"/>
    <col min="14939" max="15183" width="9.14285714285714" style="5"/>
    <col min="15184" max="15184" width="6.42857142857143" style="5" customWidth="1"/>
    <col min="15185" max="15185" width="32" style="5" customWidth="1"/>
    <col min="15186" max="15186" width="14.5714285714286" style="5" customWidth="1"/>
    <col min="15187" max="15187" width="12.4285714285714" style="5" customWidth="1"/>
    <col min="15188" max="15188" width="51.2857142857143" style="5" customWidth="1"/>
    <col min="15189" max="15189" width="14.8571428571429" style="5" customWidth="1"/>
    <col min="15190" max="15190" width="25" style="5" customWidth="1"/>
    <col min="15191" max="15192" width="12.2857142857143" style="5" customWidth="1"/>
    <col min="15193" max="15193" width="24.7142857142857" style="5" customWidth="1"/>
    <col min="15194" max="15194" width="15" style="5" customWidth="1"/>
    <col min="15195" max="15439" width="9.14285714285714" style="5"/>
    <col min="15440" max="15440" width="6.42857142857143" style="5" customWidth="1"/>
    <col min="15441" max="15441" width="32" style="5" customWidth="1"/>
    <col min="15442" max="15442" width="14.5714285714286" style="5" customWidth="1"/>
    <col min="15443" max="15443" width="12.4285714285714" style="5" customWidth="1"/>
    <col min="15444" max="15444" width="51.2857142857143" style="5" customWidth="1"/>
    <col min="15445" max="15445" width="14.8571428571429" style="5" customWidth="1"/>
    <col min="15446" max="15446" width="25" style="5" customWidth="1"/>
    <col min="15447" max="15448" width="12.2857142857143" style="5" customWidth="1"/>
    <col min="15449" max="15449" width="24.7142857142857" style="5" customWidth="1"/>
    <col min="15450" max="15450" width="15" style="5" customWidth="1"/>
    <col min="15451" max="15695" width="9.14285714285714" style="5"/>
    <col min="15696" max="15696" width="6.42857142857143" style="5" customWidth="1"/>
    <col min="15697" max="15697" width="32" style="5" customWidth="1"/>
    <col min="15698" max="15698" width="14.5714285714286" style="5" customWidth="1"/>
    <col min="15699" max="15699" width="12.4285714285714" style="5" customWidth="1"/>
    <col min="15700" max="15700" width="51.2857142857143" style="5" customWidth="1"/>
    <col min="15701" max="15701" width="14.8571428571429" style="5" customWidth="1"/>
    <col min="15702" max="15702" width="25" style="5" customWidth="1"/>
    <col min="15703" max="15704" width="12.2857142857143" style="5" customWidth="1"/>
    <col min="15705" max="15705" width="24.7142857142857" style="5" customWidth="1"/>
    <col min="15706" max="15706" width="15" style="5" customWidth="1"/>
    <col min="15707" max="15951" width="9.14285714285714" style="5"/>
    <col min="15952" max="15952" width="6.42857142857143" style="5" customWidth="1"/>
    <col min="15953" max="15953" width="32" style="5" customWidth="1"/>
    <col min="15954" max="15954" width="14.5714285714286" style="5" customWidth="1"/>
    <col min="15955" max="15955" width="12.4285714285714" style="5" customWidth="1"/>
    <col min="15956" max="15956" width="51.2857142857143" style="5" customWidth="1"/>
    <col min="15957" max="15957" width="14.8571428571429" style="5" customWidth="1"/>
    <col min="15958" max="15958" width="25" style="5" customWidth="1"/>
    <col min="15959" max="15960" width="12.2857142857143" style="5" customWidth="1"/>
    <col min="15961" max="15961" width="24.7142857142857" style="5" customWidth="1"/>
    <col min="15962" max="15962" width="15" style="5" customWidth="1"/>
    <col min="15963" max="16384" width="9.14285714285714" style="5"/>
  </cols>
  <sheetData>
    <row r="1" s="1" customFormat="1" ht="23.25" spans="1:13">
      <c r="A1" s="12" t="s">
        <v>152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="1" customFormat="1" ht="23.25" spans="1:13">
      <c r="A2" s="12" t="s">
        <v>153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="1" customFormat="1" ht="23.25" spans="1:13">
      <c r="A3" s="13" t="str">
        <f>+งบรายจ่ายอื่น!A4</f>
        <v>ตั้งแต่วันที่ 1  ตุลาคม 2564 ถึงวันที่ 30 เมษายน 2565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="2" customFormat="1" spans="1:13">
      <c r="A4" s="14" t="s">
        <v>155</v>
      </c>
      <c r="B4" s="14" t="s">
        <v>156</v>
      </c>
      <c r="C4" s="15" t="s">
        <v>157</v>
      </c>
      <c r="D4" s="15" t="s">
        <v>158</v>
      </c>
      <c r="E4" s="16" t="s">
        <v>159</v>
      </c>
      <c r="F4" s="15" t="s">
        <v>160</v>
      </c>
      <c r="G4" s="17" t="s">
        <v>161</v>
      </c>
      <c r="H4" s="14" t="s">
        <v>117</v>
      </c>
      <c r="I4" s="14" t="s">
        <v>26</v>
      </c>
      <c r="J4" s="39" t="s">
        <v>162</v>
      </c>
      <c r="K4" s="14" t="s">
        <v>163</v>
      </c>
      <c r="L4" s="17" t="s">
        <v>164</v>
      </c>
      <c r="M4" s="40" t="s">
        <v>165</v>
      </c>
    </row>
    <row r="5" s="2" customFormat="1" spans="1:13">
      <c r="A5" s="18" t="s">
        <v>105</v>
      </c>
      <c r="B5" s="18"/>
      <c r="C5" s="19"/>
      <c r="D5" s="19"/>
      <c r="E5" s="20"/>
      <c r="F5" s="19"/>
      <c r="G5" s="21"/>
      <c r="H5" s="18"/>
      <c r="I5" s="18" t="s">
        <v>166</v>
      </c>
      <c r="J5" s="41"/>
      <c r="K5" s="18" t="s">
        <v>118</v>
      </c>
      <c r="L5" s="21"/>
      <c r="M5" s="40"/>
    </row>
    <row r="6" ht="63" spans="1:13">
      <c r="A6" s="22">
        <v>1</v>
      </c>
      <c r="B6" s="23" t="s">
        <v>167</v>
      </c>
      <c r="C6" s="24">
        <v>1600600001</v>
      </c>
      <c r="D6" s="24">
        <v>6411220</v>
      </c>
      <c r="E6" s="25" t="s">
        <v>413</v>
      </c>
      <c r="F6" s="26">
        <v>7016974568</v>
      </c>
      <c r="G6" s="27" t="s">
        <v>429</v>
      </c>
      <c r="H6" s="28">
        <v>140000</v>
      </c>
      <c r="I6" s="42">
        <v>0</v>
      </c>
      <c r="J6" s="42">
        <f t="shared" ref="J6:J23" si="0">+H6-I6</f>
        <v>140000</v>
      </c>
      <c r="K6" s="43">
        <f t="shared" ref="K6:K24" si="1">+I6*100/H6</f>
        <v>0</v>
      </c>
      <c r="L6" s="44" t="s">
        <v>430</v>
      </c>
      <c r="M6" s="45" t="s">
        <v>1008</v>
      </c>
    </row>
    <row r="7" ht="63" spans="1:13">
      <c r="A7" s="22">
        <v>2</v>
      </c>
      <c r="B7" s="23" t="s">
        <v>167</v>
      </c>
      <c r="C7" s="24">
        <v>1600600001</v>
      </c>
      <c r="D7" s="24">
        <v>6411220</v>
      </c>
      <c r="E7" s="25" t="s">
        <v>413</v>
      </c>
      <c r="F7" s="26">
        <v>7016979517</v>
      </c>
      <c r="G7" s="27" t="s">
        <v>432</v>
      </c>
      <c r="H7" s="28">
        <v>498620</v>
      </c>
      <c r="I7" s="42">
        <v>0</v>
      </c>
      <c r="J7" s="42">
        <f t="shared" si="0"/>
        <v>498620</v>
      </c>
      <c r="K7" s="43">
        <f t="shared" si="1"/>
        <v>0</v>
      </c>
      <c r="L7" s="44" t="s">
        <v>430</v>
      </c>
      <c r="M7" s="45" t="s">
        <v>1009</v>
      </c>
    </row>
    <row r="8" ht="63" spans="1:13">
      <c r="A8" s="22">
        <v>3</v>
      </c>
      <c r="B8" s="23" t="s">
        <v>167</v>
      </c>
      <c r="C8" s="24">
        <v>1600600001</v>
      </c>
      <c r="D8" s="24">
        <v>6411230</v>
      </c>
      <c r="E8" s="25" t="s">
        <v>416</v>
      </c>
      <c r="F8" s="26">
        <v>7016970257</v>
      </c>
      <c r="G8" s="27" t="s">
        <v>439</v>
      </c>
      <c r="H8" s="28">
        <v>2986406</v>
      </c>
      <c r="I8" s="42">
        <v>0</v>
      </c>
      <c r="J8" s="42">
        <f t="shared" si="0"/>
        <v>2986406</v>
      </c>
      <c r="K8" s="43">
        <f t="shared" si="1"/>
        <v>0</v>
      </c>
      <c r="L8" s="44" t="s">
        <v>430</v>
      </c>
      <c r="M8" s="45" t="s">
        <v>1010</v>
      </c>
    </row>
    <row r="9" ht="63" spans="1:13">
      <c r="A9" s="22">
        <v>4</v>
      </c>
      <c r="B9" s="23" t="s">
        <v>167</v>
      </c>
      <c r="C9" s="24">
        <v>1600600001</v>
      </c>
      <c r="D9" s="24">
        <v>6411310</v>
      </c>
      <c r="E9" s="29" t="s">
        <v>456</v>
      </c>
      <c r="F9" s="26">
        <v>7016870530</v>
      </c>
      <c r="G9" s="30" t="s">
        <v>457</v>
      </c>
      <c r="H9" s="28">
        <v>498000</v>
      </c>
      <c r="I9" s="42">
        <f>498000-323700</f>
        <v>174300</v>
      </c>
      <c r="J9" s="42">
        <f t="shared" si="0"/>
        <v>323700</v>
      </c>
      <c r="K9" s="43">
        <f t="shared" si="1"/>
        <v>35</v>
      </c>
      <c r="L9" s="44" t="s">
        <v>458</v>
      </c>
      <c r="M9" s="45" t="s">
        <v>1011</v>
      </c>
    </row>
    <row r="10" ht="63" spans="1:13">
      <c r="A10" s="22">
        <v>5</v>
      </c>
      <c r="B10" s="23" t="s">
        <v>167</v>
      </c>
      <c r="C10" s="24">
        <v>1600600001</v>
      </c>
      <c r="D10" s="24">
        <v>6411310</v>
      </c>
      <c r="E10" s="29" t="s">
        <v>459</v>
      </c>
      <c r="F10" s="26">
        <v>7016872205</v>
      </c>
      <c r="G10" s="30" t="s">
        <v>460</v>
      </c>
      <c r="H10" s="28">
        <v>481500</v>
      </c>
      <c r="I10" s="42">
        <f>481500-72225</f>
        <v>409275</v>
      </c>
      <c r="J10" s="42">
        <f t="shared" si="0"/>
        <v>72225</v>
      </c>
      <c r="K10" s="43">
        <f t="shared" si="1"/>
        <v>85</v>
      </c>
      <c r="L10" s="44" t="s">
        <v>461</v>
      </c>
      <c r="M10" s="45" t="s">
        <v>1012</v>
      </c>
    </row>
    <row r="11" ht="90.75" customHeight="1" spans="1:13">
      <c r="A11" s="22">
        <v>6</v>
      </c>
      <c r="B11" s="23" t="s">
        <v>167</v>
      </c>
      <c r="C11" s="24">
        <v>1600600001</v>
      </c>
      <c r="D11" s="24">
        <v>6411310</v>
      </c>
      <c r="E11" s="29" t="s">
        <v>462</v>
      </c>
      <c r="F11" s="26">
        <v>7016901578</v>
      </c>
      <c r="G11" s="30" t="s">
        <v>463</v>
      </c>
      <c r="H11" s="28">
        <v>492200</v>
      </c>
      <c r="I11" s="42">
        <f>+H11-418370</f>
        <v>73830</v>
      </c>
      <c r="J11" s="42">
        <f t="shared" si="0"/>
        <v>418370</v>
      </c>
      <c r="K11" s="43">
        <f t="shared" si="1"/>
        <v>15</v>
      </c>
      <c r="L11" s="44" t="s">
        <v>464</v>
      </c>
      <c r="M11" s="45" t="s">
        <v>1013</v>
      </c>
    </row>
    <row r="12" ht="84" spans="1:13">
      <c r="A12" s="22">
        <v>7</v>
      </c>
      <c r="B12" s="23" t="s">
        <v>167</v>
      </c>
      <c r="C12" s="24">
        <v>1600600001</v>
      </c>
      <c r="D12" s="24">
        <v>6411310</v>
      </c>
      <c r="E12" s="29" t="s">
        <v>453</v>
      </c>
      <c r="F12" s="26">
        <v>7016936892</v>
      </c>
      <c r="G12" s="30" t="s">
        <v>465</v>
      </c>
      <c r="H12" s="28">
        <v>486850</v>
      </c>
      <c r="I12" s="42">
        <f>486850-73027.5</f>
        <v>413822.5</v>
      </c>
      <c r="J12" s="42">
        <f t="shared" si="0"/>
        <v>73027.5</v>
      </c>
      <c r="K12" s="43">
        <f t="shared" si="1"/>
        <v>85</v>
      </c>
      <c r="L12" s="44" t="s">
        <v>464</v>
      </c>
      <c r="M12" s="45" t="s">
        <v>1014</v>
      </c>
    </row>
    <row r="13" ht="63" spans="1:13">
      <c r="A13" s="22">
        <v>8</v>
      </c>
      <c r="B13" s="23" t="s">
        <v>167</v>
      </c>
      <c r="C13" s="24">
        <v>1600600001</v>
      </c>
      <c r="D13" s="24">
        <v>6411310</v>
      </c>
      <c r="E13" s="25" t="s">
        <v>466</v>
      </c>
      <c r="F13" s="26">
        <v>7016974167</v>
      </c>
      <c r="G13" s="31" t="s">
        <v>467</v>
      </c>
      <c r="H13" s="28">
        <v>385200</v>
      </c>
      <c r="I13" s="42">
        <v>0</v>
      </c>
      <c r="J13" s="42">
        <f t="shared" si="0"/>
        <v>385200</v>
      </c>
      <c r="K13" s="43">
        <f t="shared" si="1"/>
        <v>0</v>
      </c>
      <c r="L13" s="44" t="s">
        <v>468</v>
      </c>
      <c r="M13" s="45" t="s">
        <v>1009</v>
      </c>
    </row>
    <row r="14" ht="54" customHeight="1" spans="1:13">
      <c r="A14" s="22">
        <v>9</v>
      </c>
      <c r="B14" s="23" t="s">
        <v>167</v>
      </c>
      <c r="C14" s="24">
        <v>1600600001</v>
      </c>
      <c r="D14" s="24">
        <v>6411320</v>
      </c>
      <c r="E14" s="25" t="s">
        <v>168</v>
      </c>
      <c r="F14" s="26">
        <v>2000536758</v>
      </c>
      <c r="G14" s="32" t="s">
        <v>169</v>
      </c>
      <c r="H14" s="28">
        <v>5141555</v>
      </c>
      <c r="I14" s="42">
        <v>0</v>
      </c>
      <c r="J14" s="42">
        <f t="shared" si="0"/>
        <v>5141555</v>
      </c>
      <c r="K14" s="43">
        <f t="shared" si="1"/>
        <v>0</v>
      </c>
      <c r="L14" s="40" t="s">
        <v>170</v>
      </c>
      <c r="M14" s="46" t="s">
        <v>1015</v>
      </c>
    </row>
    <row r="15" ht="63" spans="1:13">
      <c r="A15" s="22">
        <v>10</v>
      </c>
      <c r="B15" s="23" t="s">
        <v>167</v>
      </c>
      <c r="C15" s="24">
        <v>1600600001</v>
      </c>
      <c r="D15" s="24">
        <v>6411320</v>
      </c>
      <c r="E15" s="25" t="s">
        <v>171</v>
      </c>
      <c r="F15" s="26">
        <v>2000544930</v>
      </c>
      <c r="G15" s="32" t="s">
        <v>172</v>
      </c>
      <c r="H15" s="28">
        <v>14508000</v>
      </c>
      <c r="I15" s="42">
        <f>14508000-10466085.6</f>
        <v>4041914.4</v>
      </c>
      <c r="J15" s="42">
        <f t="shared" si="0"/>
        <v>10466085.6</v>
      </c>
      <c r="K15" s="43">
        <f t="shared" si="1"/>
        <v>27.8599007444169</v>
      </c>
      <c r="L15" s="40" t="s">
        <v>173</v>
      </c>
      <c r="M15" s="46" t="s">
        <v>1015</v>
      </c>
    </row>
    <row r="16" ht="42" spans="1:13">
      <c r="A16" s="22">
        <v>11</v>
      </c>
      <c r="B16" s="23" t="s">
        <v>167</v>
      </c>
      <c r="C16" s="24">
        <v>1600600001</v>
      </c>
      <c r="D16" s="24">
        <v>6411320</v>
      </c>
      <c r="E16" s="25" t="s">
        <v>174</v>
      </c>
      <c r="F16" s="26">
        <v>2000544933</v>
      </c>
      <c r="G16" s="32" t="s">
        <v>175</v>
      </c>
      <c r="H16" s="28">
        <v>27525700</v>
      </c>
      <c r="I16" s="42">
        <f>+H16-15735700</f>
        <v>11790000</v>
      </c>
      <c r="J16" s="42">
        <f t="shared" si="0"/>
        <v>15735700</v>
      </c>
      <c r="K16" s="43">
        <f t="shared" si="1"/>
        <v>42.8326981693472</v>
      </c>
      <c r="L16" s="44" t="s">
        <v>176</v>
      </c>
      <c r="M16" s="46" t="s">
        <v>1015</v>
      </c>
    </row>
    <row r="17" ht="52.5" customHeight="1" spans="1:13">
      <c r="A17" s="22">
        <v>12</v>
      </c>
      <c r="B17" s="23" t="s">
        <v>167</v>
      </c>
      <c r="C17" s="24">
        <v>1600600001</v>
      </c>
      <c r="D17" s="24">
        <v>6411320</v>
      </c>
      <c r="E17" s="25" t="s">
        <v>177</v>
      </c>
      <c r="F17" s="26">
        <v>2000544935</v>
      </c>
      <c r="G17" s="32" t="s">
        <v>178</v>
      </c>
      <c r="H17" s="28">
        <v>35709073</v>
      </c>
      <c r="I17" s="42">
        <f>35709073-30758211</f>
        <v>4950862</v>
      </c>
      <c r="J17" s="42">
        <f t="shared" si="0"/>
        <v>30758211</v>
      </c>
      <c r="K17" s="43">
        <f t="shared" si="1"/>
        <v>13.8644371977956</v>
      </c>
      <c r="L17" s="44" t="s">
        <v>179</v>
      </c>
      <c r="M17" s="46" t="s">
        <v>1015</v>
      </c>
    </row>
    <row r="18" ht="105" spans="1:13">
      <c r="A18" s="22">
        <v>13</v>
      </c>
      <c r="B18" s="23" t="s">
        <v>184</v>
      </c>
      <c r="C18" s="24">
        <v>1600600052</v>
      </c>
      <c r="D18" s="24">
        <v>6411320</v>
      </c>
      <c r="E18" s="25" t="s">
        <v>185</v>
      </c>
      <c r="F18" s="26">
        <v>7015551847</v>
      </c>
      <c r="G18" s="32" t="s">
        <v>186</v>
      </c>
      <c r="H18" s="28">
        <v>869050</v>
      </c>
      <c r="I18" s="42">
        <f>+H18-401100</f>
        <v>467950</v>
      </c>
      <c r="J18" s="42">
        <f t="shared" si="0"/>
        <v>401100</v>
      </c>
      <c r="K18" s="43">
        <f t="shared" si="1"/>
        <v>53.8461538461538</v>
      </c>
      <c r="L18" s="44" t="s">
        <v>187</v>
      </c>
      <c r="M18" s="45" t="s">
        <v>1016</v>
      </c>
    </row>
    <row r="19" ht="57.75" customHeight="1" spans="1:13">
      <c r="A19" s="22">
        <v>14</v>
      </c>
      <c r="B19" s="23" t="s">
        <v>188</v>
      </c>
      <c r="C19" s="24">
        <v>1600600094</v>
      </c>
      <c r="D19" s="24">
        <v>6411320</v>
      </c>
      <c r="E19" s="25" t="s">
        <v>189</v>
      </c>
      <c r="F19" s="26">
        <v>2000523379</v>
      </c>
      <c r="G19" s="32" t="s">
        <v>190</v>
      </c>
      <c r="H19" s="28">
        <v>1891891.2</v>
      </c>
      <c r="I19" s="42">
        <f>1891891.2-1731414.4</f>
        <v>160476.8</v>
      </c>
      <c r="J19" s="42">
        <f t="shared" si="0"/>
        <v>1731414.4</v>
      </c>
      <c r="K19" s="43">
        <f t="shared" si="1"/>
        <v>8.48234824497307</v>
      </c>
      <c r="L19" s="44" t="s">
        <v>191</v>
      </c>
      <c r="M19" s="46" t="s">
        <v>1015</v>
      </c>
    </row>
    <row r="20" ht="57.75" customHeight="1" spans="1:13">
      <c r="A20" s="22">
        <v>15</v>
      </c>
      <c r="B20" s="23" t="s">
        <v>188</v>
      </c>
      <c r="C20" s="24">
        <v>1600600094</v>
      </c>
      <c r="D20" s="24">
        <v>6411320</v>
      </c>
      <c r="E20" s="25" t="s">
        <v>189</v>
      </c>
      <c r="F20" s="26">
        <v>2000545471</v>
      </c>
      <c r="G20" s="32" t="s">
        <v>190</v>
      </c>
      <c r="H20" s="28">
        <v>4000000</v>
      </c>
      <c r="I20" s="42">
        <v>0</v>
      </c>
      <c r="J20" s="42">
        <f t="shared" si="0"/>
        <v>4000000</v>
      </c>
      <c r="K20" s="43">
        <f t="shared" si="1"/>
        <v>0</v>
      </c>
      <c r="L20" s="44" t="s">
        <v>191</v>
      </c>
      <c r="M20" s="46" t="s">
        <v>1015</v>
      </c>
    </row>
    <row r="21" ht="57.75" customHeight="1" spans="1:13">
      <c r="A21" s="22">
        <v>16</v>
      </c>
      <c r="B21" s="23" t="s">
        <v>188</v>
      </c>
      <c r="C21" s="24">
        <v>1600600094</v>
      </c>
      <c r="D21" s="24">
        <v>6411320</v>
      </c>
      <c r="E21" s="25" t="s">
        <v>189</v>
      </c>
      <c r="F21" s="26">
        <v>2000545475</v>
      </c>
      <c r="G21" s="32" t="s">
        <v>190</v>
      </c>
      <c r="H21" s="28">
        <v>8000000</v>
      </c>
      <c r="I21" s="42">
        <v>0</v>
      </c>
      <c r="J21" s="42">
        <f t="shared" si="0"/>
        <v>8000000</v>
      </c>
      <c r="K21" s="43">
        <f t="shared" si="1"/>
        <v>0</v>
      </c>
      <c r="L21" s="44" t="s">
        <v>191</v>
      </c>
      <c r="M21" s="46" t="s">
        <v>1015</v>
      </c>
    </row>
    <row r="22" ht="101.25" customHeight="1" spans="1:13">
      <c r="A22" s="22">
        <v>17</v>
      </c>
      <c r="B22" s="33" t="s">
        <v>192</v>
      </c>
      <c r="C22" s="24">
        <v>1600600100</v>
      </c>
      <c r="D22" s="24">
        <v>6411320</v>
      </c>
      <c r="E22" s="25" t="s">
        <v>193</v>
      </c>
      <c r="F22" s="26">
        <v>7015519780</v>
      </c>
      <c r="G22" s="32" t="s">
        <v>194</v>
      </c>
      <c r="H22" s="28">
        <v>5123000</v>
      </c>
      <c r="I22" s="42">
        <f>5123000-2779500</f>
        <v>2343500</v>
      </c>
      <c r="J22" s="42">
        <f t="shared" si="0"/>
        <v>2779500</v>
      </c>
      <c r="K22" s="43">
        <f t="shared" si="1"/>
        <v>45.7446808510638</v>
      </c>
      <c r="L22" s="44" t="s">
        <v>195</v>
      </c>
      <c r="M22" s="45" t="s">
        <v>1017</v>
      </c>
    </row>
    <row r="23" ht="99" customHeight="1" spans="1:13">
      <c r="A23" s="22">
        <v>18</v>
      </c>
      <c r="B23" s="23" t="s">
        <v>167</v>
      </c>
      <c r="C23" s="24">
        <v>1600600001</v>
      </c>
      <c r="D23" s="24">
        <v>6411500</v>
      </c>
      <c r="E23" s="29" t="s">
        <v>490</v>
      </c>
      <c r="F23" s="26">
        <v>7016960871</v>
      </c>
      <c r="G23" s="31" t="s">
        <v>491</v>
      </c>
      <c r="H23" s="28">
        <v>4022000</v>
      </c>
      <c r="I23" s="42">
        <v>0</v>
      </c>
      <c r="J23" s="42">
        <f t="shared" si="0"/>
        <v>4022000</v>
      </c>
      <c r="K23" s="43">
        <f t="shared" si="1"/>
        <v>0</v>
      </c>
      <c r="L23" s="44" t="s">
        <v>492</v>
      </c>
      <c r="M23" s="45" t="s">
        <v>1018</v>
      </c>
    </row>
    <row r="24" s="3" customFormat="1" ht="36" customHeight="1" spans="1:13">
      <c r="A24" s="34" t="s">
        <v>350</v>
      </c>
      <c r="B24" s="34"/>
      <c r="C24" s="34"/>
      <c r="D24" s="34"/>
      <c r="E24" s="34"/>
      <c r="F24" s="34"/>
      <c r="G24" s="34"/>
      <c r="H24" s="35">
        <f>SUM(H6:H23)</f>
        <v>112759045.2</v>
      </c>
      <c r="I24" s="35">
        <f>SUM(I6:I23)</f>
        <v>24825930.7</v>
      </c>
      <c r="J24" s="35">
        <f>SUM(J6:J23)</f>
        <v>87933114.5</v>
      </c>
      <c r="K24" s="47">
        <f t="shared" si="1"/>
        <v>22.0167975491158</v>
      </c>
      <c r="L24" s="48"/>
      <c r="M24" s="49"/>
    </row>
    <row r="25" hidden="1" spans="1:12">
      <c r="A25" s="22"/>
      <c r="B25" s="23"/>
      <c r="C25" s="36"/>
      <c r="D25" s="36"/>
      <c r="E25" s="29"/>
      <c r="F25" s="36"/>
      <c r="G25" s="33" t="s">
        <v>15</v>
      </c>
      <c r="H25" s="37" t="e">
        <f>+#REF!+#REF!+#REF!+#REF!+H9+H10+H11+H12+H13+#REF!+#REF!</f>
        <v>#REF!</v>
      </c>
      <c r="I25" s="37" t="e">
        <f>+#REF!+#REF!+#REF!+#REF!+I9+I10+I11+I12+I13+#REF!+#REF!</f>
        <v>#REF!</v>
      </c>
      <c r="J25" s="37" t="e">
        <f>+#REF!+#REF!+#REF!+#REF!+J9+J10+J11+J12+J13+#REF!+#REF!</f>
        <v>#REF!</v>
      </c>
      <c r="K25" s="46"/>
      <c r="L25" s="50" t="e">
        <f>+I25/1000000</f>
        <v>#REF!</v>
      </c>
    </row>
    <row r="26" hidden="1" spans="1:12">
      <c r="A26" s="22"/>
      <c r="B26" s="23"/>
      <c r="C26" s="36"/>
      <c r="D26" s="36"/>
      <c r="E26" s="29"/>
      <c r="F26" s="36"/>
      <c r="G26" s="33" t="s">
        <v>222</v>
      </c>
      <c r="H26" s="38" t="e">
        <f>+H14+H15+H16+H17+#REF!+H18+#REF!+H19+H20+H21+H22+#REF!+#REF!+#REF!+#REF!+#REF!+#REF!+#REF!</f>
        <v>#REF!</v>
      </c>
      <c r="I26" s="38" t="e">
        <f>+I14+I15+I16+I17+#REF!+I18+#REF!+I19+I20+I21+I22+#REF!+#REF!+#REF!+#REF!+#REF!+#REF!+#REF!</f>
        <v>#REF!</v>
      </c>
      <c r="J26" s="38" t="e">
        <f>+J14+J15+J16+J17+#REF!+J18+#REF!+J19+J20+J21+J22+#REF!+#REF!+#REF!+#REF!+#REF!+#REF!+#REF!</f>
        <v>#REF!</v>
      </c>
      <c r="K26" s="46"/>
      <c r="L26" s="50" t="e">
        <f t="shared" ref="L26:L27" si="2">+I26/1000000</f>
        <v>#REF!</v>
      </c>
    </row>
    <row r="27" hidden="1" spans="1:12">
      <c r="A27" s="22"/>
      <c r="B27" s="23"/>
      <c r="C27" s="36"/>
      <c r="D27" s="36"/>
      <c r="E27" s="29"/>
      <c r="F27" s="36"/>
      <c r="G27" s="33" t="s">
        <v>221</v>
      </c>
      <c r="H27" s="37" t="e">
        <f>SUM(H25:H26)</f>
        <v>#REF!</v>
      </c>
      <c r="I27" s="37" t="e">
        <f t="shared" ref="I27:J27" si="3">SUM(I25:I26)</f>
        <v>#REF!</v>
      </c>
      <c r="J27" s="37" t="e">
        <f t="shared" si="3"/>
        <v>#REF!</v>
      </c>
      <c r="K27" s="46"/>
      <c r="L27" s="50" t="e">
        <f t="shared" si="2"/>
        <v>#REF!</v>
      </c>
    </row>
    <row r="28" hidden="1" spans="12:12">
      <c r="L28" s="50"/>
    </row>
    <row r="29" hidden="1"/>
    <row r="30" hidden="1"/>
  </sheetData>
  <mergeCells count="14">
    <mergeCell ref="A1:M1"/>
    <mergeCell ref="A2:M2"/>
    <mergeCell ref="A3:M3"/>
    <mergeCell ref="A24:G24"/>
    <mergeCell ref="B4:B5"/>
    <mergeCell ref="C4:C5"/>
    <mergeCell ref="D4:D5"/>
    <mergeCell ref="E4:E5"/>
    <mergeCell ref="F4:F5"/>
    <mergeCell ref="G4:G5"/>
    <mergeCell ref="H4:H5"/>
    <mergeCell ref="J4:J5"/>
    <mergeCell ref="L4:L5"/>
    <mergeCell ref="M4:M5"/>
  </mergeCells>
  <pageMargins left="0.433070866141732" right="0" top="0.748031496062992" bottom="0.748031496062992" header="0.31496062992126" footer="0.31496062992126"/>
  <pageSetup paperSize="9" scale="61" orientation="landscape"/>
  <headerFooter>
    <oddFooter>&amp;Cหน้าที่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M30"/>
  <sheetViews>
    <sheetView zoomScale="90" zoomScaleNormal="90" topLeftCell="C1" workbookViewId="0">
      <selection activeCell="J33" sqref="J33"/>
    </sheetView>
  </sheetViews>
  <sheetFormatPr defaultColWidth="9" defaultRowHeight="21"/>
  <cols>
    <col min="1" max="1" width="8" style="4" customWidth="1"/>
    <col min="2" max="2" width="28.1428571428571" style="5" customWidth="1"/>
    <col min="3" max="3" width="12.7142857142857" style="4" customWidth="1"/>
    <col min="4" max="4" width="11.8571428571429" style="4" customWidth="1"/>
    <col min="5" max="5" width="21.4285714285714" style="1038" customWidth="1"/>
    <col min="6" max="6" width="13.2857142857143" style="4" customWidth="1"/>
    <col min="7" max="7" width="37.1428571428571" style="8" customWidth="1"/>
    <col min="8" max="8" width="18.4285714285714" style="5" customWidth="1"/>
    <col min="9" max="9" width="17" style="5" customWidth="1"/>
    <col min="10" max="10" width="17" style="9" customWidth="1"/>
    <col min="11" max="11" width="9.14285714285714" style="10" customWidth="1"/>
    <col min="12" max="12" width="16.5714285714286" style="11" customWidth="1"/>
    <col min="13" max="13" width="30.1428571428571" style="10" customWidth="1"/>
    <col min="14" max="79" width="9.14285714285714" style="5"/>
    <col min="80" max="80" width="6.42857142857143" style="5" customWidth="1"/>
    <col min="81" max="81" width="32" style="5" customWidth="1"/>
    <col min="82" max="82" width="14.5714285714286" style="5" customWidth="1"/>
    <col min="83" max="83" width="12.4285714285714" style="5" customWidth="1"/>
    <col min="84" max="84" width="51.2857142857143" style="5" customWidth="1"/>
    <col min="85" max="85" width="14.8571428571429" style="5" customWidth="1"/>
    <col min="86" max="86" width="25" style="5" customWidth="1"/>
    <col min="87" max="88" width="12.2857142857143" style="5" customWidth="1"/>
    <col min="89" max="89" width="24.7142857142857" style="5" customWidth="1"/>
    <col min="90" max="90" width="15" style="5" customWidth="1"/>
    <col min="91" max="335" width="9.14285714285714" style="5"/>
    <col min="336" max="336" width="6.42857142857143" style="5" customWidth="1"/>
    <col min="337" max="337" width="32" style="5" customWidth="1"/>
    <col min="338" max="338" width="14.5714285714286" style="5" customWidth="1"/>
    <col min="339" max="339" width="12.4285714285714" style="5" customWidth="1"/>
    <col min="340" max="340" width="51.2857142857143" style="5" customWidth="1"/>
    <col min="341" max="341" width="14.8571428571429" style="5" customWidth="1"/>
    <col min="342" max="342" width="25" style="5" customWidth="1"/>
    <col min="343" max="344" width="12.2857142857143" style="5" customWidth="1"/>
    <col min="345" max="345" width="24.7142857142857" style="5" customWidth="1"/>
    <col min="346" max="346" width="15" style="5" customWidth="1"/>
    <col min="347" max="591" width="9.14285714285714" style="5"/>
    <col min="592" max="592" width="6.42857142857143" style="5" customWidth="1"/>
    <col min="593" max="593" width="32" style="5" customWidth="1"/>
    <col min="594" max="594" width="14.5714285714286" style="5" customWidth="1"/>
    <col min="595" max="595" width="12.4285714285714" style="5" customWidth="1"/>
    <col min="596" max="596" width="51.2857142857143" style="5" customWidth="1"/>
    <col min="597" max="597" width="14.8571428571429" style="5" customWidth="1"/>
    <col min="598" max="598" width="25" style="5" customWidth="1"/>
    <col min="599" max="600" width="12.2857142857143" style="5" customWidth="1"/>
    <col min="601" max="601" width="24.7142857142857" style="5" customWidth="1"/>
    <col min="602" max="602" width="15" style="5" customWidth="1"/>
    <col min="603" max="847" width="9.14285714285714" style="5"/>
    <col min="848" max="848" width="6.42857142857143" style="5" customWidth="1"/>
    <col min="849" max="849" width="32" style="5" customWidth="1"/>
    <col min="850" max="850" width="14.5714285714286" style="5" customWidth="1"/>
    <col min="851" max="851" width="12.4285714285714" style="5" customWidth="1"/>
    <col min="852" max="852" width="51.2857142857143" style="5" customWidth="1"/>
    <col min="853" max="853" width="14.8571428571429" style="5" customWidth="1"/>
    <col min="854" max="854" width="25" style="5" customWidth="1"/>
    <col min="855" max="856" width="12.2857142857143" style="5" customWidth="1"/>
    <col min="857" max="857" width="24.7142857142857" style="5" customWidth="1"/>
    <col min="858" max="858" width="15" style="5" customWidth="1"/>
    <col min="859" max="1103" width="9.14285714285714" style="5"/>
    <col min="1104" max="1104" width="6.42857142857143" style="5" customWidth="1"/>
    <col min="1105" max="1105" width="32" style="5" customWidth="1"/>
    <col min="1106" max="1106" width="14.5714285714286" style="5" customWidth="1"/>
    <col min="1107" max="1107" width="12.4285714285714" style="5" customWidth="1"/>
    <col min="1108" max="1108" width="51.2857142857143" style="5" customWidth="1"/>
    <col min="1109" max="1109" width="14.8571428571429" style="5" customWidth="1"/>
    <col min="1110" max="1110" width="25" style="5" customWidth="1"/>
    <col min="1111" max="1112" width="12.2857142857143" style="5" customWidth="1"/>
    <col min="1113" max="1113" width="24.7142857142857" style="5" customWidth="1"/>
    <col min="1114" max="1114" width="15" style="5" customWidth="1"/>
    <col min="1115" max="1359" width="9.14285714285714" style="5"/>
    <col min="1360" max="1360" width="6.42857142857143" style="5" customWidth="1"/>
    <col min="1361" max="1361" width="32" style="5" customWidth="1"/>
    <col min="1362" max="1362" width="14.5714285714286" style="5" customWidth="1"/>
    <col min="1363" max="1363" width="12.4285714285714" style="5" customWidth="1"/>
    <col min="1364" max="1364" width="51.2857142857143" style="5" customWidth="1"/>
    <col min="1365" max="1365" width="14.8571428571429" style="5" customWidth="1"/>
    <col min="1366" max="1366" width="25" style="5" customWidth="1"/>
    <col min="1367" max="1368" width="12.2857142857143" style="5" customWidth="1"/>
    <col min="1369" max="1369" width="24.7142857142857" style="5" customWidth="1"/>
    <col min="1370" max="1370" width="15" style="5" customWidth="1"/>
    <col min="1371" max="1615" width="9.14285714285714" style="5"/>
    <col min="1616" max="1616" width="6.42857142857143" style="5" customWidth="1"/>
    <col min="1617" max="1617" width="32" style="5" customWidth="1"/>
    <col min="1618" max="1618" width="14.5714285714286" style="5" customWidth="1"/>
    <col min="1619" max="1619" width="12.4285714285714" style="5" customWidth="1"/>
    <col min="1620" max="1620" width="51.2857142857143" style="5" customWidth="1"/>
    <col min="1621" max="1621" width="14.8571428571429" style="5" customWidth="1"/>
    <col min="1622" max="1622" width="25" style="5" customWidth="1"/>
    <col min="1623" max="1624" width="12.2857142857143" style="5" customWidth="1"/>
    <col min="1625" max="1625" width="24.7142857142857" style="5" customWidth="1"/>
    <col min="1626" max="1626" width="15" style="5" customWidth="1"/>
    <col min="1627" max="1871" width="9.14285714285714" style="5"/>
    <col min="1872" max="1872" width="6.42857142857143" style="5" customWidth="1"/>
    <col min="1873" max="1873" width="32" style="5" customWidth="1"/>
    <col min="1874" max="1874" width="14.5714285714286" style="5" customWidth="1"/>
    <col min="1875" max="1875" width="12.4285714285714" style="5" customWidth="1"/>
    <col min="1876" max="1876" width="51.2857142857143" style="5" customWidth="1"/>
    <col min="1877" max="1877" width="14.8571428571429" style="5" customWidth="1"/>
    <col min="1878" max="1878" width="25" style="5" customWidth="1"/>
    <col min="1879" max="1880" width="12.2857142857143" style="5" customWidth="1"/>
    <col min="1881" max="1881" width="24.7142857142857" style="5" customWidth="1"/>
    <col min="1882" max="1882" width="15" style="5" customWidth="1"/>
    <col min="1883" max="2127" width="9.14285714285714" style="5"/>
    <col min="2128" max="2128" width="6.42857142857143" style="5" customWidth="1"/>
    <col min="2129" max="2129" width="32" style="5" customWidth="1"/>
    <col min="2130" max="2130" width="14.5714285714286" style="5" customWidth="1"/>
    <col min="2131" max="2131" width="12.4285714285714" style="5" customWidth="1"/>
    <col min="2132" max="2132" width="51.2857142857143" style="5" customWidth="1"/>
    <col min="2133" max="2133" width="14.8571428571429" style="5" customWidth="1"/>
    <col min="2134" max="2134" width="25" style="5" customWidth="1"/>
    <col min="2135" max="2136" width="12.2857142857143" style="5" customWidth="1"/>
    <col min="2137" max="2137" width="24.7142857142857" style="5" customWidth="1"/>
    <col min="2138" max="2138" width="15" style="5" customWidth="1"/>
    <col min="2139" max="2383" width="9.14285714285714" style="5"/>
    <col min="2384" max="2384" width="6.42857142857143" style="5" customWidth="1"/>
    <col min="2385" max="2385" width="32" style="5" customWidth="1"/>
    <col min="2386" max="2386" width="14.5714285714286" style="5" customWidth="1"/>
    <col min="2387" max="2387" width="12.4285714285714" style="5" customWidth="1"/>
    <col min="2388" max="2388" width="51.2857142857143" style="5" customWidth="1"/>
    <col min="2389" max="2389" width="14.8571428571429" style="5" customWidth="1"/>
    <col min="2390" max="2390" width="25" style="5" customWidth="1"/>
    <col min="2391" max="2392" width="12.2857142857143" style="5" customWidth="1"/>
    <col min="2393" max="2393" width="24.7142857142857" style="5" customWidth="1"/>
    <col min="2394" max="2394" width="15" style="5" customWidth="1"/>
    <col min="2395" max="2639" width="9.14285714285714" style="5"/>
    <col min="2640" max="2640" width="6.42857142857143" style="5" customWidth="1"/>
    <col min="2641" max="2641" width="32" style="5" customWidth="1"/>
    <col min="2642" max="2642" width="14.5714285714286" style="5" customWidth="1"/>
    <col min="2643" max="2643" width="12.4285714285714" style="5" customWidth="1"/>
    <col min="2644" max="2644" width="51.2857142857143" style="5" customWidth="1"/>
    <col min="2645" max="2645" width="14.8571428571429" style="5" customWidth="1"/>
    <col min="2646" max="2646" width="25" style="5" customWidth="1"/>
    <col min="2647" max="2648" width="12.2857142857143" style="5" customWidth="1"/>
    <col min="2649" max="2649" width="24.7142857142857" style="5" customWidth="1"/>
    <col min="2650" max="2650" width="15" style="5" customWidth="1"/>
    <col min="2651" max="2895" width="9.14285714285714" style="5"/>
    <col min="2896" max="2896" width="6.42857142857143" style="5" customWidth="1"/>
    <col min="2897" max="2897" width="32" style="5" customWidth="1"/>
    <col min="2898" max="2898" width="14.5714285714286" style="5" customWidth="1"/>
    <col min="2899" max="2899" width="12.4285714285714" style="5" customWidth="1"/>
    <col min="2900" max="2900" width="51.2857142857143" style="5" customWidth="1"/>
    <col min="2901" max="2901" width="14.8571428571429" style="5" customWidth="1"/>
    <col min="2902" max="2902" width="25" style="5" customWidth="1"/>
    <col min="2903" max="2904" width="12.2857142857143" style="5" customWidth="1"/>
    <col min="2905" max="2905" width="24.7142857142857" style="5" customWidth="1"/>
    <col min="2906" max="2906" width="15" style="5" customWidth="1"/>
    <col min="2907" max="3151" width="9.14285714285714" style="5"/>
    <col min="3152" max="3152" width="6.42857142857143" style="5" customWidth="1"/>
    <col min="3153" max="3153" width="32" style="5" customWidth="1"/>
    <col min="3154" max="3154" width="14.5714285714286" style="5" customWidth="1"/>
    <col min="3155" max="3155" width="12.4285714285714" style="5" customWidth="1"/>
    <col min="3156" max="3156" width="51.2857142857143" style="5" customWidth="1"/>
    <col min="3157" max="3157" width="14.8571428571429" style="5" customWidth="1"/>
    <col min="3158" max="3158" width="25" style="5" customWidth="1"/>
    <col min="3159" max="3160" width="12.2857142857143" style="5" customWidth="1"/>
    <col min="3161" max="3161" width="24.7142857142857" style="5" customWidth="1"/>
    <col min="3162" max="3162" width="15" style="5" customWidth="1"/>
    <col min="3163" max="3407" width="9.14285714285714" style="5"/>
    <col min="3408" max="3408" width="6.42857142857143" style="5" customWidth="1"/>
    <col min="3409" max="3409" width="32" style="5" customWidth="1"/>
    <col min="3410" max="3410" width="14.5714285714286" style="5" customWidth="1"/>
    <col min="3411" max="3411" width="12.4285714285714" style="5" customWidth="1"/>
    <col min="3412" max="3412" width="51.2857142857143" style="5" customWidth="1"/>
    <col min="3413" max="3413" width="14.8571428571429" style="5" customWidth="1"/>
    <col min="3414" max="3414" width="25" style="5" customWidth="1"/>
    <col min="3415" max="3416" width="12.2857142857143" style="5" customWidth="1"/>
    <col min="3417" max="3417" width="24.7142857142857" style="5" customWidth="1"/>
    <col min="3418" max="3418" width="15" style="5" customWidth="1"/>
    <col min="3419" max="3663" width="9.14285714285714" style="5"/>
    <col min="3664" max="3664" width="6.42857142857143" style="5" customWidth="1"/>
    <col min="3665" max="3665" width="32" style="5" customWidth="1"/>
    <col min="3666" max="3666" width="14.5714285714286" style="5" customWidth="1"/>
    <col min="3667" max="3667" width="12.4285714285714" style="5" customWidth="1"/>
    <col min="3668" max="3668" width="51.2857142857143" style="5" customWidth="1"/>
    <col min="3669" max="3669" width="14.8571428571429" style="5" customWidth="1"/>
    <col min="3670" max="3670" width="25" style="5" customWidth="1"/>
    <col min="3671" max="3672" width="12.2857142857143" style="5" customWidth="1"/>
    <col min="3673" max="3673" width="24.7142857142857" style="5" customWidth="1"/>
    <col min="3674" max="3674" width="15" style="5" customWidth="1"/>
    <col min="3675" max="3919" width="9.14285714285714" style="5"/>
    <col min="3920" max="3920" width="6.42857142857143" style="5" customWidth="1"/>
    <col min="3921" max="3921" width="32" style="5" customWidth="1"/>
    <col min="3922" max="3922" width="14.5714285714286" style="5" customWidth="1"/>
    <col min="3923" max="3923" width="12.4285714285714" style="5" customWidth="1"/>
    <col min="3924" max="3924" width="51.2857142857143" style="5" customWidth="1"/>
    <col min="3925" max="3925" width="14.8571428571429" style="5" customWidth="1"/>
    <col min="3926" max="3926" width="25" style="5" customWidth="1"/>
    <col min="3927" max="3928" width="12.2857142857143" style="5" customWidth="1"/>
    <col min="3929" max="3929" width="24.7142857142857" style="5" customWidth="1"/>
    <col min="3930" max="3930" width="15" style="5" customWidth="1"/>
    <col min="3931" max="4175" width="9.14285714285714" style="5"/>
    <col min="4176" max="4176" width="6.42857142857143" style="5" customWidth="1"/>
    <col min="4177" max="4177" width="32" style="5" customWidth="1"/>
    <col min="4178" max="4178" width="14.5714285714286" style="5" customWidth="1"/>
    <col min="4179" max="4179" width="12.4285714285714" style="5" customWidth="1"/>
    <col min="4180" max="4180" width="51.2857142857143" style="5" customWidth="1"/>
    <col min="4181" max="4181" width="14.8571428571429" style="5" customWidth="1"/>
    <col min="4182" max="4182" width="25" style="5" customWidth="1"/>
    <col min="4183" max="4184" width="12.2857142857143" style="5" customWidth="1"/>
    <col min="4185" max="4185" width="24.7142857142857" style="5" customWidth="1"/>
    <col min="4186" max="4186" width="15" style="5" customWidth="1"/>
    <col min="4187" max="4431" width="9.14285714285714" style="5"/>
    <col min="4432" max="4432" width="6.42857142857143" style="5" customWidth="1"/>
    <col min="4433" max="4433" width="32" style="5" customWidth="1"/>
    <col min="4434" max="4434" width="14.5714285714286" style="5" customWidth="1"/>
    <col min="4435" max="4435" width="12.4285714285714" style="5" customWidth="1"/>
    <col min="4436" max="4436" width="51.2857142857143" style="5" customWidth="1"/>
    <col min="4437" max="4437" width="14.8571428571429" style="5" customWidth="1"/>
    <col min="4438" max="4438" width="25" style="5" customWidth="1"/>
    <col min="4439" max="4440" width="12.2857142857143" style="5" customWidth="1"/>
    <col min="4441" max="4441" width="24.7142857142857" style="5" customWidth="1"/>
    <col min="4442" max="4442" width="15" style="5" customWidth="1"/>
    <col min="4443" max="4687" width="9.14285714285714" style="5"/>
    <col min="4688" max="4688" width="6.42857142857143" style="5" customWidth="1"/>
    <col min="4689" max="4689" width="32" style="5" customWidth="1"/>
    <col min="4690" max="4690" width="14.5714285714286" style="5" customWidth="1"/>
    <col min="4691" max="4691" width="12.4285714285714" style="5" customWidth="1"/>
    <col min="4692" max="4692" width="51.2857142857143" style="5" customWidth="1"/>
    <col min="4693" max="4693" width="14.8571428571429" style="5" customWidth="1"/>
    <col min="4694" max="4694" width="25" style="5" customWidth="1"/>
    <col min="4695" max="4696" width="12.2857142857143" style="5" customWidth="1"/>
    <col min="4697" max="4697" width="24.7142857142857" style="5" customWidth="1"/>
    <col min="4698" max="4698" width="15" style="5" customWidth="1"/>
    <col min="4699" max="4943" width="9.14285714285714" style="5"/>
    <col min="4944" max="4944" width="6.42857142857143" style="5" customWidth="1"/>
    <col min="4945" max="4945" width="32" style="5" customWidth="1"/>
    <col min="4946" max="4946" width="14.5714285714286" style="5" customWidth="1"/>
    <col min="4947" max="4947" width="12.4285714285714" style="5" customWidth="1"/>
    <col min="4948" max="4948" width="51.2857142857143" style="5" customWidth="1"/>
    <col min="4949" max="4949" width="14.8571428571429" style="5" customWidth="1"/>
    <col min="4950" max="4950" width="25" style="5" customWidth="1"/>
    <col min="4951" max="4952" width="12.2857142857143" style="5" customWidth="1"/>
    <col min="4953" max="4953" width="24.7142857142857" style="5" customWidth="1"/>
    <col min="4954" max="4954" width="15" style="5" customWidth="1"/>
    <col min="4955" max="5199" width="9.14285714285714" style="5"/>
    <col min="5200" max="5200" width="6.42857142857143" style="5" customWidth="1"/>
    <col min="5201" max="5201" width="32" style="5" customWidth="1"/>
    <col min="5202" max="5202" width="14.5714285714286" style="5" customWidth="1"/>
    <col min="5203" max="5203" width="12.4285714285714" style="5" customWidth="1"/>
    <col min="5204" max="5204" width="51.2857142857143" style="5" customWidth="1"/>
    <col min="5205" max="5205" width="14.8571428571429" style="5" customWidth="1"/>
    <col min="5206" max="5206" width="25" style="5" customWidth="1"/>
    <col min="5207" max="5208" width="12.2857142857143" style="5" customWidth="1"/>
    <col min="5209" max="5209" width="24.7142857142857" style="5" customWidth="1"/>
    <col min="5210" max="5210" width="15" style="5" customWidth="1"/>
    <col min="5211" max="5455" width="9.14285714285714" style="5"/>
    <col min="5456" max="5456" width="6.42857142857143" style="5" customWidth="1"/>
    <col min="5457" max="5457" width="32" style="5" customWidth="1"/>
    <col min="5458" max="5458" width="14.5714285714286" style="5" customWidth="1"/>
    <col min="5459" max="5459" width="12.4285714285714" style="5" customWidth="1"/>
    <col min="5460" max="5460" width="51.2857142857143" style="5" customWidth="1"/>
    <col min="5461" max="5461" width="14.8571428571429" style="5" customWidth="1"/>
    <col min="5462" max="5462" width="25" style="5" customWidth="1"/>
    <col min="5463" max="5464" width="12.2857142857143" style="5" customWidth="1"/>
    <col min="5465" max="5465" width="24.7142857142857" style="5" customWidth="1"/>
    <col min="5466" max="5466" width="15" style="5" customWidth="1"/>
    <col min="5467" max="5711" width="9.14285714285714" style="5"/>
    <col min="5712" max="5712" width="6.42857142857143" style="5" customWidth="1"/>
    <col min="5713" max="5713" width="32" style="5" customWidth="1"/>
    <col min="5714" max="5714" width="14.5714285714286" style="5" customWidth="1"/>
    <col min="5715" max="5715" width="12.4285714285714" style="5" customWidth="1"/>
    <col min="5716" max="5716" width="51.2857142857143" style="5" customWidth="1"/>
    <col min="5717" max="5717" width="14.8571428571429" style="5" customWidth="1"/>
    <col min="5718" max="5718" width="25" style="5" customWidth="1"/>
    <col min="5719" max="5720" width="12.2857142857143" style="5" customWidth="1"/>
    <col min="5721" max="5721" width="24.7142857142857" style="5" customWidth="1"/>
    <col min="5722" max="5722" width="15" style="5" customWidth="1"/>
    <col min="5723" max="5967" width="9.14285714285714" style="5"/>
    <col min="5968" max="5968" width="6.42857142857143" style="5" customWidth="1"/>
    <col min="5969" max="5969" width="32" style="5" customWidth="1"/>
    <col min="5970" max="5970" width="14.5714285714286" style="5" customWidth="1"/>
    <col min="5971" max="5971" width="12.4285714285714" style="5" customWidth="1"/>
    <col min="5972" max="5972" width="51.2857142857143" style="5" customWidth="1"/>
    <col min="5973" max="5973" width="14.8571428571429" style="5" customWidth="1"/>
    <col min="5974" max="5974" width="25" style="5" customWidth="1"/>
    <col min="5975" max="5976" width="12.2857142857143" style="5" customWidth="1"/>
    <col min="5977" max="5977" width="24.7142857142857" style="5" customWidth="1"/>
    <col min="5978" max="5978" width="15" style="5" customWidth="1"/>
    <col min="5979" max="6223" width="9.14285714285714" style="5"/>
    <col min="6224" max="6224" width="6.42857142857143" style="5" customWidth="1"/>
    <col min="6225" max="6225" width="32" style="5" customWidth="1"/>
    <col min="6226" max="6226" width="14.5714285714286" style="5" customWidth="1"/>
    <col min="6227" max="6227" width="12.4285714285714" style="5" customWidth="1"/>
    <col min="6228" max="6228" width="51.2857142857143" style="5" customWidth="1"/>
    <col min="6229" max="6229" width="14.8571428571429" style="5" customWidth="1"/>
    <col min="6230" max="6230" width="25" style="5" customWidth="1"/>
    <col min="6231" max="6232" width="12.2857142857143" style="5" customWidth="1"/>
    <col min="6233" max="6233" width="24.7142857142857" style="5" customWidth="1"/>
    <col min="6234" max="6234" width="15" style="5" customWidth="1"/>
    <col min="6235" max="6479" width="9.14285714285714" style="5"/>
    <col min="6480" max="6480" width="6.42857142857143" style="5" customWidth="1"/>
    <col min="6481" max="6481" width="32" style="5" customWidth="1"/>
    <col min="6482" max="6482" width="14.5714285714286" style="5" customWidth="1"/>
    <col min="6483" max="6483" width="12.4285714285714" style="5" customWidth="1"/>
    <col min="6484" max="6484" width="51.2857142857143" style="5" customWidth="1"/>
    <col min="6485" max="6485" width="14.8571428571429" style="5" customWidth="1"/>
    <col min="6486" max="6486" width="25" style="5" customWidth="1"/>
    <col min="6487" max="6488" width="12.2857142857143" style="5" customWidth="1"/>
    <col min="6489" max="6489" width="24.7142857142857" style="5" customWidth="1"/>
    <col min="6490" max="6490" width="15" style="5" customWidth="1"/>
    <col min="6491" max="6735" width="9.14285714285714" style="5"/>
    <col min="6736" max="6736" width="6.42857142857143" style="5" customWidth="1"/>
    <col min="6737" max="6737" width="32" style="5" customWidth="1"/>
    <col min="6738" max="6738" width="14.5714285714286" style="5" customWidth="1"/>
    <col min="6739" max="6739" width="12.4285714285714" style="5" customWidth="1"/>
    <col min="6740" max="6740" width="51.2857142857143" style="5" customWidth="1"/>
    <col min="6741" max="6741" width="14.8571428571429" style="5" customWidth="1"/>
    <col min="6742" max="6742" width="25" style="5" customWidth="1"/>
    <col min="6743" max="6744" width="12.2857142857143" style="5" customWidth="1"/>
    <col min="6745" max="6745" width="24.7142857142857" style="5" customWidth="1"/>
    <col min="6746" max="6746" width="15" style="5" customWidth="1"/>
    <col min="6747" max="6991" width="9.14285714285714" style="5"/>
    <col min="6992" max="6992" width="6.42857142857143" style="5" customWidth="1"/>
    <col min="6993" max="6993" width="32" style="5" customWidth="1"/>
    <col min="6994" max="6994" width="14.5714285714286" style="5" customWidth="1"/>
    <col min="6995" max="6995" width="12.4285714285714" style="5" customWidth="1"/>
    <col min="6996" max="6996" width="51.2857142857143" style="5" customWidth="1"/>
    <col min="6997" max="6997" width="14.8571428571429" style="5" customWidth="1"/>
    <col min="6998" max="6998" width="25" style="5" customWidth="1"/>
    <col min="6999" max="7000" width="12.2857142857143" style="5" customWidth="1"/>
    <col min="7001" max="7001" width="24.7142857142857" style="5" customWidth="1"/>
    <col min="7002" max="7002" width="15" style="5" customWidth="1"/>
    <col min="7003" max="7247" width="9.14285714285714" style="5"/>
    <col min="7248" max="7248" width="6.42857142857143" style="5" customWidth="1"/>
    <col min="7249" max="7249" width="32" style="5" customWidth="1"/>
    <col min="7250" max="7250" width="14.5714285714286" style="5" customWidth="1"/>
    <col min="7251" max="7251" width="12.4285714285714" style="5" customWidth="1"/>
    <col min="7252" max="7252" width="51.2857142857143" style="5" customWidth="1"/>
    <col min="7253" max="7253" width="14.8571428571429" style="5" customWidth="1"/>
    <col min="7254" max="7254" width="25" style="5" customWidth="1"/>
    <col min="7255" max="7256" width="12.2857142857143" style="5" customWidth="1"/>
    <col min="7257" max="7257" width="24.7142857142857" style="5" customWidth="1"/>
    <col min="7258" max="7258" width="15" style="5" customWidth="1"/>
    <col min="7259" max="7503" width="9.14285714285714" style="5"/>
    <col min="7504" max="7504" width="6.42857142857143" style="5" customWidth="1"/>
    <col min="7505" max="7505" width="32" style="5" customWidth="1"/>
    <col min="7506" max="7506" width="14.5714285714286" style="5" customWidth="1"/>
    <col min="7507" max="7507" width="12.4285714285714" style="5" customWidth="1"/>
    <col min="7508" max="7508" width="51.2857142857143" style="5" customWidth="1"/>
    <col min="7509" max="7509" width="14.8571428571429" style="5" customWidth="1"/>
    <col min="7510" max="7510" width="25" style="5" customWidth="1"/>
    <col min="7511" max="7512" width="12.2857142857143" style="5" customWidth="1"/>
    <col min="7513" max="7513" width="24.7142857142857" style="5" customWidth="1"/>
    <col min="7514" max="7514" width="15" style="5" customWidth="1"/>
    <col min="7515" max="7759" width="9.14285714285714" style="5"/>
    <col min="7760" max="7760" width="6.42857142857143" style="5" customWidth="1"/>
    <col min="7761" max="7761" width="32" style="5" customWidth="1"/>
    <col min="7762" max="7762" width="14.5714285714286" style="5" customWidth="1"/>
    <col min="7763" max="7763" width="12.4285714285714" style="5" customWidth="1"/>
    <col min="7764" max="7764" width="51.2857142857143" style="5" customWidth="1"/>
    <col min="7765" max="7765" width="14.8571428571429" style="5" customWidth="1"/>
    <col min="7766" max="7766" width="25" style="5" customWidth="1"/>
    <col min="7767" max="7768" width="12.2857142857143" style="5" customWidth="1"/>
    <col min="7769" max="7769" width="24.7142857142857" style="5" customWidth="1"/>
    <col min="7770" max="7770" width="15" style="5" customWidth="1"/>
    <col min="7771" max="8015" width="9.14285714285714" style="5"/>
    <col min="8016" max="8016" width="6.42857142857143" style="5" customWidth="1"/>
    <col min="8017" max="8017" width="32" style="5" customWidth="1"/>
    <col min="8018" max="8018" width="14.5714285714286" style="5" customWidth="1"/>
    <col min="8019" max="8019" width="12.4285714285714" style="5" customWidth="1"/>
    <col min="8020" max="8020" width="51.2857142857143" style="5" customWidth="1"/>
    <col min="8021" max="8021" width="14.8571428571429" style="5" customWidth="1"/>
    <col min="8022" max="8022" width="25" style="5" customWidth="1"/>
    <col min="8023" max="8024" width="12.2857142857143" style="5" customWidth="1"/>
    <col min="8025" max="8025" width="24.7142857142857" style="5" customWidth="1"/>
    <col min="8026" max="8026" width="15" style="5" customWidth="1"/>
    <col min="8027" max="8271" width="9.14285714285714" style="5"/>
    <col min="8272" max="8272" width="6.42857142857143" style="5" customWidth="1"/>
    <col min="8273" max="8273" width="32" style="5" customWidth="1"/>
    <col min="8274" max="8274" width="14.5714285714286" style="5" customWidth="1"/>
    <col min="8275" max="8275" width="12.4285714285714" style="5" customWidth="1"/>
    <col min="8276" max="8276" width="51.2857142857143" style="5" customWidth="1"/>
    <col min="8277" max="8277" width="14.8571428571429" style="5" customWidth="1"/>
    <col min="8278" max="8278" width="25" style="5" customWidth="1"/>
    <col min="8279" max="8280" width="12.2857142857143" style="5" customWidth="1"/>
    <col min="8281" max="8281" width="24.7142857142857" style="5" customWidth="1"/>
    <col min="8282" max="8282" width="15" style="5" customWidth="1"/>
    <col min="8283" max="8527" width="9.14285714285714" style="5"/>
    <col min="8528" max="8528" width="6.42857142857143" style="5" customWidth="1"/>
    <col min="8529" max="8529" width="32" style="5" customWidth="1"/>
    <col min="8530" max="8530" width="14.5714285714286" style="5" customWidth="1"/>
    <col min="8531" max="8531" width="12.4285714285714" style="5" customWidth="1"/>
    <col min="8532" max="8532" width="51.2857142857143" style="5" customWidth="1"/>
    <col min="8533" max="8533" width="14.8571428571429" style="5" customWidth="1"/>
    <col min="8534" max="8534" width="25" style="5" customWidth="1"/>
    <col min="8535" max="8536" width="12.2857142857143" style="5" customWidth="1"/>
    <col min="8537" max="8537" width="24.7142857142857" style="5" customWidth="1"/>
    <col min="8538" max="8538" width="15" style="5" customWidth="1"/>
    <col min="8539" max="8783" width="9.14285714285714" style="5"/>
    <col min="8784" max="8784" width="6.42857142857143" style="5" customWidth="1"/>
    <col min="8785" max="8785" width="32" style="5" customWidth="1"/>
    <col min="8786" max="8786" width="14.5714285714286" style="5" customWidth="1"/>
    <col min="8787" max="8787" width="12.4285714285714" style="5" customWidth="1"/>
    <col min="8788" max="8788" width="51.2857142857143" style="5" customWidth="1"/>
    <col min="8789" max="8789" width="14.8571428571429" style="5" customWidth="1"/>
    <col min="8790" max="8790" width="25" style="5" customWidth="1"/>
    <col min="8791" max="8792" width="12.2857142857143" style="5" customWidth="1"/>
    <col min="8793" max="8793" width="24.7142857142857" style="5" customWidth="1"/>
    <col min="8794" max="8794" width="15" style="5" customWidth="1"/>
    <col min="8795" max="9039" width="9.14285714285714" style="5"/>
    <col min="9040" max="9040" width="6.42857142857143" style="5" customWidth="1"/>
    <col min="9041" max="9041" width="32" style="5" customWidth="1"/>
    <col min="9042" max="9042" width="14.5714285714286" style="5" customWidth="1"/>
    <col min="9043" max="9043" width="12.4285714285714" style="5" customWidth="1"/>
    <col min="9044" max="9044" width="51.2857142857143" style="5" customWidth="1"/>
    <col min="9045" max="9045" width="14.8571428571429" style="5" customWidth="1"/>
    <col min="9046" max="9046" width="25" style="5" customWidth="1"/>
    <col min="9047" max="9048" width="12.2857142857143" style="5" customWidth="1"/>
    <col min="9049" max="9049" width="24.7142857142857" style="5" customWidth="1"/>
    <col min="9050" max="9050" width="15" style="5" customWidth="1"/>
    <col min="9051" max="9295" width="9.14285714285714" style="5"/>
    <col min="9296" max="9296" width="6.42857142857143" style="5" customWidth="1"/>
    <col min="9297" max="9297" width="32" style="5" customWidth="1"/>
    <col min="9298" max="9298" width="14.5714285714286" style="5" customWidth="1"/>
    <col min="9299" max="9299" width="12.4285714285714" style="5" customWidth="1"/>
    <col min="9300" max="9300" width="51.2857142857143" style="5" customWidth="1"/>
    <col min="9301" max="9301" width="14.8571428571429" style="5" customWidth="1"/>
    <col min="9302" max="9302" width="25" style="5" customWidth="1"/>
    <col min="9303" max="9304" width="12.2857142857143" style="5" customWidth="1"/>
    <col min="9305" max="9305" width="24.7142857142857" style="5" customWidth="1"/>
    <col min="9306" max="9306" width="15" style="5" customWidth="1"/>
    <col min="9307" max="9551" width="9.14285714285714" style="5"/>
    <col min="9552" max="9552" width="6.42857142857143" style="5" customWidth="1"/>
    <col min="9553" max="9553" width="32" style="5" customWidth="1"/>
    <col min="9554" max="9554" width="14.5714285714286" style="5" customWidth="1"/>
    <col min="9555" max="9555" width="12.4285714285714" style="5" customWidth="1"/>
    <col min="9556" max="9556" width="51.2857142857143" style="5" customWidth="1"/>
    <col min="9557" max="9557" width="14.8571428571429" style="5" customWidth="1"/>
    <col min="9558" max="9558" width="25" style="5" customWidth="1"/>
    <col min="9559" max="9560" width="12.2857142857143" style="5" customWidth="1"/>
    <col min="9561" max="9561" width="24.7142857142857" style="5" customWidth="1"/>
    <col min="9562" max="9562" width="15" style="5" customWidth="1"/>
    <col min="9563" max="9807" width="9.14285714285714" style="5"/>
    <col min="9808" max="9808" width="6.42857142857143" style="5" customWidth="1"/>
    <col min="9809" max="9809" width="32" style="5" customWidth="1"/>
    <col min="9810" max="9810" width="14.5714285714286" style="5" customWidth="1"/>
    <col min="9811" max="9811" width="12.4285714285714" style="5" customWidth="1"/>
    <col min="9812" max="9812" width="51.2857142857143" style="5" customWidth="1"/>
    <col min="9813" max="9813" width="14.8571428571429" style="5" customWidth="1"/>
    <col min="9814" max="9814" width="25" style="5" customWidth="1"/>
    <col min="9815" max="9816" width="12.2857142857143" style="5" customWidth="1"/>
    <col min="9817" max="9817" width="24.7142857142857" style="5" customWidth="1"/>
    <col min="9818" max="9818" width="15" style="5" customWidth="1"/>
    <col min="9819" max="10063" width="9.14285714285714" style="5"/>
    <col min="10064" max="10064" width="6.42857142857143" style="5" customWidth="1"/>
    <col min="10065" max="10065" width="32" style="5" customWidth="1"/>
    <col min="10066" max="10066" width="14.5714285714286" style="5" customWidth="1"/>
    <col min="10067" max="10067" width="12.4285714285714" style="5" customWidth="1"/>
    <col min="10068" max="10068" width="51.2857142857143" style="5" customWidth="1"/>
    <col min="10069" max="10069" width="14.8571428571429" style="5" customWidth="1"/>
    <col min="10070" max="10070" width="25" style="5" customWidth="1"/>
    <col min="10071" max="10072" width="12.2857142857143" style="5" customWidth="1"/>
    <col min="10073" max="10073" width="24.7142857142857" style="5" customWidth="1"/>
    <col min="10074" max="10074" width="15" style="5" customWidth="1"/>
    <col min="10075" max="10319" width="9.14285714285714" style="5"/>
    <col min="10320" max="10320" width="6.42857142857143" style="5" customWidth="1"/>
    <col min="10321" max="10321" width="32" style="5" customWidth="1"/>
    <col min="10322" max="10322" width="14.5714285714286" style="5" customWidth="1"/>
    <col min="10323" max="10323" width="12.4285714285714" style="5" customWidth="1"/>
    <col min="10324" max="10324" width="51.2857142857143" style="5" customWidth="1"/>
    <col min="10325" max="10325" width="14.8571428571429" style="5" customWidth="1"/>
    <col min="10326" max="10326" width="25" style="5" customWidth="1"/>
    <col min="10327" max="10328" width="12.2857142857143" style="5" customWidth="1"/>
    <col min="10329" max="10329" width="24.7142857142857" style="5" customWidth="1"/>
    <col min="10330" max="10330" width="15" style="5" customWidth="1"/>
    <col min="10331" max="10575" width="9.14285714285714" style="5"/>
    <col min="10576" max="10576" width="6.42857142857143" style="5" customWidth="1"/>
    <col min="10577" max="10577" width="32" style="5" customWidth="1"/>
    <col min="10578" max="10578" width="14.5714285714286" style="5" customWidth="1"/>
    <col min="10579" max="10579" width="12.4285714285714" style="5" customWidth="1"/>
    <col min="10580" max="10580" width="51.2857142857143" style="5" customWidth="1"/>
    <col min="10581" max="10581" width="14.8571428571429" style="5" customWidth="1"/>
    <col min="10582" max="10582" width="25" style="5" customWidth="1"/>
    <col min="10583" max="10584" width="12.2857142857143" style="5" customWidth="1"/>
    <col min="10585" max="10585" width="24.7142857142857" style="5" customWidth="1"/>
    <col min="10586" max="10586" width="15" style="5" customWidth="1"/>
    <col min="10587" max="10831" width="9.14285714285714" style="5"/>
    <col min="10832" max="10832" width="6.42857142857143" style="5" customWidth="1"/>
    <col min="10833" max="10833" width="32" style="5" customWidth="1"/>
    <col min="10834" max="10834" width="14.5714285714286" style="5" customWidth="1"/>
    <col min="10835" max="10835" width="12.4285714285714" style="5" customWidth="1"/>
    <col min="10836" max="10836" width="51.2857142857143" style="5" customWidth="1"/>
    <col min="10837" max="10837" width="14.8571428571429" style="5" customWidth="1"/>
    <col min="10838" max="10838" width="25" style="5" customWidth="1"/>
    <col min="10839" max="10840" width="12.2857142857143" style="5" customWidth="1"/>
    <col min="10841" max="10841" width="24.7142857142857" style="5" customWidth="1"/>
    <col min="10842" max="10842" width="15" style="5" customWidth="1"/>
    <col min="10843" max="11087" width="9.14285714285714" style="5"/>
    <col min="11088" max="11088" width="6.42857142857143" style="5" customWidth="1"/>
    <col min="11089" max="11089" width="32" style="5" customWidth="1"/>
    <col min="11090" max="11090" width="14.5714285714286" style="5" customWidth="1"/>
    <col min="11091" max="11091" width="12.4285714285714" style="5" customWidth="1"/>
    <col min="11092" max="11092" width="51.2857142857143" style="5" customWidth="1"/>
    <col min="11093" max="11093" width="14.8571428571429" style="5" customWidth="1"/>
    <col min="11094" max="11094" width="25" style="5" customWidth="1"/>
    <col min="11095" max="11096" width="12.2857142857143" style="5" customWidth="1"/>
    <col min="11097" max="11097" width="24.7142857142857" style="5" customWidth="1"/>
    <col min="11098" max="11098" width="15" style="5" customWidth="1"/>
    <col min="11099" max="11343" width="9.14285714285714" style="5"/>
    <col min="11344" max="11344" width="6.42857142857143" style="5" customWidth="1"/>
    <col min="11345" max="11345" width="32" style="5" customWidth="1"/>
    <col min="11346" max="11346" width="14.5714285714286" style="5" customWidth="1"/>
    <col min="11347" max="11347" width="12.4285714285714" style="5" customWidth="1"/>
    <col min="11348" max="11348" width="51.2857142857143" style="5" customWidth="1"/>
    <col min="11349" max="11349" width="14.8571428571429" style="5" customWidth="1"/>
    <col min="11350" max="11350" width="25" style="5" customWidth="1"/>
    <col min="11351" max="11352" width="12.2857142857143" style="5" customWidth="1"/>
    <col min="11353" max="11353" width="24.7142857142857" style="5" customWidth="1"/>
    <col min="11354" max="11354" width="15" style="5" customWidth="1"/>
    <col min="11355" max="11599" width="9.14285714285714" style="5"/>
    <col min="11600" max="11600" width="6.42857142857143" style="5" customWidth="1"/>
    <col min="11601" max="11601" width="32" style="5" customWidth="1"/>
    <col min="11602" max="11602" width="14.5714285714286" style="5" customWidth="1"/>
    <col min="11603" max="11603" width="12.4285714285714" style="5" customWidth="1"/>
    <col min="11604" max="11604" width="51.2857142857143" style="5" customWidth="1"/>
    <col min="11605" max="11605" width="14.8571428571429" style="5" customWidth="1"/>
    <col min="11606" max="11606" width="25" style="5" customWidth="1"/>
    <col min="11607" max="11608" width="12.2857142857143" style="5" customWidth="1"/>
    <col min="11609" max="11609" width="24.7142857142857" style="5" customWidth="1"/>
    <col min="11610" max="11610" width="15" style="5" customWidth="1"/>
    <col min="11611" max="11855" width="9.14285714285714" style="5"/>
    <col min="11856" max="11856" width="6.42857142857143" style="5" customWidth="1"/>
    <col min="11857" max="11857" width="32" style="5" customWidth="1"/>
    <col min="11858" max="11858" width="14.5714285714286" style="5" customWidth="1"/>
    <col min="11859" max="11859" width="12.4285714285714" style="5" customWidth="1"/>
    <col min="11860" max="11860" width="51.2857142857143" style="5" customWidth="1"/>
    <col min="11861" max="11861" width="14.8571428571429" style="5" customWidth="1"/>
    <col min="11862" max="11862" width="25" style="5" customWidth="1"/>
    <col min="11863" max="11864" width="12.2857142857143" style="5" customWidth="1"/>
    <col min="11865" max="11865" width="24.7142857142857" style="5" customWidth="1"/>
    <col min="11866" max="11866" width="15" style="5" customWidth="1"/>
    <col min="11867" max="12111" width="9.14285714285714" style="5"/>
    <col min="12112" max="12112" width="6.42857142857143" style="5" customWidth="1"/>
    <col min="12113" max="12113" width="32" style="5" customWidth="1"/>
    <col min="12114" max="12114" width="14.5714285714286" style="5" customWidth="1"/>
    <col min="12115" max="12115" width="12.4285714285714" style="5" customWidth="1"/>
    <col min="12116" max="12116" width="51.2857142857143" style="5" customWidth="1"/>
    <col min="12117" max="12117" width="14.8571428571429" style="5" customWidth="1"/>
    <col min="12118" max="12118" width="25" style="5" customWidth="1"/>
    <col min="12119" max="12120" width="12.2857142857143" style="5" customWidth="1"/>
    <col min="12121" max="12121" width="24.7142857142857" style="5" customWidth="1"/>
    <col min="12122" max="12122" width="15" style="5" customWidth="1"/>
    <col min="12123" max="12367" width="9.14285714285714" style="5"/>
    <col min="12368" max="12368" width="6.42857142857143" style="5" customWidth="1"/>
    <col min="12369" max="12369" width="32" style="5" customWidth="1"/>
    <col min="12370" max="12370" width="14.5714285714286" style="5" customWidth="1"/>
    <col min="12371" max="12371" width="12.4285714285714" style="5" customWidth="1"/>
    <col min="12372" max="12372" width="51.2857142857143" style="5" customWidth="1"/>
    <col min="12373" max="12373" width="14.8571428571429" style="5" customWidth="1"/>
    <col min="12374" max="12374" width="25" style="5" customWidth="1"/>
    <col min="12375" max="12376" width="12.2857142857143" style="5" customWidth="1"/>
    <col min="12377" max="12377" width="24.7142857142857" style="5" customWidth="1"/>
    <col min="12378" max="12378" width="15" style="5" customWidth="1"/>
    <col min="12379" max="12623" width="9.14285714285714" style="5"/>
    <col min="12624" max="12624" width="6.42857142857143" style="5" customWidth="1"/>
    <col min="12625" max="12625" width="32" style="5" customWidth="1"/>
    <col min="12626" max="12626" width="14.5714285714286" style="5" customWidth="1"/>
    <col min="12627" max="12627" width="12.4285714285714" style="5" customWidth="1"/>
    <col min="12628" max="12628" width="51.2857142857143" style="5" customWidth="1"/>
    <col min="12629" max="12629" width="14.8571428571429" style="5" customWidth="1"/>
    <col min="12630" max="12630" width="25" style="5" customWidth="1"/>
    <col min="12631" max="12632" width="12.2857142857143" style="5" customWidth="1"/>
    <col min="12633" max="12633" width="24.7142857142857" style="5" customWidth="1"/>
    <col min="12634" max="12634" width="15" style="5" customWidth="1"/>
    <col min="12635" max="12879" width="9.14285714285714" style="5"/>
    <col min="12880" max="12880" width="6.42857142857143" style="5" customWidth="1"/>
    <col min="12881" max="12881" width="32" style="5" customWidth="1"/>
    <col min="12882" max="12882" width="14.5714285714286" style="5" customWidth="1"/>
    <col min="12883" max="12883" width="12.4285714285714" style="5" customWidth="1"/>
    <col min="12884" max="12884" width="51.2857142857143" style="5" customWidth="1"/>
    <col min="12885" max="12885" width="14.8571428571429" style="5" customWidth="1"/>
    <col min="12886" max="12886" width="25" style="5" customWidth="1"/>
    <col min="12887" max="12888" width="12.2857142857143" style="5" customWidth="1"/>
    <col min="12889" max="12889" width="24.7142857142857" style="5" customWidth="1"/>
    <col min="12890" max="12890" width="15" style="5" customWidth="1"/>
    <col min="12891" max="13135" width="9.14285714285714" style="5"/>
    <col min="13136" max="13136" width="6.42857142857143" style="5" customWidth="1"/>
    <col min="13137" max="13137" width="32" style="5" customWidth="1"/>
    <col min="13138" max="13138" width="14.5714285714286" style="5" customWidth="1"/>
    <col min="13139" max="13139" width="12.4285714285714" style="5" customWidth="1"/>
    <col min="13140" max="13140" width="51.2857142857143" style="5" customWidth="1"/>
    <col min="13141" max="13141" width="14.8571428571429" style="5" customWidth="1"/>
    <col min="13142" max="13142" width="25" style="5" customWidth="1"/>
    <col min="13143" max="13144" width="12.2857142857143" style="5" customWidth="1"/>
    <col min="13145" max="13145" width="24.7142857142857" style="5" customWidth="1"/>
    <col min="13146" max="13146" width="15" style="5" customWidth="1"/>
    <col min="13147" max="13391" width="9.14285714285714" style="5"/>
    <col min="13392" max="13392" width="6.42857142857143" style="5" customWidth="1"/>
    <col min="13393" max="13393" width="32" style="5" customWidth="1"/>
    <col min="13394" max="13394" width="14.5714285714286" style="5" customWidth="1"/>
    <col min="13395" max="13395" width="12.4285714285714" style="5" customWidth="1"/>
    <col min="13396" max="13396" width="51.2857142857143" style="5" customWidth="1"/>
    <col min="13397" max="13397" width="14.8571428571429" style="5" customWidth="1"/>
    <col min="13398" max="13398" width="25" style="5" customWidth="1"/>
    <col min="13399" max="13400" width="12.2857142857143" style="5" customWidth="1"/>
    <col min="13401" max="13401" width="24.7142857142857" style="5" customWidth="1"/>
    <col min="13402" max="13402" width="15" style="5" customWidth="1"/>
    <col min="13403" max="13647" width="9.14285714285714" style="5"/>
    <col min="13648" max="13648" width="6.42857142857143" style="5" customWidth="1"/>
    <col min="13649" max="13649" width="32" style="5" customWidth="1"/>
    <col min="13650" max="13650" width="14.5714285714286" style="5" customWidth="1"/>
    <col min="13651" max="13651" width="12.4285714285714" style="5" customWidth="1"/>
    <col min="13652" max="13652" width="51.2857142857143" style="5" customWidth="1"/>
    <col min="13653" max="13653" width="14.8571428571429" style="5" customWidth="1"/>
    <col min="13654" max="13654" width="25" style="5" customWidth="1"/>
    <col min="13655" max="13656" width="12.2857142857143" style="5" customWidth="1"/>
    <col min="13657" max="13657" width="24.7142857142857" style="5" customWidth="1"/>
    <col min="13658" max="13658" width="15" style="5" customWidth="1"/>
    <col min="13659" max="13903" width="9.14285714285714" style="5"/>
    <col min="13904" max="13904" width="6.42857142857143" style="5" customWidth="1"/>
    <col min="13905" max="13905" width="32" style="5" customWidth="1"/>
    <col min="13906" max="13906" width="14.5714285714286" style="5" customWidth="1"/>
    <col min="13907" max="13907" width="12.4285714285714" style="5" customWidth="1"/>
    <col min="13908" max="13908" width="51.2857142857143" style="5" customWidth="1"/>
    <col min="13909" max="13909" width="14.8571428571429" style="5" customWidth="1"/>
    <col min="13910" max="13910" width="25" style="5" customWidth="1"/>
    <col min="13911" max="13912" width="12.2857142857143" style="5" customWidth="1"/>
    <col min="13913" max="13913" width="24.7142857142857" style="5" customWidth="1"/>
    <col min="13914" max="13914" width="15" style="5" customWidth="1"/>
    <col min="13915" max="14159" width="9.14285714285714" style="5"/>
    <col min="14160" max="14160" width="6.42857142857143" style="5" customWidth="1"/>
    <col min="14161" max="14161" width="32" style="5" customWidth="1"/>
    <col min="14162" max="14162" width="14.5714285714286" style="5" customWidth="1"/>
    <col min="14163" max="14163" width="12.4285714285714" style="5" customWidth="1"/>
    <col min="14164" max="14164" width="51.2857142857143" style="5" customWidth="1"/>
    <col min="14165" max="14165" width="14.8571428571429" style="5" customWidth="1"/>
    <col min="14166" max="14166" width="25" style="5" customWidth="1"/>
    <col min="14167" max="14168" width="12.2857142857143" style="5" customWidth="1"/>
    <col min="14169" max="14169" width="24.7142857142857" style="5" customWidth="1"/>
    <col min="14170" max="14170" width="15" style="5" customWidth="1"/>
    <col min="14171" max="14415" width="9.14285714285714" style="5"/>
    <col min="14416" max="14416" width="6.42857142857143" style="5" customWidth="1"/>
    <col min="14417" max="14417" width="32" style="5" customWidth="1"/>
    <col min="14418" max="14418" width="14.5714285714286" style="5" customWidth="1"/>
    <col min="14419" max="14419" width="12.4285714285714" style="5" customWidth="1"/>
    <col min="14420" max="14420" width="51.2857142857143" style="5" customWidth="1"/>
    <col min="14421" max="14421" width="14.8571428571429" style="5" customWidth="1"/>
    <col min="14422" max="14422" width="25" style="5" customWidth="1"/>
    <col min="14423" max="14424" width="12.2857142857143" style="5" customWidth="1"/>
    <col min="14425" max="14425" width="24.7142857142857" style="5" customWidth="1"/>
    <col min="14426" max="14426" width="15" style="5" customWidth="1"/>
    <col min="14427" max="14671" width="9.14285714285714" style="5"/>
    <col min="14672" max="14672" width="6.42857142857143" style="5" customWidth="1"/>
    <col min="14673" max="14673" width="32" style="5" customWidth="1"/>
    <col min="14674" max="14674" width="14.5714285714286" style="5" customWidth="1"/>
    <col min="14675" max="14675" width="12.4285714285714" style="5" customWidth="1"/>
    <col min="14676" max="14676" width="51.2857142857143" style="5" customWidth="1"/>
    <col min="14677" max="14677" width="14.8571428571429" style="5" customWidth="1"/>
    <col min="14678" max="14678" width="25" style="5" customWidth="1"/>
    <col min="14679" max="14680" width="12.2857142857143" style="5" customWidth="1"/>
    <col min="14681" max="14681" width="24.7142857142857" style="5" customWidth="1"/>
    <col min="14682" max="14682" width="15" style="5" customWidth="1"/>
    <col min="14683" max="14927" width="9.14285714285714" style="5"/>
    <col min="14928" max="14928" width="6.42857142857143" style="5" customWidth="1"/>
    <col min="14929" max="14929" width="32" style="5" customWidth="1"/>
    <col min="14930" max="14930" width="14.5714285714286" style="5" customWidth="1"/>
    <col min="14931" max="14931" width="12.4285714285714" style="5" customWidth="1"/>
    <col min="14932" max="14932" width="51.2857142857143" style="5" customWidth="1"/>
    <col min="14933" max="14933" width="14.8571428571429" style="5" customWidth="1"/>
    <col min="14934" max="14934" width="25" style="5" customWidth="1"/>
    <col min="14935" max="14936" width="12.2857142857143" style="5" customWidth="1"/>
    <col min="14937" max="14937" width="24.7142857142857" style="5" customWidth="1"/>
    <col min="14938" max="14938" width="15" style="5" customWidth="1"/>
    <col min="14939" max="15183" width="9.14285714285714" style="5"/>
    <col min="15184" max="15184" width="6.42857142857143" style="5" customWidth="1"/>
    <col min="15185" max="15185" width="32" style="5" customWidth="1"/>
    <col min="15186" max="15186" width="14.5714285714286" style="5" customWidth="1"/>
    <col min="15187" max="15187" width="12.4285714285714" style="5" customWidth="1"/>
    <col min="15188" max="15188" width="51.2857142857143" style="5" customWidth="1"/>
    <col min="15189" max="15189" width="14.8571428571429" style="5" customWidth="1"/>
    <col min="15190" max="15190" width="25" style="5" customWidth="1"/>
    <col min="15191" max="15192" width="12.2857142857143" style="5" customWidth="1"/>
    <col min="15193" max="15193" width="24.7142857142857" style="5" customWidth="1"/>
    <col min="15194" max="15194" width="15" style="5" customWidth="1"/>
    <col min="15195" max="15439" width="9.14285714285714" style="5"/>
    <col min="15440" max="15440" width="6.42857142857143" style="5" customWidth="1"/>
    <col min="15441" max="15441" width="32" style="5" customWidth="1"/>
    <col min="15442" max="15442" width="14.5714285714286" style="5" customWidth="1"/>
    <col min="15443" max="15443" width="12.4285714285714" style="5" customWidth="1"/>
    <col min="15444" max="15444" width="51.2857142857143" style="5" customWidth="1"/>
    <col min="15445" max="15445" width="14.8571428571429" style="5" customWidth="1"/>
    <col min="15446" max="15446" width="25" style="5" customWidth="1"/>
    <col min="15447" max="15448" width="12.2857142857143" style="5" customWidth="1"/>
    <col min="15449" max="15449" width="24.7142857142857" style="5" customWidth="1"/>
    <col min="15450" max="15450" width="15" style="5" customWidth="1"/>
    <col min="15451" max="15695" width="9.14285714285714" style="5"/>
    <col min="15696" max="15696" width="6.42857142857143" style="5" customWidth="1"/>
    <col min="15697" max="15697" width="32" style="5" customWidth="1"/>
    <col min="15698" max="15698" width="14.5714285714286" style="5" customWidth="1"/>
    <col min="15699" max="15699" width="12.4285714285714" style="5" customWidth="1"/>
    <col min="15700" max="15700" width="51.2857142857143" style="5" customWidth="1"/>
    <col min="15701" max="15701" width="14.8571428571429" style="5" customWidth="1"/>
    <col min="15702" max="15702" width="25" style="5" customWidth="1"/>
    <col min="15703" max="15704" width="12.2857142857143" style="5" customWidth="1"/>
    <col min="15705" max="15705" width="24.7142857142857" style="5" customWidth="1"/>
    <col min="15706" max="15706" width="15" style="5" customWidth="1"/>
    <col min="15707" max="15951" width="9.14285714285714" style="5"/>
    <col min="15952" max="15952" width="6.42857142857143" style="5" customWidth="1"/>
    <col min="15953" max="15953" width="32" style="5" customWidth="1"/>
    <col min="15954" max="15954" width="14.5714285714286" style="5" customWidth="1"/>
    <col min="15955" max="15955" width="12.4285714285714" style="5" customWidth="1"/>
    <col min="15956" max="15956" width="51.2857142857143" style="5" customWidth="1"/>
    <col min="15957" max="15957" width="14.8571428571429" style="5" customWidth="1"/>
    <col min="15958" max="15958" width="25" style="5" customWidth="1"/>
    <col min="15959" max="15960" width="12.2857142857143" style="5" customWidth="1"/>
    <col min="15961" max="15961" width="24.7142857142857" style="5" customWidth="1"/>
    <col min="15962" max="15962" width="15" style="5" customWidth="1"/>
    <col min="15963" max="16384" width="9.14285714285714" style="5"/>
  </cols>
  <sheetData>
    <row r="1" s="1" customFormat="1" ht="23.25" spans="1:13">
      <c r="A1" s="12" t="s">
        <v>152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="1" customFormat="1" ht="23.25" spans="1:13">
      <c r="A2" s="12" t="s">
        <v>153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="1" customFormat="1" ht="23.25" spans="1:13">
      <c r="A3" s="12" t="s">
        <v>154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="1" customFormat="1" ht="23.25" spans="1:13">
      <c r="A4" s="13" t="str">
        <f>+งบรายจ่ายอื่น!A4</f>
        <v>ตั้งแต่วันที่ 1  ตุลาคม 2564 ถึงวันที่ 30 เมษายน 2565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="1036" customFormat="1" spans="1:13">
      <c r="A5" s="1039" t="s">
        <v>155</v>
      </c>
      <c r="B5" s="1039" t="s">
        <v>156</v>
      </c>
      <c r="C5" s="1039" t="s">
        <v>157</v>
      </c>
      <c r="D5" s="1039" t="s">
        <v>158</v>
      </c>
      <c r="E5" s="1040" t="s">
        <v>159</v>
      </c>
      <c r="F5" s="1039" t="s">
        <v>160</v>
      </c>
      <c r="G5" s="1041" t="s">
        <v>161</v>
      </c>
      <c r="H5" s="1039" t="s">
        <v>117</v>
      </c>
      <c r="I5" s="1039" t="s">
        <v>26</v>
      </c>
      <c r="J5" s="1051" t="s">
        <v>162</v>
      </c>
      <c r="K5" s="1039" t="s">
        <v>163</v>
      </c>
      <c r="L5" s="1041" t="s">
        <v>164</v>
      </c>
      <c r="M5" s="1052" t="s">
        <v>165</v>
      </c>
    </row>
    <row r="6" s="1036" customFormat="1" spans="1:13">
      <c r="A6" s="1042" t="s">
        <v>105</v>
      </c>
      <c r="B6" s="1042"/>
      <c r="C6" s="1042"/>
      <c r="D6" s="1042"/>
      <c r="E6" s="1043"/>
      <c r="F6" s="1042"/>
      <c r="G6" s="1044"/>
      <c r="H6" s="1042"/>
      <c r="I6" s="1042" t="s">
        <v>166</v>
      </c>
      <c r="J6" s="1053"/>
      <c r="K6" s="1042" t="s">
        <v>118</v>
      </c>
      <c r="L6" s="1044"/>
      <c r="M6" s="1052"/>
    </row>
    <row r="7" ht="66" customHeight="1" spans="1:13">
      <c r="A7" s="22">
        <v>1</v>
      </c>
      <c r="B7" s="23" t="s">
        <v>167</v>
      </c>
      <c r="C7" s="1045">
        <v>1600600001</v>
      </c>
      <c r="D7" s="1045">
        <v>6411320</v>
      </c>
      <c r="E7" s="1046" t="s">
        <v>168</v>
      </c>
      <c r="F7" s="1047">
        <v>2000536758</v>
      </c>
      <c r="G7" s="32" t="s">
        <v>169</v>
      </c>
      <c r="H7" s="28">
        <v>5141555</v>
      </c>
      <c r="I7" s="42">
        <f>+เงินกันปี64!I34</f>
        <v>1654089.27</v>
      </c>
      <c r="J7" s="42">
        <f t="shared" ref="J7:J22" si="0">+H7-I7</f>
        <v>3487465.73</v>
      </c>
      <c r="K7" s="43">
        <f t="shared" ref="K7:K24" si="1">+I7*100/H7</f>
        <v>32.170992433223</v>
      </c>
      <c r="L7" s="44" t="s">
        <v>170</v>
      </c>
      <c r="M7" s="1054" t="str">
        <f>+เงินกันปี64!M28</f>
        <v>เป็นรายการที่กรมพินิจฯ ขอขยายเวลาเบิกจ่าย </v>
      </c>
    </row>
    <row r="8" ht="110.25" customHeight="1" spans="1:13">
      <c r="A8" s="22">
        <v>2</v>
      </c>
      <c r="B8" s="23" t="s">
        <v>167</v>
      </c>
      <c r="C8" s="1045">
        <v>1600600001</v>
      </c>
      <c r="D8" s="1045">
        <v>6411320</v>
      </c>
      <c r="E8" s="1046" t="s">
        <v>171</v>
      </c>
      <c r="F8" s="1047">
        <v>2000544930</v>
      </c>
      <c r="G8" s="32" t="s">
        <v>172</v>
      </c>
      <c r="H8" s="28">
        <v>14508000</v>
      </c>
      <c r="I8" s="42">
        <f>+เงินกันปี64!I35</f>
        <v>4041914.4</v>
      </c>
      <c r="J8" s="42">
        <f t="shared" si="0"/>
        <v>10466085.6</v>
      </c>
      <c r="K8" s="43">
        <f t="shared" si="1"/>
        <v>27.8599007444169</v>
      </c>
      <c r="L8" s="44" t="s">
        <v>173</v>
      </c>
      <c r="M8" s="1054" t="str">
        <f>+เงินกันปี64!M29</f>
        <v>เป็นรายการที่กรมพินิจฯ ขอขยายเวลาเบิกจ่าย </v>
      </c>
    </row>
    <row r="9" ht="63" customHeight="1" spans="1:13">
      <c r="A9" s="22">
        <v>3</v>
      </c>
      <c r="B9" s="23" t="s">
        <v>167</v>
      </c>
      <c r="C9" s="1045">
        <v>1600600001</v>
      </c>
      <c r="D9" s="1045">
        <v>6411320</v>
      </c>
      <c r="E9" s="1046" t="s">
        <v>174</v>
      </c>
      <c r="F9" s="1047">
        <v>2000544933</v>
      </c>
      <c r="G9" s="32" t="s">
        <v>175</v>
      </c>
      <c r="H9" s="28">
        <v>27525700</v>
      </c>
      <c r="I9" s="42">
        <f>+เงินกันปี64!I36</f>
        <v>11790000</v>
      </c>
      <c r="J9" s="42">
        <f t="shared" si="0"/>
        <v>15735700</v>
      </c>
      <c r="K9" s="43">
        <f t="shared" si="1"/>
        <v>42.8326981693472</v>
      </c>
      <c r="L9" s="44" t="s">
        <v>176</v>
      </c>
      <c r="M9" s="1054" t="str">
        <f>+เงินกันปี64!M30</f>
        <v>เป็นรายการที่กรมพินิจฯ ขอขยายเวลาเบิกจ่าย </v>
      </c>
    </row>
    <row r="10" ht="63" customHeight="1" spans="1:13">
      <c r="A10" s="22">
        <v>4</v>
      </c>
      <c r="B10" s="23" t="s">
        <v>167</v>
      </c>
      <c r="C10" s="1045">
        <v>1600600001</v>
      </c>
      <c r="D10" s="1045">
        <v>6411320</v>
      </c>
      <c r="E10" s="1046" t="s">
        <v>177</v>
      </c>
      <c r="F10" s="1047">
        <v>2000544935</v>
      </c>
      <c r="G10" s="32" t="s">
        <v>178</v>
      </c>
      <c r="H10" s="28">
        <v>35709073</v>
      </c>
      <c r="I10" s="42">
        <v>4950862</v>
      </c>
      <c r="J10" s="42">
        <f t="shared" si="0"/>
        <v>30758211</v>
      </c>
      <c r="K10" s="43">
        <f t="shared" si="1"/>
        <v>13.8644371977956</v>
      </c>
      <c r="L10" s="44" t="s">
        <v>179</v>
      </c>
      <c r="M10" s="1054" t="str">
        <f>+เงินกันปี64!M31</f>
        <v>เป็นรายการที่กรมพินิจฯ ขอขยายเวลาเบิกจ่าย </v>
      </c>
    </row>
    <row r="11" ht="63" customHeight="1" spans="1:13">
      <c r="A11" s="22">
        <v>5</v>
      </c>
      <c r="B11" s="23" t="s">
        <v>167</v>
      </c>
      <c r="C11" s="1045">
        <v>1600600001</v>
      </c>
      <c r="D11" s="1045">
        <v>6411320</v>
      </c>
      <c r="E11" s="1046" t="s">
        <v>180</v>
      </c>
      <c r="F11" s="1047">
        <v>2000545217</v>
      </c>
      <c r="G11" s="32" t="s">
        <v>181</v>
      </c>
      <c r="H11" s="28">
        <v>10872000</v>
      </c>
      <c r="I11" s="42">
        <f>+เงินกันปี64!I38</f>
        <v>10872000</v>
      </c>
      <c r="J11" s="42">
        <f t="shared" si="0"/>
        <v>0</v>
      </c>
      <c r="K11" s="43">
        <f t="shared" si="1"/>
        <v>100</v>
      </c>
      <c r="L11" s="44" t="s">
        <v>182</v>
      </c>
      <c r="M11" s="1054"/>
    </row>
    <row r="12" s="136" customFormat="1" ht="45" customHeight="1" spans="1:13">
      <c r="A12" s="311" t="s">
        <v>183</v>
      </c>
      <c r="B12" s="312"/>
      <c r="C12" s="312"/>
      <c r="D12" s="312"/>
      <c r="E12" s="312"/>
      <c r="F12" s="312"/>
      <c r="G12" s="313"/>
      <c r="H12" s="1048">
        <f>SUM(H7:H11)</f>
        <v>93756328</v>
      </c>
      <c r="I12" s="1048">
        <f t="shared" ref="I12:J12" si="2">SUM(I7:I11)</f>
        <v>33308865.67</v>
      </c>
      <c r="J12" s="1048">
        <f t="shared" si="2"/>
        <v>60447462.33</v>
      </c>
      <c r="K12" s="169">
        <f t="shared" si="1"/>
        <v>35.5270586855748</v>
      </c>
      <c r="L12" s="63"/>
      <c r="M12" s="168"/>
    </row>
    <row r="13" ht="84.75" customHeight="1" spans="1:13">
      <c r="A13" s="22">
        <v>6</v>
      </c>
      <c r="B13" s="23" t="s">
        <v>184</v>
      </c>
      <c r="C13" s="1045">
        <v>1600600052</v>
      </c>
      <c r="D13" s="1045">
        <v>6411320</v>
      </c>
      <c r="E13" s="1046" t="s">
        <v>185</v>
      </c>
      <c r="F13" s="1047">
        <v>7015551847</v>
      </c>
      <c r="G13" s="32" t="s">
        <v>186</v>
      </c>
      <c r="H13" s="28">
        <v>869050</v>
      </c>
      <c r="I13" s="42">
        <f>+เงินกันปี64!I39</f>
        <v>467950</v>
      </c>
      <c r="J13" s="42">
        <f>+H13-I13</f>
        <v>401100</v>
      </c>
      <c r="K13" s="43">
        <f t="shared" si="1"/>
        <v>53.8461538461538</v>
      </c>
      <c r="L13" s="44" t="s">
        <v>187</v>
      </c>
      <c r="M13" s="1054" t="str">
        <f>+เงินกันปี64!M34</f>
        <v>เป็นรายการที่กรมพินิจฯ ขอขยายเวลาเบิกจ่าย </v>
      </c>
    </row>
    <row r="14" ht="70.5" customHeight="1" spans="1:13">
      <c r="A14" s="22">
        <v>7</v>
      </c>
      <c r="B14" s="23" t="s">
        <v>188</v>
      </c>
      <c r="C14" s="1045">
        <v>1600600094</v>
      </c>
      <c r="D14" s="1045">
        <v>6411320</v>
      </c>
      <c r="E14" s="1046" t="s">
        <v>189</v>
      </c>
      <c r="F14" s="1047">
        <v>2000488807</v>
      </c>
      <c r="G14" s="32" t="s">
        <v>190</v>
      </c>
      <c r="H14" s="28">
        <f>+เงินกันปี64!H40+เงินกันปี64!H41+เงินกันปี64!H42+เงินกันปี64!H43</f>
        <v>15048982.4</v>
      </c>
      <c r="I14" s="28">
        <f>+เงินกันปี64!I40+เงินกันปี64!I41+เงินกันปี64!I42+เงินกันปี64!I43</f>
        <v>11067571.2</v>
      </c>
      <c r="J14" s="42">
        <f t="shared" si="0"/>
        <v>3981411.2</v>
      </c>
      <c r="K14" s="43">
        <f t="shared" si="1"/>
        <v>73.5436516956788</v>
      </c>
      <c r="L14" s="44" t="s">
        <v>191</v>
      </c>
      <c r="M14" s="1054" t="str">
        <f>+เงินกันปี64!M35</f>
        <v>เป็นรายการที่กรมพินิจฯ ขอขยายเวลาเบิกจ่าย </v>
      </c>
    </row>
    <row r="15" ht="87.75" customHeight="1" spans="1:13">
      <c r="A15" s="22">
        <v>8</v>
      </c>
      <c r="B15" s="309" t="s">
        <v>192</v>
      </c>
      <c r="C15" s="1045">
        <v>1600600100</v>
      </c>
      <c r="D15" s="1045">
        <v>6411320</v>
      </c>
      <c r="E15" s="1046" t="s">
        <v>193</v>
      </c>
      <c r="F15" s="1047">
        <v>7015519780</v>
      </c>
      <c r="G15" s="32" t="s">
        <v>194</v>
      </c>
      <c r="H15" s="28">
        <v>5123000</v>
      </c>
      <c r="I15" s="42">
        <f>+เงินกันปี64!I44</f>
        <v>2725000</v>
      </c>
      <c r="J15" s="42">
        <f t="shared" si="0"/>
        <v>2398000</v>
      </c>
      <c r="K15" s="43">
        <f t="shared" si="1"/>
        <v>53.1914893617021</v>
      </c>
      <c r="L15" s="44" t="s">
        <v>195</v>
      </c>
      <c r="M15" s="1054" t="str">
        <f>+เงินกันปี64!M36</f>
        <v>เป็นรายการที่กรมพินิจฯ ขอขยายเวลาเบิกจ่าย </v>
      </c>
    </row>
    <row r="16" ht="63.75" customHeight="1" spans="1:13">
      <c r="A16" s="22">
        <v>9</v>
      </c>
      <c r="B16" s="23" t="s">
        <v>196</v>
      </c>
      <c r="C16" s="1045">
        <v>1600600108</v>
      </c>
      <c r="D16" s="1045">
        <v>6411320</v>
      </c>
      <c r="E16" s="1046" t="s">
        <v>197</v>
      </c>
      <c r="F16" s="1047">
        <v>7016565486</v>
      </c>
      <c r="G16" s="786" t="s">
        <v>198</v>
      </c>
      <c r="H16" s="28">
        <v>499000</v>
      </c>
      <c r="I16" s="42">
        <f>+เงินกันปี64!I45</f>
        <v>499000</v>
      </c>
      <c r="J16" s="42">
        <f t="shared" si="0"/>
        <v>0</v>
      </c>
      <c r="K16" s="43">
        <f t="shared" si="1"/>
        <v>100</v>
      </c>
      <c r="L16" s="44" t="s">
        <v>199</v>
      </c>
      <c r="M16" s="46"/>
    </row>
    <row r="17" ht="63" spans="1:13">
      <c r="A17" s="22">
        <v>10</v>
      </c>
      <c r="B17" s="23" t="s">
        <v>200</v>
      </c>
      <c r="C17" s="1045">
        <v>1600600204</v>
      </c>
      <c r="D17" s="1045">
        <v>6411320</v>
      </c>
      <c r="E17" s="308" t="s">
        <v>201</v>
      </c>
      <c r="F17" s="1047">
        <v>7016760124</v>
      </c>
      <c r="G17" s="787" t="s">
        <v>202</v>
      </c>
      <c r="H17" s="28">
        <v>197393</v>
      </c>
      <c r="I17" s="42">
        <f>+เงินกันปี64!I46</f>
        <v>197393</v>
      </c>
      <c r="J17" s="42">
        <f t="shared" si="0"/>
        <v>0</v>
      </c>
      <c r="K17" s="43">
        <f t="shared" si="1"/>
        <v>100</v>
      </c>
      <c r="L17" s="44" t="s">
        <v>203</v>
      </c>
      <c r="M17" s="46"/>
    </row>
    <row r="18" ht="63.75" customHeight="1" spans="1:13">
      <c r="A18" s="22">
        <v>11</v>
      </c>
      <c r="B18" s="23" t="s">
        <v>200</v>
      </c>
      <c r="C18" s="1045">
        <v>1600600204</v>
      </c>
      <c r="D18" s="1045">
        <v>6411320</v>
      </c>
      <c r="E18" s="308" t="s">
        <v>204</v>
      </c>
      <c r="F18" s="1047">
        <v>7016957441</v>
      </c>
      <c r="G18" s="787" t="s">
        <v>205</v>
      </c>
      <c r="H18" s="28">
        <v>158161.69</v>
      </c>
      <c r="I18" s="42">
        <f>+เงินกันปี64!I47</f>
        <v>158161.69</v>
      </c>
      <c r="J18" s="42">
        <f t="shared" si="0"/>
        <v>0</v>
      </c>
      <c r="K18" s="43">
        <f t="shared" si="1"/>
        <v>100</v>
      </c>
      <c r="L18" s="44" t="s">
        <v>206</v>
      </c>
      <c r="M18" s="46"/>
    </row>
    <row r="19" ht="63.75" customHeight="1" spans="1:13">
      <c r="A19" s="22">
        <v>12</v>
      </c>
      <c r="B19" s="23" t="s">
        <v>207</v>
      </c>
      <c r="C19" s="1045">
        <v>1600600528</v>
      </c>
      <c r="D19" s="1045">
        <v>6411320</v>
      </c>
      <c r="E19" s="308" t="s">
        <v>208</v>
      </c>
      <c r="F19" s="1047">
        <v>7016838303</v>
      </c>
      <c r="G19" s="787" t="s">
        <v>209</v>
      </c>
      <c r="H19" s="28">
        <v>251500</v>
      </c>
      <c r="I19" s="42">
        <f>+เงินกันปี64!I48</f>
        <v>251500</v>
      </c>
      <c r="J19" s="42">
        <f t="shared" si="0"/>
        <v>0</v>
      </c>
      <c r="K19" s="43">
        <f t="shared" si="1"/>
        <v>100</v>
      </c>
      <c r="L19" s="44" t="s">
        <v>210</v>
      </c>
      <c r="M19" s="46"/>
    </row>
    <row r="20" ht="63.75" customHeight="1" spans="1:13">
      <c r="A20" s="22">
        <v>13</v>
      </c>
      <c r="B20" s="23" t="s">
        <v>211</v>
      </c>
      <c r="C20" s="1045">
        <v>1600600717</v>
      </c>
      <c r="D20" s="1045">
        <v>6411320</v>
      </c>
      <c r="E20" s="308" t="s">
        <v>212</v>
      </c>
      <c r="F20" s="1047">
        <v>7016897990</v>
      </c>
      <c r="G20" s="788" t="s">
        <v>213</v>
      </c>
      <c r="H20" s="28">
        <v>498125.23</v>
      </c>
      <c r="I20" s="42">
        <f>+เงินกันปี64!I49</f>
        <v>498125.23</v>
      </c>
      <c r="J20" s="42">
        <f t="shared" si="0"/>
        <v>0</v>
      </c>
      <c r="K20" s="43">
        <f t="shared" si="1"/>
        <v>100</v>
      </c>
      <c r="L20" s="44" t="s">
        <v>214</v>
      </c>
      <c r="M20" s="46"/>
    </row>
    <row r="21" ht="54.75" customHeight="1" spans="1:13">
      <c r="A21" s="22">
        <v>14</v>
      </c>
      <c r="B21" s="23" t="s">
        <v>211</v>
      </c>
      <c r="C21" s="1045">
        <v>1600600717</v>
      </c>
      <c r="D21" s="1045">
        <v>6411320</v>
      </c>
      <c r="E21" s="308" t="s">
        <v>215</v>
      </c>
      <c r="F21" s="1047">
        <v>7016930846</v>
      </c>
      <c r="G21" s="784" t="s">
        <v>216</v>
      </c>
      <c r="H21" s="28">
        <v>497832.5</v>
      </c>
      <c r="I21" s="42">
        <f>+เงินกันปี64!I50</f>
        <v>497832.5</v>
      </c>
      <c r="J21" s="42">
        <f t="shared" si="0"/>
        <v>0</v>
      </c>
      <c r="K21" s="43">
        <f t="shared" si="1"/>
        <v>100</v>
      </c>
      <c r="L21" s="44" t="s">
        <v>217</v>
      </c>
      <c r="M21" s="46"/>
    </row>
    <row r="22" ht="54.75" customHeight="1" spans="1:13">
      <c r="A22" s="22">
        <v>15</v>
      </c>
      <c r="B22" s="23" t="s">
        <v>211</v>
      </c>
      <c r="C22" s="1045">
        <v>1600600717</v>
      </c>
      <c r="D22" s="1045">
        <v>6411320</v>
      </c>
      <c r="E22" s="308" t="s">
        <v>218</v>
      </c>
      <c r="F22" s="1047">
        <v>7016956119</v>
      </c>
      <c r="G22" s="788" t="s">
        <v>219</v>
      </c>
      <c r="H22" s="28">
        <v>498000</v>
      </c>
      <c r="I22" s="42">
        <f>+เงินกันปี64!I51</f>
        <v>498000</v>
      </c>
      <c r="J22" s="42">
        <f t="shared" si="0"/>
        <v>0</v>
      </c>
      <c r="K22" s="43">
        <f t="shared" si="1"/>
        <v>100</v>
      </c>
      <c r="L22" s="44" t="s">
        <v>206</v>
      </c>
      <c r="M22" s="46"/>
    </row>
    <row r="23" s="1037" customFormat="1" ht="32.25" customHeight="1" spans="1:13">
      <c r="A23" s="311" t="s">
        <v>220</v>
      </c>
      <c r="B23" s="312"/>
      <c r="C23" s="312"/>
      <c r="D23" s="312"/>
      <c r="E23" s="312"/>
      <c r="F23" s="312"/>
      <c r="G23" s="313"/>
      <c r="H23" s="1049">
        <f>SUM(H13:H22)</f>
        <v>23641044.82</v>
      </c>
      <c r="I23" s="1049">
        <f t="shared" ref="I23:J23" si="3">SUM(I13:I22)</f>
        <v>16860533.62</v>
      </c>
      <c r="J23" s="1049">
        <f t="shared" si="3"/>
        <v>6780511.2</v>
      </c>
      <c r="K23" s="802">
        <f t="shared" si="1"/>
        <v>71.3189021397913</v>
      </c>
      <c r="L23" s="1055"/>
      <c r="M23" s="779"/>
    </row>
    <row r="24" s="145" customFormat="1" ht="36.75" customHeight="1" spans="1:13">
      <c r="A24" s="254" t="s">
        <v>221</v>
      </c>
      <c r="B24" s="254"/>
      <c r="C24" s="254"/>
      <c r="D24" s="254"/>
      <c r="E24" s="254"/>
      <c r="F24" s="254"/>
      <c r="G24" s="254"/>
      <c r="H24" s="1050">
        <f>+H12+H23</f>
        <v>117397372.82</v>
      </c>
      <c r="I24" s="1050">
        <f t="shared" ref="I24:J24" si="4">+I12+I23</f>
        <v>50169399.29</v>
      </c>
      <c r="J24" s="1050">
        <f t="shared" si="4"/>
        <v>67227973.53</v>
      </c>
      <c r="K24" s="159">
        <f t="shared" si="1"/>
        <v>42.7346865478178</v>
      </c>
      <c r="L24" s="1056"/>
      <c r="M24" s="560"/>
    </row>
    <row r="25" hidden="1" spans="1:12">
      <c r="A25" s="22"/>
      <c r="B25" s="23"/>
      <c r="C25" s="22"/>
      <c r="D25" s="22"/>
      <c r="E25" s="308"/>
      <c r="F25" s="22"/>
      <c r="G25" s="33" t="s">
        <v>15</v>
      </c>
      <c r="H25" s="37" t="e">
        <f>+#REF!+#REF!+#REF!+#REF!+#REF!+#REF!+#REF!+#REF!+#REF!+#REF!+#REF!</f>
        <v>#REF!</v>
      </c>
      <c r="I25" s="37" t="e">
        <f>+#REF!+#REF!+#REF!+#REF!+#REF!+#REF!+#REF!+#REF!+#REF!+#REF!+#REF!</f>
        <v>#REF!</v>
      </c>
      <c r="J25" s="37" t="e">
        <f>+#REF!+#REF!+#REF!+#REF!+#REF!+#REF!+#REF!+#REF!+#REF!+#REF!+#REF!</f>
        <v>#REF!</v>
      </c>
      <c r="K25" s="46"/>
      <c r="L25" s="50" t="e">
        <f>+I25/1000000</f>
        <v>#REF!</v>
      </c>
    </row>
    <row r="26" hidden="1" spans="1:12">
      <c r="A26" s="22"/>
      <c r="B26" s="23"/>
      <c r="C26" s="22"/>
      <c r="D26" s="22"/>
      <c r="E26" s="308"/>
      <c r="F26" s="22"/>
      <c r="G26" s="33" t="s">
        <v>222</v>
      </c>
      <c r="H26" s="38" t="e">
        <f>+H7+H8+H9+H10+H11+H13+H14+#REF!+#REF!+#REF!+H15+H16+H17+H18+H19+H20+H21+H22</f>
        <v>#REF!</v>
      </c>
      <c r="I26" s="38" t="e">
        <f>+I7+I8+I9+I10+I11+I13+I14+#REF!+#REF!+#REF!+I15+I16+I17+I18+I19+I20+I21+I22</f>
        <v>#REF!</v>
      </c>
      <c r="J26" s="38" t="e">
        <f>+J7+J8+J9+J10+J11+J13+J14+#REF!+#REF!+#REF!+J15+J16+J17+J18+J19+J20+J21+J22</f>
        <v>#REF!</v>
      </c>
      <c r="K26" s="46"/>
      <c r="L26" s="50" t="e">
        <f t="shared" ref="L26:L27" si="5">+I26/1000000</f>
        <v>#REF!</v>
      </c>
    </row>
    <row r="27" hidden="1" spans="1:12">
      <c r="A27" s="22"/>
      <c r="B27" s="23"/>
      <c r="C27" s="22"/>
      <c r="D27" s="22"/>
      <c r="E27" s="308"/>
      <c r="F27" s="22"/>
      <c r="G27" s="33" t="s">
        <v>221</v>
      </c>
      <c r="H27" s="37" t="e">
        <f>SUM(H25:H26)</f>
        <v>#REF!</v>
      </c>
      <c r="I27" s="37" t="e">
        <f t="shared" ref="I27:J27" si="6">SUM(I25:I26)</f>
        <v>#REF!</v>
      </c>
      <c r="J27" s="37" t="e">
        <f t="shared" si="6"/>
        <v>#REF!</v>
      </c>
      <c r="K27" s="46"/>
      <c r="L27" s="50" t="e">
        <f t="shared" si="5"/>
        <v>#REF!</v>
      </c>
    </row>
    <row r="28" hidden="1" spans="12:12">
      <c r="L28" s="50"/>
    </row>
    <row r="29" hidden="1"/>
    <row r="30" hidden="1"/>
  </sheetData>
  <mergeCells count="17">
    <mergeCell ref="A1:M1"/>
    <mergeCell ref="A2:M2"/>
    <mergeCell ref="A3:M3"/>
    <mergeCell ref="A4:M4"/>
    <mergeCell ref="A12:G12"/>
    <mergeCell ref="A23:G23"/>
    <mergeCell ref="A24:G24"/>
    <mergeCell ref="B5:B6"/>
    <mergeCell ref="C5:C6"/>
    <mergeCell ref="D5:D6"/>
    <mergeCell ref="E5:E6"/>
    <mergeCell ref="F5:F6"/>
    <mergeCell ref="G5:G6"/>
    <mergeCell ref="H5:H6"/>
    <mergeCell ref="J5:J6"/>
    <mergeCell ref="L5:L6"/>
    <mergeCell ref="M5:M6"/>
  </mergeCells>
  <printOptions horizontalCentered="1"/>
  <pageMargins left="0.236220472440945" right="0" top="0.748031496062992" bottom="0.748031496062992" header="0.31496062992126" footer="0.31496062992126"/>
  <pageSetup paperSize="5" scale="7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O103"/>
  <sheetViews>
    <sheetView zoomScale="70" zoomScaleNormal="70" topLeftCell="A8" workbookViewId="0">
      <pane ySplit="1290" topLeftCell="A7" activePane="bottomLeft"/>
      <selection/>
      <selection pane="bottomLeft" activeCell="D10" sqref="D10"/>
    </sheetView>
  </sheetViews>
  <sheetFormatPr defaultColWidth="9.14285714285714" defaultRowHeight="21"/>
  <cols>
    <col min="1" max="1" width="6.28571428571429" style="866" customWidth="1"/>
    <col min="2" max="2" width="19.5714285714286" style="867" hidden="1" customWidth="1"/>
    <col min="3" max="3" width="6.42857142857143" style="868" customWidth="1"/>
    <col min="4" max="4" width="65.2857142857143" style="869" customWidth="1"/>
    <col min="5" max="5" width="18.2857142857143" style="806" customWidth="1"/>
    <col min="6" max="6" width="18.2857142857143" style="806" hidden="1" customWidth="1"/>
    <col min="7" max="7" width="18.2857142857143" style="839" customWidth="1"/>
    <col min="8" max="10" width="18.2857142857143" style="806" customWidth="1"/>
    <col min="11" max="11" width="18.2857142857143" style="839" customWidth="1"/>
    <col min="12" max="12" width="11.5714285714286" style="839" customWidth="1"/>
    <col min="13" max="13" width="16" style="839" customWidth="1"/>
    <col min="14" max="14" width="22.4285714285714" style="839" hidden="1" customWidth="1"/>
    <col min="15" max="15" width="39.7142857142857" style="869" customWidth="1"/>
    <col min="16" max="92" width="9.14285714285714" style="806" customWidth="1"/>
    <col min="93" max="16384" width="9.14285714285714" style="806"/>
  </cols>
  <sheetData>
    <row r="1" ht="26.25" spans="1:15">
      <c r="A1" s="1027" t="s">
        <v>0</v>
      </c>
      <c r="B1" s="1027"/>
      <c r="C1" s="1027"/>
      <c r="D1" s="1027"/>
      <c r="E1" s="1027"/>
      <c r="F1" s="1027"/>
      <c r="G1" s="1027"/>
      <c r="H1" s="1027"/>
      <c r="I1" s="1027"/>
      <c r="J1" s="1027"/>
      <c r="K1" s="1027"/>
      <c r="L1" s="1027"/>
      <c r="M1" s="1027"/>
      <c r="N1" s="1027"/>
      <c r="O1" s="1027"/>
    </row>
    <row r="2" ht="26.25" spans="1:15">
      <c r="A2" s="1027" t="s">
        <v>223</v>
      </c>
      <c r="B2" s="1027"/>
      <c r="C2" s="1027"/>
      <c r="D2" s="1027"/>
      <c r="E2" s="1027"/>
      <c r="F2" s="1027"/>
      <c r="G2" s="1027"/>
      <c r="H2" s="1027"/>
      <c r="I2" s="1027"/>
      <c r="J2" s="1027"/>
      <c r="K2" s="1027"/>
      <c r="L2" s="1027"/>
      <c r="M2" s="1027"/>
      <c r="N2" s="1027"/>
      <c r="O2" s="1027"/>
    </row>
    <row r="3" ht="26.25" spans="1:15">
      <c r="A3" s="1027" t="s">
        <v>224</v>
      </c>
      <c r="B3" s="1027"/>
      <c r="C3" s="1027"/>
      <c r="D3" s="1027"/>
      <c r="E3" s="1027"/>
      <c r="F3" s="1027"/>
      <c r="G3" s="1027"/>
      <c r="H3" s="1027"/>
      <c r="I3" s="1027"/>
      <c r="J3" s="1027"/>
      <c r="K3" s="1027"/>
      <c r="L3" s="1027"/>
      <c r="M3" s="1027"/>
      <c r="N3" s="1027"/>
      <c r="O3" s="1027"/>
    </row>
    <row r="4" ht="26.25" spans="1:15">
      <c r="A4" s="1028" t="str">
        <f>+รายจ่ายจริง!A3:P3</f>
        <v>ตั้งแต่วันที่ 1  ตุลาคม 2564 ถึงวันที่ 30 เมษายน 2565</v>
      </c>
      <c r="B4" s="1028"/>
      <c r="C4" s="1028"/>
      <c r="D4" s="1028"/>
      <c r="E4" s="1028"/>
      <c r="F4" s="1028"/>
      <c r="G4" s="1028"/>
      <c r="H4" s="1028"/>
      <c r="I4" s="1028"/>
      <c r="J4" s="1028"/>
      <c r="K4" s="1028"/>
      <c r="L4" s="1028"/>
      <c r="M4" s="1028"/>
      <c r="N4" s="1028"/>
      <c r="O4" s="1028"/>
    </row>
    <row r="5" spans="1:15">
      <c r="A5" s="872" t="s">
        <v>155</v>
      </c>
      <c r="B5" s="873"/>
      <c r="C5" s="874" t="s">
        <v>105</v>
      </c>
      <c r="D5" s="875"/>
      <c r="E5" s="876" t="s">
        <v>225</v>
      </c>
      <c r="F5" s="877"/>
      <c r="G5" s="878"/>
      <c r="H5" s="879" t="s">
        <v>109</v>
      </c>
      <c r="I5" s="879" t="s">
        <v>26</v>
      </c>
      <c r="J5" s="879" t="s">
        <v>226</v>
      </c>
      <c r="K5" s="879" t="s">
        <v>162</v>
      </c>
      <c r="L5" s="918" t="s">
        <v>118</v>
      </c>
      <c r="M5" s="919" t="s">
        <v>118</v>
      </c>
      <c r="N5" s="920"/>
      <c r="O5" s="1031" t="s">
        <v>165</v>
      </c>
    </row>
    <row r="6" ht="32.25" customHeight="1" spans="1:15">
      <c r="A6" s="880" t="s">
        <v>227</v>
      </c>
      <c r="B6" s="881" t="s">
        <v>159</v>
      </c>
      <c r="C6" s="882"/>
      <c r="D6" s="883"/>
      <c r="E6" s="822" t="s">
        <v>113</v>
      </c>
      <c r="F6" s="822" t="s">
        <v>228</v>
      </c>
      <c r="G6" s="822" t="s">
        <v>114</v>
      </c>
      <c r="H6" s="884" t="s">
        <v>229</v>
      </c>
      <c r="I6" s="884" t="s">
        <v>230</v>
      </c>
      <c r="J6" s="1032" t="s">
        <v>231</v>
      </c>
      <c r="K6" s="1032" t="s">
        <v>232</v>
      </c>
      <c r="L6" s="922" t="s">
        <v>233</v>
      </c>
      <c r="M6" s="923" t="s">
        <v>233</v>
      </c>
      <c r="N6" s="924"/>
      <c r="O6" s="822"/>
    </row>
    <row r="7" ht="32.25" customHeight="1" spans="1:15">
      <c r="A7" s="885"/>
      <c r="B7" s="886"/>
      <c r="C7" s="887"/>
      <c r="D7" s="888"/>
      <c r="E7" s="889" t="s">
        <v>234</v>
      </c>
      <c r="F7" s="889" t="s">
        <v>235</v>
      </c>
      <c r="G7" s="889" t="s">
        <v>235</v>
      </c>
      <c r="H7" s="889" t="s">
        <v>236</v>
      </c>
      <c r="I7" s="889" t="s">
        <v>237</v>
      </c>
      <c r="J7" s="889" t="s">
        <v>238</v>
      </c>
      <c r="K7" s="889" t="s">
        <v>239</v>
      </c>
      <c r="L7" s="926" t="s">
        <v>240</v>
      </c>
      <c r="M7" s="927" t="s">
        <v>241</v>
      </c>
      <c r="N7" s="928"/>
      <c r="O7" s="1033"/>
    </row>
    <row r="8" s="860" customFormat="1" ht="71.25" customHeight="1" spans="1:15">
      <c r="A8" s="896">
        <v>1</v>
      </c>
      <c r="B8" s="896"/>
      <c r="C8" s="896" t="s">
        <v>242</v>
      </c>
      <c r="D8" s="896"/>
      <c r="E8" s="897">
        <f>SUM(E9:E35)</f>
        <v>27161300</v>
      </c>
      <c r="F8" s="897">
        <f t="shared" ref="F8:K8" si="0">SUM(F9:F35)</f>
        <v>27161300</v>
      </c>
      <c r="G8" s="897">
        <f t="shared" si="0"/>
        <v>25354893.92</v>
      </c>
      <c r="H8" s="897">
        <f t="shared" si="0"/>
        <v>17042150</v>
      </c>
      <c r="I8" s="897">
        <f t="shared" si="0"/>
        <v>6490719.5</v>
      </c>
      <c r="J8" s="897">
        <f t="shared" si="0"/>
        <v>814982.42</v>
      </c>
      <c r="K8" s="897">
        <f t="shared" si="0"/>
        <v>1822024.42</v>
      </c>
      <c r="L8" s="897">
        <f>+I8*100/G8</f>
        <v>25.5994740915879</v>
      </c>
      <c r="M8" s="933">
        <f>+N8*100/E8</f>
        <v>86.6411751278473</v>
      </c>
      <c r="N8" s="933">
        <f t="shared" ref="N8:N49" si="1">+H8+I8</f>
        <v>23532869.5</v>
      </c>
      <c r="O8" s="934"/>
    </row>
    <row r="9" s="860" customFormat="1" ht="42" spans="1:15">
      <c r="A9" s="898"/>
      <c r="B9" s="826" t="s">
        <v>193</v>
      </c>
      <c r="C9" s="1029">
        <v>1</v>
      </c>
      <c r="D9" s="900" t="s">
        <v>243</v>
      </c>
      <c r="E9" s="828">
        <v>252900</v>
      </c>
      <c r="F9" s="828">
        <v>252900</v>
      </c>
      <c r="G9" s="828">
        <v>233500</v>
      </c>
      <c r="H9" s="901">
        <v>0</v>
      </c>
      <c r="I9" s="901">
        <v>233500</v>
      </c>
      <c r="J9" s="935">
        <v>0</v>
      </c>
      <c r="K9" s="933">
        <v>0</v>
      </c>
      <c r="L9" s="897">
        <v>100</v>
      </c>
      <c r="M9" s="933">
        <v>100</v>
      </c>
      <c r="N9" s="933">
        <v>233500</v>
      </c>
      <c r="O9" s="936" t="s">
        <v>244</v>
      </c>
    </row>
    <row r="10" s="860" customFormat="1" ht="78" customHeight="1" spans="1:15">
      <c r="A10" s="898"/>
      <c r="B10" s="826" t="s">
        <v>245</v>
      </c>
      <c r="C10" s="1029">
        <v>2</v>
      </c>
      <c r="D10" s="900" t="s">
        <v>246</v>
      </c>
      <c r="E10" s="828">
        <v>5026400</v>
      </c>
      <c r="F10" s="828">
        <v>5026400</v>
      </c>
      <c r="G10" s="828">
        <v>4993100</v>
      </c>
      <c r="H10" s="901">
        <v>4993100</v>
      </c>
      <c r="I10" s="901">
        <v>0</v>
      </c>
      <c r="J10" s="935">
        <v>0</v>
      </c>
      <c r="K10" s="933">
        <v>0</v>
      </c>
      <c r="L10" s="897">
        <v>0</v>
      </c>
      <c r="M10" s="933">
        <v>100</v>
      </c>
      <c r="N10" s="933">
        <v>4993100</v>
      </c>
      <c r="O10" s="936" t="s">
        <v>244</v>
      </c>
    </row>
    <row r="11" s="860" customFormat="1" ht="78.95" customHeight="1" spans="1:15">
      <c r="A11" s="898"/>
      <c r="B11" s="826" t="s">
        <v>247</v>
      </c>
      <c r="C11" s="1029">
        <v>3</v>
      </c>
      <c r="D11" s="900" t="s">
        <v>248</v>
      </c>
      <c r="E11" s="828">
        <v>4032000</v>
      </c>
      <c r="F11" s="828">
        <v>4032000</v>
      </c>
      <c r="G11" s="828">
        <v>0</v>
      </c>
      <c r="H11" s="901">
        <v>0</v>
      </c>
      <c r="I11" s="901">
        <v>0</v>
      </c>
      <c r="J11" s="935">
        <v>0</v>
      </c>
      <c r="K11" s="933">
        <v>0</v>
      </c>
      <c r="L11" s="897">
        <v>0</v>
      </c>
      <c r="M11" s="933">
        <v>0</v>
      </c>
      <c r="N11" s="933">
        <v>0</v>
      </c>
      <c r="O11" s="937" t="s">
        <v>249</v>
      </c>
    </row>
    <row r="12" s="860" customFormat="1" ht="27" customHeight="1" spans="1:15">
      <c r="A12" s="898"/>
      <c r="B12" s="826" t="s">
        <v>250</v>
      </c>
      <c r="C12" s="1029">
        <v>4</v>
      </c>
      <c r="D12" s="900" t="s">
        <v>251</v>
      </c>
      <c r="E12" s="828">
        <v>1948000</v>
      </c>
      <c r="F12" s="828">
        <v>1948000</v>
      </c>
      <c r="G12" s="828">
        <v>1635000</v>
      </c>
      <c r="H12" s="901">
        <v>1635000</v>
      </c>
      <c r="I12" s="901">
        <v>0</v>
      </c>
      <c r="J12" s="935">
        <v>0</v>
      </c>
      <c r="K12" s="933">
        <v>0</v>
      </c>
      <c r="L12" s="897">
        <v>0</v>
      </c>
      <c r="M12" s="933">
        <v>100</v>
      </c>
      <c r="N12" s="933">
        <v>1635000</v>
      </c>
      <c r="O12" s="937"/>
    </row>
    <row r="13" s="860" customFormat="1" ht="42" spans="1:15">
      <c r="A13" s="898"/>
      <c r="B13" s="826" t="s">
        <v>252</v>
      </c>
      <c r="C13" s="1029">
        <v>5</v>
      </c>
      <c r="D13" s="900" t="s">
        <v>253</v>
      </c>
      <c r="E13" s="828">
        <v>2245000</v>
      </c>
      <c r="F13" s="828">
        <v>2245000</v>
      </c>
      <c r="G13" s="828">
        <v>1757000</v>
      </c>
      <c r="H13" s="901">
        <v>825790</v>
      </c>
      <c r="I13" s="901">
        <v>931210</v>
      </c>
      <c r="J13" s="935">
        <v>0</v>
      </c>
      <c r="K13" s="933">
        <v>0</v>
      </c>
      <c r="L13" s="897">
        <v>53</v>
      </c>
      <c r="M13" s="933">
        <v>100</v>
      </c>
      <c r="N13" s="933">
        <v>1757000</v>
      </c>
      <c r="O13" s="936" t="s">
        <v>244</v>
      </c>
    </row>
    <row r="14" s="860" customFormat="1" ht="42" spans="1:15">
      <c r="A14" s="898"/>
      <c r="B14" s="826" t="s">
        <v>254</v>
      </c>
      <c r="C14" s="1029">
        <v>6</v>
      </c>
      <c r="D14" s="900" t="s">
        <v>255</v>
      </c>
      <c r="E14" s="828">
        <v>1397000</v>
      </c>
      <c r="F14" s="828">
        <v>1397000</v>
      </c>
      <c r="G14" s="828">
        <v>1385000</v>
      </c>
      <c r="H14" s="901">
        <v>0</v>
      </c>
      <c r="I14" s="901">
        <v>1385000</v>
      </c>
      <c r="J14" s="935">
        <v>0</v>
      </c>
      <c r="K14" s="933">
        <v>0</v>
      </c>
      <c r="L14" s="897">
        <v>100</v>
      </c>
      <c r="M14" s="933">
        <v>100</v>
      </c>
      <c r="N14" s="933">
        <v>1385000</v>
      </c>
      <c r="O14" s="936" t="s">
        <v>244</v>
      </c>
    </row>
    <row r="15" s="860" customFormat="1" ht="42" spans="1:15">
      <c r="A15" s="898"/>
      <c r="B15" s="826" t="s">
        <v>256</v>
      </c>
      <c r="C15" s="1029">
        <v>7</v>
      </c>
      <c r="D15" s="900" t="s">
        <v>257</v>
      </c>
      <c r="E15" s="828">
        <v>210000</v>
      </c>
      <c r="F15" s="828">
        <v>210000</v>
      </c>
      <c r="G15" s="828">
        <v>210000</v>
      </c>
      <c r="H15" s="901">
        <v>0</v>
      </c>
      <c r="I15" s="901">
        <v>210000</v>
      </c>
      <c r="J15" s="935">
        <v>0</v>
      </c>
      <c r="K15" s="933">
        <v>0</v>
      </c>
      <c r="L15" s="897">
        <v>100</v>
      </c>
      <c r="M15" s="933">
        <v>100</v>
      </c>
      <c r="N15" s="933">
        <v>210000</v>
      </c>
      <c r="O15" s="936" t="s">
        <v>244</v>
      </c>
    </row>
    <row r="16" s="860" customFormat="1" ht="42" spans="1:15">
      <c r="A16" s="898"/>
      <c r="B16" s="826" t="s">
        <v>258</v>
      </c>
      <c r="C16" s="1029">
        <v>8</v>
      </c>
      <c r="D16" s="900" t="s">
        <v>259</v>
      </c>
      <c r="E16" s="828">
        <v>441400</v>
      </c>
      <c r="F16" s="828">
        <v>441400</v>
      </c>
      <c r="G16" s="828">
        <v>441375</v>
      </c>
      <c r="H16" s="901">
        <v>0</v>
      </c>
      <c r="I16" s="901">
        <v>441375</v>
      </c>
      <c r="J16" s="935">
        <v>0</v>
      </c>
      <c r="K16" s="933">
        <v>0</v>
      </c>
      <c r="L16" s="897">
        <v>100</v>
      </c>
      <c r="M16" s="933">
        <v>100</v>
      </c>
      <c r="N16" s="933">
        <v>441375</v>
      </c>
      <c r="O16" s="936" t="s">
        <v>244</v>
      </c>
    </row>
    <row r="17" s="860" customFormat="1" ht="105" spans="1:15">
      <c r="A17" s="898"/>
      <c r="B17" s="826" t="s">
        <v>260</v>
      </c>
      <c r="C17" s="1029">
        <v>9</v>
      </c>
      <c r="D17" s="900" t="s">
        <v>261</v>
      </c>
      <c r="E17" s="828">
        <v>75600</v>
      </c>
      <c r="F17" s="828">
        <v>75600</v>
      </c>
      <c r="G17" s="828">
        <v>0</v>
      </c>
      <c r="H17" s="901">
        <v>0</v>
      </c>
      <c r="I17" s="901">
        <v>0</v>
      </c>
      <c r="J17" s="935">
        <v>0</v>
      </c>
      <c r="K17" s="933">
        <v>0</v>
      </c>
      <c r="L17" s="897"/>
      <c r="M17" s="933"/>
      <c r="N17" s="933">
        <v>0</v>
      </c>
      <c r="O17" s="937" t="s">
        <v>262</v>
      </c>
    </row>
    <row r="18" s="860" customFormat="1" ht="55.5" customHeight="1" spans="1:15">
      <c r="A18" s="898"/>
      <c r="B18" s="826" t="s">
        <v>263</v>
      </c>
      <c r="C18" s="1029">
        <v>10</v>
      </c>
      <c r="D18" s="900" t="s">
        <v>264</v>
      </c>
      <c r="E18" s="828">
        <v>275100</v>
      </c>
      <c r="F18" s="828">
        <v>275100</v>
      </c>
      <c r="G18" s="828">
        <v>275100</v>
      </c>
      <c r="H18" s="901">
        <v>0</v>
      </c>
      <c r="I18" s="901">
        <v>0</v>
      </c>
      <c r="J18" s="935">
        <v>275100</v>
      </c>
      <c r="K18" s="933">
        <v>275100</v>
      </c>
      <c r="L18" s="897">
        <v>0</v>
      </c>
      <c r="M18" s="933">
        <v>0</v>
      </c>
      <c r="N18" s="933">
        <v>0</v>
      </c>
      <c r="O18" s="936" t="s">
        <v>244</v>
      </c>
    </row>
    <row r="19" s="860" customFormat="1" ht="60" customHeight="1" spans="1:15">
      <c r="A19" s="898"/>
      <c r="B19" s="826" t="s">
        <v>265</v>
      </c>
      <c r="C19" s="1029">
        <v>11</v>
      </c>
      <c r="D19" s="900" t="s">
        <v>266</v>
      </c>
      <c r="E19" s="828">
        <v>6047000</v>
      </c>
      <c r="F19" s="828">
        <v>6047000</v>
      </c>
      <c r="G19" s="828">
        <v>6040000</v>
      </c>
      <c r="H19" s="901">
        <v>5738000</v>
      </c>
      <c r="I19" s="901">
        <v>302000</v>
      </c>
      <c r="J19" s="935">
        <v>0</v>
      </c>
      <c r="K19" s="933">
        <v>0</v>
      </c>
      <c r="L19" s="897">
        <v>5</v>
      </c>
      <c r="M19" s="933">
        <v>100</v>
      </c>
      <c r="N19" s="933">
        <v>6040000</v>
      </c>
      <c r="O19" s="936" t="s">
        <v>244</v>
      </c>
    </row>
    <row r="20" s="860" customFormat="1" ht="60" customHeight="1" spans="1:15">
      <c r="A20" s="898"/>
      <c r="B20" s="826" t="s">
        <v>267</v>
      </c>
      <c r="C20" s="1029">
        <v>12</v>
      </c>
      <c r="D20" s="900" t="s">
        <v>268</v>
      </c>
      <c r="E20" s="828">
        <v>965000</v>
      </c>
      <c r="F20" s="828">
        <v>965000</v>
      </c>
      <c r="G20" s="828">
        <v>895573.69</v>
      </c>
      <c r="H20" s="901">
        <v>248360</v>
      </c>
      <c r="I20" s="901">
        <v>638640</v>
      </c>
      <c r="J20" s="935">
        <v>8573.68999999994</v>
      </c>
      <c r="K20" s="933">
        <v>8573.68999999994</v>
      </c>
      <c r="L20" s="897">
        <v>71.3107148111955</v>
      </c>
      <c r="M20" s="933">
        <v>99.0426594599937</v>
      </c>
      <c r="N20" s="933">
        <v>887000</v>
      </c>
      <c r="O20" s="936" t="s">
        <v>244</v>
      </c>
    </row>
    <row r="21" s="860" customFormat="1" ht="60" customHeight="1" spans="1:15">
      <c r="A21" s="898"/>
      <c r="B21" s="826" t="s">
        <v>269</v>
      </c>
      <c r="C21" s="1029">
        <v>13</v>
      </c>
      <c r="D21" s="900" t="s">
        <v>270</v>
      </c>
      <c r="E21" s="828">
        <v>466000</v>
      </c>
      <c r="F21" s="828">
        <v>466000</v>
      </c>
      <c r="G21" s="828">
        <v>466000</v>
      </c>
      <c r="H21" s="901">
        <v>0</v>
      </c>
      <c r="I21" s="901">
        <v>463171.58</v>
      </c>
      <c r="J21" s="935">
        <v>2828.41999999998</v>
      </c>
      <c r="K21" s="933">
        <v>2828.41999999998</v>
      </c>
      <c r="L21" s="897">
        <v>99.3930429184549</v>
      </c>
      <c r="M21" s="933">
        <v>99.3930429184549</v>
      </c>
      <c r="N21" s="933">
        <v>463171.58</v>
      </c>
      <c r="O21" s="936" t="s">
        <v>244</v>
      </c>
    </row>
    <row r="22" s="860" customFormat="1" ht="63" spans="1:15">
      <c r="A22" s="898"/>
      <c r="B22" s="826" t="s">
        <v>271</v>
      </c>
      <c r="C22" s="1029">
        <v>14</v>
      </c>
      <c r="D22" s="900" t="s">
        <v>272</v>
      </c>
      <c r="E22" s="828">
        <v>140000</v>
      </c>
      <c r="F22" s="828">
        <v>140000</v>
      </c>
      <c r="G22" s="828">
        <v>19100</v>
      </c>
      <c r="H22" s="901">
        <v>0</v>
      </c>
      <c r="I22" s="901">
        <v>0</v>
      </c>
      <c r="J22" s="935">
        <v>19100</v>
      </c>
      <c r="K22" s="933">
        <v>19100</v>
      </c>
      <c r="L22" s="897">
        <v>0</v>
      </c>
      <c r="M22" s="933">
        <v>0</v>
      </c>
      <c r="N22" s="933">
        <v>0</v>
      </c>
      <c r="O22" s="937" t="s">
        <v>249</v>
      </c>
    </row>
    <row r="23" s="860" customFormat="1" ht="42" spans="1:15">
      <c r="A23" s="898"/>
      <c r="B23" s="826" t="s">
        <v>273</v>
      </c>
      <c r="C23" s="1029">
        <v>15</v>
      </c>
      <c r="D23" s="900" t="s">
        <v>274</v>
      </c>
      <c r="E23" s="828">
        <v>6900</v>
      </c>
      <c r="F23" s="828">
        <v>6900</v>
      </c>
      <c r="G23" s="828">
        <v>6900</v>
      </c>
      <c r="H23" s="901">
        <v>6900</v>
      </c>
      <c r="I23" s="901">
        <v>0</v>
      </c>
      <c r="J23" s="935">
        <v>0</v>
      </c>
      <c r="K23" s="933">
        <v>0</v>
      </c>
      <c r="L23" s="897">
        <v>0</v>
      </c>
      <c r="M23" s="933">
        <v>100</v>
      </c>
      <c r="N23" s="933">
        <v>6900</v>
      </c>
      <c r="O23" s="936" t="s">
        <v>244</v>
      </c>
    </row>
    <row r="24" s="860" customFormat="1" ht="48" customHeight="1" spans="1:15">
      <c r="A24" s="898"/>
      <c r="B24" s="826" t="s">
        <v>275</v>
      </c>
      <c r="C24" s="1029">
        <v>16</v>
      </c>
      <c r="D24" s="903" t="s">
        <v>276</v>
      </c>
      <c r="E24" s="828"/>
      <c r="F24" s="828"/>
      <c r="G24" s="828">
        <v>105500</v>
      </c>
      <c r="H24" s="901">
        <v>0</v>
      </c>
      <c r="I24" s="901">
        <v>105000</v>
      </c>
      <c r="J24" s="935">
        <v>500</v>
      </c>
      <c r="K24" s="933">
        <v>500</v>
      </c>
      <c r="L24" s="897">
        <v>99.5260663507109</v>
      </c>
      <c r="M24" s="933">
        <v>99.5260663507109</v>
      </c>
      <c r="N24" s="933">
        <v>105000</v>
      </c>
      <c r="O24" s="936"/>
    </row>
    <row r="25" s="860" customFormat="1" ht="48" customHeight="1" spans="1:15">
      <c r="A25" s="898"/>
      <c r="B25" s="826" t="s">
        <v>277</v>
      </c>
      <c r="C25" s="1029">
        <v>17</v>
      </c>
      <c r="D25" s="904" t="s">
        <v>278</v>
      </c>
      <c r="E25" s="828"/>
      <c r="F25" s="828"/>
      <c r="G25" s="828">
        <v>15400</v>
      </c>
      <c r="H25" s="901">
        <v>0</v>
      </c>
      <c r="I25" s="901">
        <v>15130</v>
      </c>
      <c r="J25" s="935">
        <v>270</v>
      </c>
      <c r="K25" s="933">
        <v>270</v>
      </c>
      <c r="L25" s="897">
        <v>98.2467532467532</v>
      </c>
      <c r="M25" s="933">
        <v>98.2467532467532</v>
      </c>
      <c r="N25" s="933">
        <v>15130</v>
      </c>
      <c r="O25" s="936"/>
    </row>
    <row r="26" s="860" customFormat="1" ht="42" spans="1:15">
      <c r="A26" s="898"/>
      <c r="B26" s="826" t="s">
        <v>279</v>
      </c>
      <c r="C26" s="1029">
        <v>18</v>
      </c>
      <c r="D26" s="905" t="s">
        <v>280</v>
      </c>
      <c r="E26" s="828"/>
      <c r="F26" s="828"/>
      <c r="G26" s="828">
        <v>4032000</v>
      </c>
      <c r="H26" s="901">
        <v>3595000</v>
      </c>
      <c r="I26" s="901">
        <v>0</v>
      </c>
      <c r="J26" s="935">
        <v>437000</v>
      </c>
      <c r="K26" s="933">
        <v>437000</v>
      </c>
      <c r="L26" s="897">
        <v>0</v>
      </c>
      <c r="M26" s="933">
        <v>89.1617063492064</v>
      </c>
      <c r="N26" s="933">
        <v>3595000</v>
      </c>
      <c r="O26" s="937"/>
    </row>
    <row r="27" s="860" customFormat="1" ht="57.75" customHeight="1" spans="1:15">
      <c r="A27" s="898"/>
      <c r="B27" s="826" t="s">
        <v>281</v>
      </c>
      <c r="C27" s="1029">
        <v>19</v>
      </c>
      <c r="D27" s="904" t="s">
        <v>282</v>
      </c>
      <c r="E27" s="828"/>
      <c r="F27" s="828"/>
      <c r="G27" s="828">
        <v>19245</v>
      </c>
      <c r="H27" s="901"/>
      <c r="I27" s="901">
        <v>19245</v>
      </c>
      <c r="J27" s="935"/>
      <c r="K27" s="933"/>
      <c r="L27" s="897">
        <v>100</v>
      </c>
      <c r="M27" s="933">
        <v>100</v>
      </c>
      <c r="N27" s="933">
        <v>19245</v>
      </c>
      <c r="O27" s="937"/>
    </row>
    <row r="28" s="860" customFormat="1" ht="57.75" customHeight="1" spans="1:15">
      <c r="A28" s="898"/>
      <c r="B28" s="826" t="s">
        <v>185</v>
      </c>
      <c r="C28" s="1029">
        <v>20</v>
      </c>
      <c r="D28" s="900" t="s">
        <v>283</v>
      </c>
      <c r="E28" s="828">
        <v>460000</v>
      </c>
      <c r="F28" s="828">
        <v>460000</v>
      </c>
      <c r="G28" s="828">
        <v>459000</v>
      </c>
      <c r="H28" s="901">
        <v>0</v>
      </c>
      <c r="I28" s="901">
        <v>459000</v>
      </c>
      <c r="J28" s="935">
        <v>0</v>
      </c>
      <c r="K28" s="933">
        <v>0</v>
      </c>
      <c r="L28" s="897">
        <v>100</v>
      </c>
      <c r="M28" s="933">
        <v>100</v>
      </c>
      <c r="N28" s="933">
        <v>459000</v>
      </c>
      <c r="O28" s="936" t="s">
        <v>244</v>
      </c>
    </row>
    <row r="29" s="860" customFormat="1" ht="62.45" customHeight="1" spans="1:15">
      <c r="A29" s="898"/>
      <c r="B29" s="826" t="s">
        <v>284</v>
      </c>
      <c r="C29" s="1029">
        <v>21</v>
      </c>
      <c r="D29" s="900" t="s">
        <v>285</v>
      </c>
      <c r="E29" s="828">
        <v>1241100</v>
      </c>
      <c r="F29" s="828">
        <v>1241100</v>
      </c>
      <c r="G29" s="828">
        <v>790000</v>
      </c>
      <c r="H29" s="901">
        <v>0</v>
      </c>
      <c r="I29" s="901">
        <v>790000</v>
      </c>
      <c r="J29" s="935">
        <v>0</v>
      </c>
      <c r="K29" s="933">
        <v>0</v>
      </c>
      <c r="L29" s="897">
        <v>100</v>
      </c>
      <c r="M29" s="933">
        <v>100</v>
      </c>
      <c r="N29" s="933">
        <v>790000</v>
      </c>
      <c r="O29" s="936" t="s">
        <v>244</v>
      </c>
    </row>
    <row r="30" s="860" customFormat="1" ht="88.5" customHeight="1" spans="1:15">
      <c r="A30" s="898"/>
      <c r="B30" s="826" t="s">
        <v>286</v>
      </c>
      <c r="C30" s="1029">
        <v>22</v>
      </c>
      <c r="D30" s="900" t="s">
        <v>287</v>
      </c>
      <c r="E30" s="828">
        <v>1931900</v>
      </c>
      <c r="F30" s="828">
        <v>1931900</v>
      </c>
      <c r="G30" s="828">
        <v>71610.31</v>
      </c>
      <c r="H30" s="901">
        <v>0</v>
      </c>
      <c r="I30" s="901">
        <v>0</v>
      </c>
      <c r="J30" s="935">
        <v>71610.31</v>
      </c>
      <c r="K30" s="933">
        <v>71610.31</v>
      </c>
      <c r="L30" s="897">
        <v>0</v>
      </c>
      <c r="M30" s="933">
        <v>0</v>
      </c>
      <c r="N30" s="933">
        <v>0</v>
      </c>
      <c r="O30" s="937" t="s">
        <v>288</v>
      </c>
    </row>
    <row r="31" s="860" customFormat="1" ht="42" spans="1:15">
      <c r="A31" s="898"/>
      <c r="B31" s="825" t="s">
        <v>289</v>
      </c>
      <c r="C31" s="1029">
        <v>23</v>
      </c>
      <c r="D31" s="906" t="s">
        <v>290</v>
      </c>
      <c r="E31" s="828">
        <v>0</v>
      </c>
      <c r="F31" s="828"/>
      <c r="G31" s="828">
        <v>39000</v>
      </c>
      <c r="H31" s="901">
        <v>0</v>
      </c>
      <c r="I31" s="901">
        <v>39000</v>
      </c>
      <c r="J31" s="935">
        <v>0</v>
      </c>
      <c r="K31" s="933">
        <v>0</v>
      </c>
      <c r="L31" s="897">
        <v>100</v>
      </c>
      <c r="M31" s="933">
        <v>100</v>
      </c>
      <c r="N31" s="933">
        <v>39000</v>
      </c>
      <c r="O31" s="936" t="s">
        <v>291</v>
      </c>
    </row>
    <row r="32" s="860" customFormat="1" ht="63.75" customHeight="1" spans="1:15">
      <c r="A32" s="898"/>
      <c r="B32" s="825" t="s">
        <v>292</v>
      </c>
      <c r="C32" s="1029">
        <v>24</v>
      </c>
      <c r="D32" s="906" t="s">
        <v>293</v>
      </c>
      <c r="E32" s="828">
        <v>0</v>
      </c>
      <c r="F32" s="828"/>
      <c r="G32" s="828">
        <v>458447.92</v>
      </c>
      <c r="H32" s="901">
        <v>0</v>
      </c>
      <c r="I32" s="901">
        <v>458447.92</v>
      </c>
      <c r="J32" s="935">
        <v>0</v>
      </c>
      <c r="K32" s="933">
        <v>0</v>
      </c>
      <c r="L32" s="897">
        <v>100</v>
      </c>
      <c r="M32" s="933">
        <v>100</v>
      </c>
      <c r="N32" s="933">
        <v>458447.92</v>
      </c>
      <c r="O32" s="936" t="s">
        <v>291</v>
      </c>
    </row>
    <row r="33" s="860" customFormat="1" ht="57.95" customHeight="1" spans="1:15">
      <c r="A33" s="898"/>
      <c r="B33" s="825" t="s">
        <v>294</v>
      </c>
      <c r="C33" s="1029">
        <v>25</v>
      </c>
      <c r="D33" s="904" t="s">
        <v>295</v>
      </c>
      <c r="E33" s="828"/>
      <c r="F33" s="828"/>
      <c r="G33" s="907">
        <v>382542</v>
      </c>
      <c r="H33" s="901"/>
      <c r="I33" s="901"/>
      <c r="J33" s="935"/>
      <c r="K33" s="933">
        <v>382542</v>
      </c>
      <c r="L33" s="897">
        <v>0</v>
      </c>
      <c r="M33" s="933">
        <v>0</v>
      </c>
      <c r="N33" s="933">
        <v>0</v>
      </c>
      <c r="O33" s="936"/>
    </row>
    <row r="34" s="860" customFormat="1" ht="49.5" customHeight="1" spans="1:15">
      <c r="A34" s="898"/>
      <c r="B34" s="825" t="s">
        <v>296</v>
      </c>
      <c r="C34" s="1029">
        <v>26</v>
      </c>
      <c r="D34" s="904" t="s">
        <v>297</v>
      </c>
      <c r="E34" s="828"/>
      <c r="F34" s="828"/>
      <c r="G34" s="907">
        <v>380000</v>
      </c>
      <c r="H34" s="901"/>
      <c r="I34" s="901"/>
      <c r="J34" s="935"/>
      <c r="K34" s="933">
        <v>380000</v>
      </c>
      <c r="L34" s="897">
        <v>0</v>
      </c>
      <c r="M34" s="933">
        <v>0</v>
      </c>
      <c r="N34" s="933">
        <v>0</v>
      </c>
      <c r="O34" s="936"/>
    </row>
    <row r="35" s="861" customFormat="1" ht="66" customHeight="1" spans="1:15">
      <c r="A35" s="898"/>
      <c r="B35" s="825" t="s">
        <v>298</v>
      </c>
      <c r="C35" s="1029">
        <v>27</v>
      </c>
      <c r="D35" s="904" t="s">
        <v>299</v>
      </c>
      <c r="E35" s="828"/>
      <c r="F35" s="828"/>
      <c r="G35" s="907">
        <v>244500</v>
      </c>
      <c r="H35" s="901"/>
      <c r="I35" s="901"/>
      <c r="J35" s="935"/>
      <c r="K35" s="933">
        <v>244500</v>
      </c>
      <c r="L35" s="897">
        <v>0</v>
      </c>
      <c r="M35" s="933">
        <v>0</v>
      </c>
      <c r="N35" s="933">
        <v>0</v>
      </c>
      <c r="O35" s="936"/>
    </row>
    <row r="36" s="861" customFormat="1" ht="42" customHeight="1" spans="1:15">
      <c r="A36" s="908">
        <v>2</v>
      </c>
      <c r="B36" s="909"/>
      <c r="C36" s="908" t="s">
        <v>300</v>
      </c>
      <c r="D36" s="908"/>
      <c r="E36" s="700">
        <f>SUM(E37:E43)</f>
        <v>72004300</v>
      </c>
      <c r="F36" s="700">
        <f t="shared" ref="F36:K36" si="2">SUM(F37:F43)</f>
        <v>-32420200</v>
      </c>
      <c r="G36" s="700">
        <f t="shared" si="2"/>
        <v>39584100</v>
      </c>
      <c r="H36" s="700">
        <f t="shared" si="2"/>
        <v>39584100</v>
      </c>
      <c r="I36" s="700">
        <f t="shared" si="2"/>
        <v>0</v>
      </c>
      <c r="J36" s="700">
        <f t="shared" si="2"/>
        <v>72004300</v>
      </c>
      <c r="K36" s="700">
        <f t="shared" si="2"/>
        <v>32420200</v>
      </c>
      <c r="L36" s="938">
        <f t="shared" ref="L36:L44" si="3">+I36*100/E36</f>
        <v>0</v>
      </c>
      <c r="M36" s="938">
        <f t="shared" ref="M36:M44" si="4">+N36*100/E36</f>
        <v>54.9746334593906</v>
      </c>
      <c r="N36" s="933">
        <f t="shared" si="1"/>
        <v>39584100</v>
      </c>
      <c r="O36" s="939"/>
    </row>
    <row r="37" s="860" customFormat="1" ht="130.5" customHeight="1" spans="1:15">
      <c r="A37" s="898"/>
      <c r="B37" s="826" t="s">
        <v>171</v>
      </c>
      <c r="C37" s="910" t="s">
        <v>234</v>
      </c>
      <c r="D37" s="900" t="s">
        <v>301</v>
      </c>
      <c r="E37" s="893">
        <v>1806700</v>
      </c>
      <c r="F37" s="893">
        <f>+G37-E37</f>
        <v>-1806700</v>
      </c>
      <c r="G37" s="911">
        <v>0</v>
      </c>
      <c r="H37" s="894">
        <v>0</v>
      </c>
      <c r="I37" s="894">
        <v>0</v>
      </c>
      <c r="J37" s="895">
        <f>+E37-I37</f>
        <v>1806700</v>
      </c>
      <c r="K37" s="930">
        <f>+E37-H37-I37</f>
        <v>1806700</v>
      </c>
      <c r="L37" s="933">
        <f t="shared" si="3"/>
        <v>0</v>
      </c>
      <c r="M37" s="933">
        <f t="shared" si="4"/>
        <v>0</v>
      </c>
      <c r="N37" s="933">
        <f t="shared" si="1"/>
        <v>0</v>
      </c>
      <c r="O37" s="940" t="s">
        <v>302</v>
      </c>
    </row>
    <row r="38" s="860" customFormat="1" ht="42" spans="1:15">
      <c r="A38" s="898"/>
      <c r="B38" s="826" t="s">
        <v>168</v>
      </c>
      <c r="C38" s="910" t="s">
        <v>235</v>
      </c>
      <c r="D38" s="900" t="s">
        <v>303</v>
      </c>
      <c r="E38" s="893">
        <v>7383400</v>
      </c>
      <c r="F38" s="893">
        <f t="shared" ref="F38:F43" si="5">+G38-E38</f>
        <v>-3200000</v>
      </c>
      <c r="G38" s="895">
        <v>4183400</v>
      </c>
      <c r="H38" s="894">
        <v>4183400</v>
      </c>
      <c r="I38" s="894">
        <v>0</v>
      </c>
      <c r="J38" s="895">
        <f t="shared" ref="J38:J44" si="6">+E38-I38</f>
        <v>7383400</v>
      </c>
      <c r="K38" s="930">
        <f t="shared" ref="K38:K44" si="7">+E38-H38-I38</f>
        <v>3200000</v>
      </c>
      <c r="L38" s="933">
        <f t="shared" si="3"/>
        <v>0</v>
      </c>
      <c r="M38" s="933">
        <f t="shared" si="4"/>
        <v>56.6595335482298</v>
      </c>
      <c r="N38" s="933">
        <f t="shared" si="1"/>
        <v>4183400</v>
      </c>
      <c r="O38" s="941"/>
    </row>
    <row r="39" s="860" customFormat="1" ht="42" spans="1:15">
      <c r="A39" s="898"/>
      <c r="B39" s="826" t="s">
        <v>304</v>
      </c>
      <c r="C39" s="910" t="s">
        <v>236</v>
      </c>
      <c r="D39" s="900" t="s">
        <v>305</v>
      </c>
      <c r="E39" s="893">
        <v>8723000</v>
      </c>
      <c r="F39" s="893">
        <f t="shared" si="5"/>
        <v>-3270000</v>
      </c>
      <c r="G39" s="895">
        <v>5453000</v>
      </c>
      <c r="H39" s="894">
        <v>5453000</v>
      </c>
      <c r="I39" s="894">
        <v>0</v>
      </c>
      <c r="J39" s="895">
        <f t="shared" si="6"/>
        <v>8723000</v>
      </c>
      <c r="K39" s="930">
        <f t="shared" si="7"/>
        <v>3270000</v>
      </c>
      <c r="L39" s="933">
        <f t="shared" si="3"/>
        <v>0</v>
      </c>
      <c r="M39" s="933">
        <f t="shared" si="4"/>
        <v>62.5128969391264</v>
      </c>
      <c r="N39" s="933">
        <f t="shared" si="1"/>
        <v>5453000</v>
      </c>
      <c r="O39" s="942"/>
    </row>
    <row r="40" s="860" customFormat="1" ht="42" spans="1:15">
      <c r="A40" s="898"/>
      <c r="B40" s="826" t="s">
        <v>306</v>
      </c>
      <c r="C40" s="910" t="s">
        <v>237</v>
      </c>
      <c r="D40" s="900" t="s">
        <v>307</v>
      </c>
      <c r="E40" s="893">
        <v>5981700</v>
      </c>
      <c r="F40" s="893">
        <f t="shared" si="5"/>
        <v>0</v>
      </c>
      <c r="G40" s="895">
        <v>5981700</v>
      </c>
      <c r="H40" s="894">
        <v>5981700</v>
      </c>
      <c r="I40" s="894">
        <v>0</v>
      </c>
      <c r="J40" s="895">
        <f t="shared" si="6"/>
        <v>5981700</v>
      </c>
      <c r="K40" s="930">
        <f t="shared" si="7"/>
        <v>0</v>
      </c>
      <c r="L40" s="933">
        <f t="shared" si="3"/>
        <v>0</v>
      </c>
      <c r="M40" s="933">
        <f t="shared" si="4"/>
        <v>100</v>
      </c>
      <c r="N40" s="933">
        <f t="shared" si="1"/>
        <v>5981700</v>
      </c>
      <c r="O40" s="937" t="s">
        <v>308</v>
      </c>
    </row>
    <row r="41" s="860" customFormat="1" ht="44.25" customHeight="1" spans="1:15">
      <c r="A41" s="898"/>
      <c r="B41" s="826" t="s">
        <v>189</v>
      </c>
      <c r="C41" s="910" t="s">
        <v>309</v>
      </c>
      <c r="D41" s="900" t="s">
        <v>310</v>
      </c>
      <c r="E41" s="893">
        <v>32954300</v>
      </c>
      <c r="F41" s="893">
        <f t="shared" si="5"/>
        <v>-18704300</v>
      </c>
      <c r="G41" s="895">
        <v>14250000</v>
      </c>
      <c r="H41" s="894">
        <v>14250000</v>
      </c>
      <c r="I41" s="894">
        <v>0</v>
      </c>
      <c r="J41" s="895">
        <f t="shared" si="6"/>
        <v>32954300</v>
      </c>
      <c r="K41" s="930">
        <f t="shared" si="7"/>
        <v>18704300</v>
      </c>
      <c r="L41" s="933">
        <f t="shared" si="3"/>
        <v>0</v>
      </c>
      <c r="M41" s="933">
        <f t="shared" si="4"/>
        <v>43.2417013864655</v>
      </c>
      <c r="N41" s="933">
        <f t="shared" si="1"/>
        <v>14250000</v>
      </c>
      <c r="O41" s="941"/>
    </row>
    <row r="42" s="860" customFormat="1" ht="42" spans="1:15">
      <c r="A42" s="898"/>
      <c r="B42" s="826" t="s">
        <v>177</v>
      </c>
      <c r="C42" s="910" t="s">
        <v>311</v>
      </c>
      <c r="D42" s="900" t="s">
        <v>312</v>
      </c>
      <c r="E42" s="893">
        <v>5439200</v>
      </c>
      <c r="F42" s="893">
        <f t="shared" si="5"/>
        <v>-5439200</v>
      </c>
      <c r="G42" s="911">
        <v>0</v>
      </c>
      <c r="H42" s="894">
        <v>0</v>
      </c>
      <c r="I42" s="894">
        <v>0</v>
      </c>
      <c r="J42" s="895">
        <f t="shared" si="6"/>
        <v>5439200</v>
      </c>
      <c r="K42" s="930">
        <f t="shared" si="7"/>
        <v>5439200</v>
      </c>
      <c r="L42" s="933">
        <f t="shared" si="3"/>
        <v>0</v>
      </c>
      <c r="M42" s="933">
        <f t="shared" si="4"/>
        <v>0</v>
      </c>
      <c r="N42" s="933">
        <f t="shared" si="1"/>
        <v>0</v>
      </c>
      <c r="O42" s="940" t="s">
        <v>313</v>
      </c>
    </row>
    <row r="43" s="860" customFormat="1" ht="56.25" customHeight="1" spans="1:15">
      <c r="A43" s="898"/>
      <c r="B43" s="826" t="s">
        <v>314</v>
      </c>
      <c r="C43" s="910" t="s">
        <v>315</v>
      </c>
      <c r="D43" s="900" t="s">
        <v>316</v>
      </c>
      <c r="E43" s="893">
        <v>9716000</v>
      </c>
      <c r="F43" s="893">
        <f t="shared" si="5"/>
        <v>0</v>
      </c>
      <c r="G43" s="895">
        <v>9716000</v>
      </c>
      <c r="H43" s="894">
        <v>9716000</v>
      </c>
      <c r="I43" s="894">
        <v>0</v>
      </c>
      <c r="J43" s="895">
        <f t="shared" si="6"/>
        <v>9716000</v>
      </c>
      <c r="K43" s="930">
        <f t="shared" si="7"/>
        <v>0</v>
      </c>
      <c r="L43" s="933">
        <f t="shared" si="3"/>
        <v>0</v>
      </c>
      <c r="M43" s="933">
        <f t="shared" si="4"/>
        <v>100</v>
      </c>
      <c r="N43" s="933">
        <f t="shared" si="1"/>
        <v>9716000</v>
      </c>
      <c r="O43" s="937" t="s">
        <v>317</v>
      </c>
    </row>
    <row r="44" s="1026" customFormat="1" ht="36.75" customHeight="1" spans="1:15">
      <c r="A44" s="1030" t="s">
        <v>318</v>
      </c>
      <c r="B44" s="1030"/>
      <c r="C44" s="1030"/>
      <c r="D44" s="1030"/>
      <c r="E44" s="1030">
        <f>+E8+E36</f>
        <v>99165600</v>
      </c>
      <c r="F44" s="1030">
        <f t="shared" ref="F44:I44" si="8">+F8+F36</f>
        <v>-5258900</v>
      </c>
      <c r="G44" s="1030">
        <f t="shared" si="8"/>
        <v>64938993.92</v>
      </c>
      <c r="H44" s="1030">
        <f t="shared" si="8"/>
        <v>56626250</v>
      </c>
      <c r="I44" s="1030">
        <f t="shared" si="8"/>
        <v>6490719.5</v>
      </c>
      <c r="J44" s="1030">
        <f t="shared" si="6"/>
        <v>92674880.5</v>
      </c>
      <c r="K44" s="1030">
        <f t="shared" si="7"/>
        <v>36048630.5</v>
      </c>
      <c r="L44" s="1034">
        <f t="shared" si="3"/>
        <v>6.54533376493461</v>
      </c>
      <c r="M44" s="1034">
        <f t="shared" si="4"/>
        <v>63.6480488193486</v>
      </c>
      <c r="N44" s="1035">
        <f t="shared" si="1"/>
        <v>63116969.5</v>
      </c>
      <c r="O44" s="1034"/>
    </row>
    <row r="45" s="864" customFormat="1" hidden="1" spans="1:15">
      <c r="A45" s="914" t="s">
        <v>319</v>
      </c>
      <c r="B45" s="915"/>
      <c r="C45" s="915"/>
      <c r="D45" s="916"/>
      <c r="E45" s="917">
        <f t="shared" ref="E45:K45" si="9">+E9+E10+E12+E18+E37+E38+E39+E40+E41+E42</f>
        <v>69790700</v>
      </c>
      <c r="F45" s="917">
        <f t="shared" si="9"/>
        <v>-24917800</v>
      </c>
      <c r="G45" s="917">
        <f t="shared" si="9"/>
        <v>37004800</v>
      </c>
      <c r="H45" s="917">
        <f t="shared" si="9"/>
        <v>36496200</v>
      </c>
      <c r="I45" s="917">
        <f t="shared" si="9"/>
        <v>233500</v>
      </c>
      <c r="J45" s="917">
        <f t="shared" si="9"/>
        <v>62563400</v>
      </c>
      <c r="K45" s="917">
        <f t="shared" si="9"/>
        <v>32695300</v>
      </c>
      <c r="L45" s="897">
        <f>+I45*100/G45</f>
        <v>0.630999221722587</v>
      </c>
      <c r="M45" s="897">
        <f t="shared" ref="M45" si="10">+J45*100/H45</f>
        <v>171.42442226862</v>
      </c>
      <c r="N45" s="933">
        <f t="shared" si="1"/>
        <v>36729700</v>
      </c>
      <c r="O45" s="945"/>
    </row>
    <row r="46" s="864" customFormat="1" hidden="1" spans="1:15">
      <c r="A46" s="914" t="s">
        <v>320</v>
      </c>
      <c r="B46" s="915"/>
      <c r="C46" s="915"/>
      <c r="D46" s="915"/>
      <c r="E46" s="915"/>
      <c r="F46" s="915"/>
      <c r="G46" s="915"/>
      <c r="H46" s="897">
        <f>+H45+I45</f>
        <v>36729700</v>
      </c>
      <c r="I46" s="897"/>
      <c r="J46" s="897">
        <f>+H46/1000000</f>
        <v>36.7297</v>
      </c>
      <c r="K46" s="897"/>
      <c r="L46" s="897"/>
      <c r="M46" s="897"/>
      <c r="N46" s="933">
        <f t="shared" si="1"/>
        <v>36729700</v>
      </c>
      <c r="O46" s="945"/>
    </row>
    <row r="47" s="864" customFormat="1" hidden="1" spans="1:15">
      <c r="A47" s="914" t="s">
        <v>321</v>
      </c>
      <c r="B47" s="915"/>
      <c r="C47" s="915"/>
      <c r="D47" s="915"/>
      <c r="E47" s="915"/>
      <c r="F47" s="915"/>
      <c r="G47" s="915"/>
      <c r="H47" s="897" t="e">
        <f>+#REF!+H46</f>
        <v>#REF!</v>
      </c>
      <c r="I47" s="897"/>
      <c r="J47" s="897" t="e">
        <f>+H47/1000000</f>
        <v>#REF!</v>
      </c>
      <c r="K47" s="897"/>
      <c r="L47" s="897"/>
      <c r="M47" s="897"/>
      <c r="N47" s="933" t="e">
        <f t="shared" si="1"/>
        <v>#REF!</v>
      </c>
      <c r="O47" s="945"/>
    </row>
    <row r="48" s="864" customFormat="1" hidden="1" spans="1:15">
      <c r="A48" s="914" t="s">
        <v>322</v>
      </c>
      <c r="B48" s="915"/>
      <c r="C48" s="915"/>
      <c r="D48" s="915"/>
      <c r="E48" s="915"/>
      <c r="F48" s="915"/>
      <c r="G48" s="915"/>
      <c r="H48" s="897">
        <f>+I44+I45</f>
        <v>6724219.5</v>
      </c>
      <c r="I48" s="897"/>
      <c r="J48" s="897">
        <f>+H48/1000000</f>
        <v>6.7242195</v>
      </c>
      <c r="K48" s="897"/>
      <c r="L48" s="897"/>
      <c r="M48" s="897"/>
      <c r="N48" s="933">
        <f t="shared" si="1"/>
        <v>6724219.5</v>
      </c>
      <c r="O48" s="945"/>
    </row>
    <row r="49" s="864" customFormat="1" hidden="1" spans="1:15">
      <c r="A49" s="914" t="s">
        <v>13</v>
      </c>
      <c r="B49" s="915"/>
      <c r="C49" s="915"/>
      <c r="D49" s="916"/>
      <c r="E49" s="897">
        <f t="shared" ref="E49:K49" si="11">+E44+E45</f>
        <v>168956300</v>
      </c>
      <c r="F49" s="897">
        <f t="shared" si="11"/>
        <v>-30176700</v>
      </c>
      <c r="G49" s="897">
        <f t="shared" si="11"/>
        <v>101943793.92</v>
      </c>
      <c r="H49" s="897">
        <f t="shared" si="11"/>
        <v>93122450</v>
      </c>
      <c r="I49" s="897">
        <f t="shared" si="11"/>
        <v>6724219.5</v>
      </c>
      <c r="J49" s="897">
        <f t="shared" si="11"/>
        <v>155238280.5</v>
      </c>
      <c r="K49" s="897">
        <f t="shared" si="11"/>
        <v>68743930.5</v>
      </c>
      <c r="L49" s="897">
        <f>+I49*100/G49</f>
        <v>6.59600672236782</v>
      </c>
      <c r="M49" s="897">
        <f>+J49*100/H49</f>
        <v>166.70338946194</v>
      </c>
      <c r="N49" s="933">
        <f t="shared" si="1"/>
        <v>99846669.5</v>
      </c>
      <c r="O49" s="945"/>
    </row>
    <row r="50" s="864" customFormat="1" hidden="1" spans="1:15">
      <c r="A50" s="917" t="s">
        <v>323</v>
      </c>
      <c r="B50" s="917"/>
      <c r="C50" s="917"/>
      <c r="D50" s="917"/>
      <c r="E50" s="897" t="e">
        <f>+#REF!-E51</f>
        <v>#REF!</v>
      </c>
      <c r="F50" s="897" t="e">
        <f>+#REF!-F51</f>
        <v>#REF!</v>
      </c>
      <c r="G50" s="897"/>
      <c r="H50" s="897" t="e">
        <f>+#REF!</f>
        <v>#REF!</v>
      </c>
      <c r="I50" s="897" t="e">
        <f>+#REF!</f>
        <v>#REF!</v>
      </c>
      <c r="J50" s="897"/>
      <c r="K50" s="930"/>
      <c r="L50" s="933" t="e">
        <f t="shared" ref="L50:L58" si="12">+I50*100/E50</f>
        <v>#REF!</v>
      </c>
      <c r="M50" s="933" t="e">
        <f t="shared" ref="M50:M58" si="13">+N50*100/E50</f>
        <v>#REF!</v>
      </c>
      <c r="N50" s="839"/>
      <c r="O50" s="945"/>
    </row>
    <row r="51" s="864" customFormat="1" hidden="1" spans="1:15">
      <c r="A51" s="917" t="s">
        <v>324</v>
      </c>
      <c r="B51" s="917"/>
      <c r="C51" s="917"/>
      <c r="D51" s="917"/>
      <c r="E51" s="897">
        <f>1155000+516000+816000+1218500</f>
        <v>3705500</v>
      </c>
      <c r="F51" s="897">
        <f t="shared" ref="F51" si="14">1155000+516000+816000+1218500</f>
        <v>3705500</v>
      </c>
      <c r="G51" s="897"/>
      <c r="H51" s="897">
        <v>0</v>
      </c>
      <c r="I51" s="897">
        <v>0</v>
      </c>
      <c r="J51" s="897">
        <v>0</v>
      </c>
      <c r="K51" s="930">
        <v>0</v>
      </c>
      <c r="L51" s="933">
        <f t="shared" si="12"/>
        <v>0</v>
      </c>
      <c r="M51" s="933">
        <f t="shared" si="13"/>
        <v>0</v>
      </c>
      <c r="N51" s="839"/>
      <c r="O51" s="945"/>
    </row>
    <row r="52" s="864" customFormat="1" hidden="1" spans="1:15">
      <c r="A52" s="917"/>
      <c r="B52" s="917"/>
      <c r="C52" s="917"/>
      <c r="D52" s="917"/>
      <c r="E52" s="897" t="e">
        <f>SUM(E50:E51)</f>
        <v>#REF!</v>
      </c>
      <c r="F52" s="897" t="e">
        <f t="shared" ref="F52:K52" si="15">SUM(F50:F51)</f>
        <v>#REF!</v>
      </c>
      <c r="G52" s="897">
        <f t="shared" si="15"/>
        <v>0</v>
      </c>
      <c r="H52" s="897" t="e">
        <f t="shared" si="15"/>
        <v>#REF!</v>
      </c>
      <c r="I52" s="897" t="e">
        <f t="shared" si="15"/>
        <v>#REF!</v>
      </c>
      <c r="J52" s="897">
        <f t="shared" si="15"/>
        <v>0</v>
      </c>
      <c r="K52" s="897">
        <f t="shared" si="15"/>
        <v>0</v>
      </c>
      <c r="L52" s="933"/>
      <c r="M52" s="933"/>
      <c r="N52" s="839"/>
      <c r="O52" s="945"/>
    </row>
    <row r="53" s="864" customFormat="1" hidden="1" spans="1:15">
      <c r="A53" s="917"/>
      <c r="B53" s="917"/>
      <c r="C53" s="917"/>
      <c r="D53" s="917"/>
      <c r="E53" s="897"/>
      <c r="F53" s="897"/>
      <c r="G53" s="897"/>
      <c r="H53" s="897"/>
      <c r="I53" s="897" t="e">
        <f>SUM(H52:I52)</f>
        <v>#REF!</v>
      </c>
      <c r="J53" s="946" t="e">
        <f>+I53/1000000</f>
        <v>#REF!</v>
      </c>
      <c r="K53" s="897"/>
      <c r="L53" s="933"/>
      <c r="M53" s="933"/>
      <c r="N53" s="839"/>
      <c r="O53" s="945"/>
    </row>
    <row r="54" s="864" customFormat="1" hidden="1" spans="1:15">
      <c r="A54" s="917"/>
      <c r="B54" s="917"/>
      <c r="C54" s="917"/>
      <c r="D54" s="917" t="s">
        <v>325</v>
      </c>
      <c r="E54" s="897">
        <f>+G8+G14+G15+G16+G17+G20+G21+G22+G27+G30+G31</f>
        <v>28901797.92</v>
      </c>
      <c r="F54" s="897">
        <f>+H8+H14+H15+H16+H17+H20+H21+H22+H27+H30+H31</f>
        <v>17290510</v>
      </c>
      <c r="G54" s="897">
        <v>0</v>
      </c>
      <c r="H54" s="897">
        <f>+H8+H14+H15+H16+H17+H20+H21+H22+H27+H30+H31</f>
        <v>17290510</v>
      </c>
      <c r="I54" s="897">
        <f>+I8+I14+I15+I16+I17+I20+I21+I22+I27+I30+I31</f>
        <v>9687151.08</v>
      </c>
      <c r="J54" s="897">
        <f>+L8+L14+L15+L16+L17+L20+L21+L22+L27+L30+L31</f>
        <v>696.303231821238</v>
      </c>
      <c r="K54" s="930">
        <f t="shared" ref="K54:K55" si="16">+E54-H54-I54</f>
        <v>1924136.84</v>
      </c>
      <c r="L54" s="933">
        <f t="shared" si="12"/>
        <v>33.5174687291565</v>
      </c>
      <c r="M54" s="933">
        <f t="shared" si="13"/>
        <v>0</v>
      </c>
      <c r="N54" s="839"/>
      <c r="O54" s="945"/>
    </row>
    <row r="55" s="864" customFormat="1" hidden="1" spans="1:15">
      <c r="A55" s="917"/>
      <c r="B55" s="917"/>
      <c r="C55" s="917"/>
      <c r="D55" s="917" t="s">
        <v>326</v>
      </c>
      <c r="E55" s="897">
        <f>+E9+E10+E11+E12+E13+E18+E19+E28+G29+E36+E37+E38+E39+E40+E41+E42</f>
        <v>155369000</v>
      </c>
      <c r="F55" s="897">
        <f>+F9+F10+F11+F12+F13+F18+F19+F28+H29+F36+F37+F38+F39+F40+F41+F42</f>
        <v>-44554000</v>
      </c>
      <c r="G55" s="897">
        <v>0</v>
      </c>
      <c r="H55" s="897">
        <f>+H9+H10+H11+H12+H13+H18+H19+H28+H29+H36+H37+H38+H39+H40+H41+H42</f>
        <v>82644090</v>
      </c>
      <c r="I55" s="897">
        <f>+I9+I10+I11+I12+I13+I18+I19+I28+I29+I36+I37+I38+I39+I40+I41+I42</f>
        <v>2715710</v>
      </c>
      <c r="J55" s="897">
        <f>+J9+J10+J11+J12+J13+J18+J19+J28+L29+J36+J37+J38+J39+J40+J41+J42</f>
        <v>134567800</v>
      </c>
      <c r="K55" s="930">
        <f t="shared" si="16"/>
        <v>70009200</v>
      </c>
      <c r="L55" s="933">
        <f t="shared" si="12"/>
        <v>1.7479098146992</v>
      </c>
      <c r="M55" s="933">
        <f t="shared" si="13"/>
        <v>0</v>
      </c>
      <c r="N55" s="839"/>
      <c r="O55" s="945"/>
    </row>
    <row r="56" s="864" customFormat="1" hidden="1" spans="1:15">
      <c r="A56" s="917"/>
      <c r="B56" s="917"/>
      <c r="C56" s="917"/>
      <c r="D56" s="917"/>
      <c r="E56" s="897">
        <f>SUM(E54:E55)</f>
        <v>184270797.92</v>
      </c>
      <c r="F56" s="897">
        <f t="shared" ref="F56:K56" si="17">SUM(F54:F55)</f>
        <v>-27263490</v>
      </c>
      <c r="G56" s="897">
        <f t="shared" si="17"/>
        <v>0</v>
      </c>
      <c r="H56" s="897">
        <f t="shared" si="17"/>
        <v>99934600</v>
      </c>
      <c r="I56" s="897">
        <f t="shared" si="17"/>
        <v>12402861.08</v>
      </c>
      <c r="J56" s="897">
        <f t="shared" si="17"/>
        <v>134568496.303232</v>
      </c>
      <c r="K56" s="897">
        <f t="shared" si="17"/>
        <v>71933336.84</v>
      </c>
      <c r="L56" s="933"/>
      <c r="M56" s="933"/>
      <c r="N56" s="839"/>
      <c r="O56" s="945"/>
    </row>
    <row r="57" s="864" customFormat="1" hidden="1" spans="1:15">
      <c r="A57" s="917"/>
      <c r="B57" s="917"/>
      <c r="C57" s="917"/>
      <c r="D57" s="917"/>
      <c r="E57" s="897"/>
      <c r="F57" s="897"/>
      <c r="G57" s="897"/>
      <c r="H57" s="897"/>
      <c r="I57" s="897">
        <f>SUM(H56:I56)</f>
        <v>112337461.08</v>
      </c>
      <c r="J57" s="946">
        <f>+I57/1000000</f>
        <v>112.33746108</v>
      </c>
      <c r="K57" s="897"/>
      <c r="L57" s="933"/>
      <c r="M57" s="933"/>
      <c r="N57" s="839"/>
      <c r="O57" s="945"/>
    </row>
    <row r="58" s="864" customFormat="1" hidden="1" spans="1:15">
      <c r="A58" s="917"/>
      <c r="B58" s="917"/>
      <c r="C58" s="917"/>
      <c r="D58" s="917"/>
      <c r="E58" s="897" t="e">
        <f>+E52+E56</f>
        <v>#REF!</v>
      </c>
      <c r="F58" s="897" t="e">
        <f t="shared" ref="F58:K58" si="18">+F52+F56</f>
        <v>#REF!</v>
      </c>
      <c r="G58" s="897">
        <f t="shared" si="18"/>
        <v>0</v>
      </c>
      <c r="H58" s="897" t="e">
        <f t="shared" si="18"/>
        <v>#REF!</v>
      </c>
      <c r="I58" s="897" t="e">
        <f t="shared" si="18"/>
        <v>#REF!</v>
      </c>
      <c r="J58" s="897">
        <f t="shared" si="18"/>
        <v>134568496.303232</v>
      </c>
      <c r="K58" s="897">
        <f t="shared" si="18"/>
        <v>71933336.84</v>
      </c>
      <c r="L58" s="933" t="e">
        <f t="shared" si="12"/>
        <v>#REF!</v>
      </c>
      <c r="M58" s="933" t="e">
        <f t="shared" si="13"/>
        <v>#REF!</v>
      </c>
      <c r="N58" s="839"/>
      <c r="O58" s="945"/>
    </row>
    <row r="59" s="864" customFormat="1" hidden="1" spans="1:15">
      <c r="A59" s="917"/>
      <c r="B59" s="917"/>
      <c r="C59" s="917"/>
      <c r="D59" s="917"/>
      <c r="E59" s="897"/>
      <c r="F59" s="897"/>
      <c r="G59" s="897"/>
      <c r="H59" s="897"/>
      <c r="I59" s="897" t="e">
        <f>SUM(H58:I58)</f>
        <v>#REF!</v>
      </c>
      <c r="J59" s="946" t="e">
        <f>+I59/1000000</f>
        <v>#REF!</v>
      </c>
      <c r="K59" s="897"/>
      <c r="L59" s="897"/>
      <c r="M59" s="897"/>
      <c r="N59" s="839"/>
      <c r="O59" s="945"/>
    </row>
    <row r="60" s="864" customFormat="1" hidden="1" spans="1:15">
      <c r="A60" s="205"/>
      <c r="B60" s="205"/>
      <c r="C60" s="205"/>
      <c r="D60" s="205"/>
      <c r="N60" s="839"/>
      <c r="O60" s="945"/>
    </row>
    <row r="61" s="864" customFormat="1" hidden="1" spans="1:15">
      <c r="A61" s="205"/>
      <c r="B61" s="205"/>
      <c r="C61" s="205"/>
      <c r="D61" s="205"/>
      <c r="N61" s="839"/>
      <c r="O61" s="945"/>
    </row>
    <row r="62" s="864" customFormat="1" ht="4.5" customHeight="1" spans="1:15">
      <c r="A62" s="205"/>
      <c r="B62" s="205"/>
      <c r="C62" s="205"/>
      <c r="D62" s="205"/>
      <c r="N62" s="839"/>
      <c r="O62" s="945"/>
    </row>
    <row r="63" s="865" customFormat="1" ht="23.25" spans="1:15">
      <c r="A63" s="947" t="s">
        <v>327</v>
      </c>
      <c r="B63" s="947"/>
      <c r="C63" s="947"/>
      <c r="D63" s="947"/>
      <c r="E63" s="947"/>
      <c r="F63" s="947"/>
      <c r="G63" s="947"/>
      <c r="H63" s="947"/>
      <c r="I63" s="947"/>
      <c r="J63" s="947"/>
      <c r="K63" s="947"/>
      <c r="L63" s="947"/>
      <c r="M63" s="947"/>
      <c r="N63" s="947"/>
      <c r="O63" s="947"/>
    </row>
    <row r="64" hidden="1"/>
    <row r="65" hidden="1" spans="5:5">
      <c r="E65" s="806">
        <v>1794432.92</v>
      </c>
    </row>
    <row r="66" hidden="1" spans="5:5">
      <c r="E66" s="806">
        <v>39000</v>
      </c>
    </row>
    <row r="67" hidden="1" spans="5:7">
      <c r="E67" s="806">
        <v>458447.92</v>
      </c>
      <c r="G67" s="839">
        <f>+E43-E70</f>
        <v>8419015</v>
      </c>
    </row>
    <row r="68" hidden="1" spans="7:7">
      <c r="G68" s="839">
        <f>SUM(G36:G39)</f>
        <v>49220500</v>
      </c>
    </row>
    <row r="69" hidden="1" spans="7:7">
      <c r="G69" s="839">
        <f>SUM(G40:G42)</f>
        <v>20231700</v>
      </c>
    </row>
    <row r="70" hidden="1" spans="5:5">
      <c r="E70" s="806">
        <f>+E65-E66-E67</f>
        <v>1296985</v>
      </c>
    </row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s="866" customFormat="1" hidden="1" spans="2:15">
      <c r="B84" s="867"/>
      <c r="C84" s="868"/>
      <c r="D84" s="869"/>
      <c r="E84" s="806"/>
      <c r="F84" s="806"/>
      <c r="G84" s="839"/>
      <c r="H84" s="806"/>
      <c r="I84" s="806"/>
      <c r="J84" s="806"/>
      <c r="K84" s="839"/>
      <c r="L84" s="839"/>
      <c r="M84" s="839"/>
      <c r="N84" s="839"/>
      <c r="O84" s="869"/>
    </row>
    <row r="85" s="866" customFormat="1" hidden="1" spans="2:15">
      <c r="B85" s="867"/>
      <c r="C85" s="868"/>
      <c r="D85" s="869"/>
      <c r="E85" s="806"/>
      <c r="F85" s="806"/>
      <c r="G85" s="839"/>
      <c r="H85" s="806"/>
      <c r="I85" s="806"/>
      <c r="J85" s="806"/>
      <c r="K85" s="839"/>
      <c r="L85" s="839"/>
      <c r="M85" s="839"/>
      <c r="N85" s="839"/>
      <c r="O85" s="869"/>
    </row>
    <row r="86" s="866" customFormat="1" hidden="1" spans="2:15">
      <c r="B86" s="867"/>
      <c r="C86" s="868"/>
      <c r="D86" s="869"/>
      <c r="E86" s="806"/>
      <c r="F86" s="806"/>
      <c r="G86" s="839"/>
      <c r="H86" s="806"/>
      <c r="I86" s="806"/>
      <c r="J86" s="806"/>
      <c r="K86" s="839"/>
      <c r="L86" s="839"/>
      <c r="M86" s="839"/>
      <c r="N86" s="839"/>
      <c r="O86" s="869"/>
    </row>
    <row r="87" s="866" customFormat="1" hidden="1" spans="2:15">
      <c r="B87" s="867"/>
      <c r="C87" s="868"/>
      <c r="D87" s="869"/>
      <c r="E87" s="806"/>
      <c r="F87" s="806"/>
      <c r="G87" s="839"/>
      <c r="H87" s="806"/>
      <c r="I87" s="806"/>
      <c r="J87" s="806"/>
      <c r="K87" s="839"/>
      <c r="L87" s="839"/>
      <c r="M87" s="839"/>
      <c r="N87" s="839"/>
      <c r="O87" s="869"/>
    </row>
    <row r="88" s="866" customFormat="1" hidden="1" spans="2:15">
      <c r="B88" s="867"/>
      <c r="C88" s="868"/>
      <c r="D88" s="869"/>
      <c r="E88" s="806"/>
      <c r="F88" s="806"/>
      <c r="G88" s="839"/>
      <c r="H88" s="806"/>
      <c r="I88" s="806"/>
      <c r="J88" s="806"/>
      <c r="K88" s="839"/>
      <c r="L88" s="839"/>
      <c r="M88" s="839"/>
      <c r="N88" s="839"/>
      <c r="O88" s="869"/>
    </row>
    <row r="89" s="866" customFormat="1" hidden="1" spans="2:15">
      <c r="B89" s="867"/>
      <c r="C89" s="868"/>
      <c r="D89" s="869"/>
      <c r="E89" s="806"/>
      <c r="F89" s="806"/>
      <c r="G89" s="839"/>
      <c r="H89" s="806"/>
      <c r="I89" s="806"/>
      <c r="J89" s="806"/>
      <c r="K89" s="839"/>
      <c r="L89" s="839"/>
      <c r="M89" s="839"/>
      <c r="N89" s="839"/>
      <c r="O89" s="869"/>
    </row>
    <row r="90" s="866" customFormat="1" hidden="1" spans="2:15">
      <c r="B90" s="867"/>
      <c r="C90" s="868"/>
      <c r="D90" s="869"/>
      <c r="E90" s="806"/>
      <c r="F90" s="806"/>
      <c r="G90" s="839"/>
      <c r="H90" s="806"/>
      <c r="I90" s="806"/>
      <c r="J90" s="806"/>
      <c r="K90" s="839"/>
      <c r="L90" s="839"/>
      <c r="M90" s="839"/>
      <c r="N90" s="839"/>
      <c r="O90" s="869"/>
    </row>
    <row r="91" s="866" customFormat="1" hidden="1" spans="2:15">
      <c r="B91" s="867"/>
      <c r="C91" s="868"/>
      <c r="D91" s="869"/>
      <c r="E91" s="806"/>
      <c r="F91" s="806"/>
      <c r="G91" s="839"/>
      <c r="H91" s="806"/>
      <c r="I91" s="806"/>
      <c r="J91" s="806"/>
      <c r="K91" s="839"/>
      <c r="L91" s="839"/>
      <c r="M91" s="839"/>
      <c r="N91" s="839"/>
      <c r="O91" s="869"/>
    </row>
    <row r="92" s="866" customFormat="1" hidden="1" spans="2:15">
      <c r="B92" s="867"/>
      <c r="C92" s="868"/>
      <c r="D92" s="869"/>
      <c r="E92" s="806"/>
      <c r="F92" s="806"/>
      <c r="G92" s="839"/>
      <c r="H92" s="806"/>
      <c r="I92" s="806"/>
      <c r="J92" s="806"/>
      <c r="K92" s="839"/>
      <c r="L92" s="839"/>
      <c r="M92" s="839"/>
      <c r="N92" s="839"/>
      <c r="O92" s="869"/>
    </row>
    <row r="93" s="866" customFormat="1" hidden="1" spans="2:15">
      <c r="B93" s="867"/>
      <c r="C93" s="868"/>
      <c r="D93" s="869"/>
      <c r="E93" s="806"/>
      <c r="F93" s="806"/>
      <c r="G93" s="839"/>
      <c r="H93" s="806"/>
      <c r="I93" s="806"/>
      <c r="J93" s="806"/>
      <c r="K93" s="839"/>
      <c r="L93" s="839"/>
      <c r="M93" s="839"/>
      <c r="N93" s="839"/>
      <c r="O93" s="869"/>
    </row>
    <row r="94" s="866" customFormat="1" hidden="1" spans="2:15">
      <c r="B94" s="867"/>
      <c r="C94" s="868"/>
      <c r="D94" s="869"/>
      <c r="E94" s="806"/>
      <c r="F94" s="806"/>
      <c r="G94" s="839"/>
      <c r="H94" s="806"/>
      <c r="I94" s="806"/>
      <c r="J94" s="806"/>
      <c r="K94" s="839"/>
      <c r="L94" s="839"/>
      <c r="M94" s="839"/>
      <c r="N94" s="839"/>
      <c r="O94" s="869"/>
    </row>
    <row r="95" s="866" customFormat="1" hidden="1" spans="2:15">
      <c r="B95" s="867"/>
      <c r="C95" s="868"/>
      <c r="D95" s="869"/>
      <c r="E95" s="806"/>
      <c r="F95" s="806"/>
      <c r="G95" s="839"/>
      <c r="H95" s="806"/>
      <c r="I95" s="806"/>
      <c r="J95" s="806"/>
      <c r="K95" s="839"/>
      <c r="L95" s="839"/>
      <c r="M95" s="839"/>
      <c r="N95" s="839"/>
      <c r="O95" s="869"/>
    </row>
    <row r="96" s="866" customFormat="1" hidden="1" spans="2:15">
      <c r="B96" s="867"/>
      <c r="C96" s="868"/>
      <c r="D96" s="869"/>
      <c r="E96" s="806"/>
      <c r="F96" s="806"/>
      <c r="G96" s="839"/>
      <c r="H96" s="806"/>
      <c r="I96" s="806"/>
      <c r="J96" s="806"/>
      <c r="K96" s="839"/>
      <c r="L96" s="839"/>
      <c r="M96" s="839"/>
      <c r="N96" s="839"/>
      <c r="O96" s="869"/>
    </row>
    <row r="97" s="866" customFormat="1" hidden="1" spans="2:15">
      <c r="B97" s="867"/>
      <c r="C97" s="868"/>
      <c r="D97" s="869"/>
      <c r="E97" s="806"/>
      <c r="F97" s="806"/>
      <c r="G97" s="839"/>
      <c r="H97" s="806"/>
      <c r="I97" s="806"/>
      <c r="J97" s="806"/>
      <c r="K97" s="839"/>
      <c r="L97" s="839"/>
      <c r="M97" s="839"/>
      <c r="N97" s="839"/>
      <c r="O97" s="869"/>
    </row>
    <row r="98" s="866" customFormat="1" hidden="1" spans="2:15">
      <c r="B98" s="867"/>
      <c r="C98" s="868"/>
      <c r="D98" s="869"/>
      <c r="E98" s="806"/>
      <c r="F98" s="806"/>
      <c r="G98" s="839"/>
      <c r="H98" s="806"/>
      <c r="I98" s="806"/>
      <c r="J98" s="806"/>
      <c r="K98" s="839"/>
      <c r="L98" s="839"/>
      <c r="M98" s="839"/>
      <c r="N98" s="839"/>
      <c r="O98" s="869"/>
    </row>
    <row r="99" s="866" customFormat="1" hidden="1" spans="2:15">
      <c r="B99" s="867"/>
      <c r="C99" s="868"/>
      <c r="D99" s="869"/>
      <c r="E99" s="806"/>
      <c r="F99" s="806"/>
      <c r="G99" s="839"/>
      <c r="H99" s="806"/>
      <c r="I99" s="806"/>
      <c r="J99" s="806"/>
      <c r="K99" s="839"/>
      <c r="L99" s="839"/>
      <c r="M99" s="839"/>
      <c r="N99" s="839"/>
      <c r="O99" s="869"/>
    </row>
    <row r="100" s="866" customFormat="1" hidden="1" spans="2:15">
      <c r="B100" s="867"/>
      <c r="C100" s="868"/>
      <c r="D100" s="869"/>
      <c r="E100" s="806"/>
      <c r="F100" s="806"/>
      <c r="G100" s="839"/>
      <c r="H100" s="806"/>
      <c r="I100" s="806"/>
      <c r="J100" s="806"/>
      <c r="K100" s="839"/>
      <c r="L100" s="839"/>
      <c r="M100" s="839"/>
      <c r="N100" s="839"/>
      <c r="O100" s="869"/>
    </row>
    <row r="101" s="866" customFormat="1" hidden="1" spans="2:15">
      <c r="B101" s="867"/>
      <c r="C101" s="868"/>
      <c r="D101" s="869"/>
      <c r="E101" s="806"/>
      <c r="F101" s="806"/>
      <c r="G101" s="839"/>
      <c r="H101" s="806"/>
      <c r="I101" s="806"/>
      <c r="J101" s="806"/>
      <c r="K101" s="839"/>
      <c r="L101" s="839"/>
      <c r="M101" s="839"/>
      <c r="N101" s="839"/>
      <c r="O101" s="869"/>
    </row>
    <row r="102" s="866" customFormat="1" hidden="1" spans="2:15">
      <c r="B102" s="867"/>
      <c r="C102" s="868"/>
      <c r="D102" s="869"/>
      <c r="E102" s="806"/>
      <c r="F102" s="806"/>
      <c r="G102" s="839"/>
      <c r="H102" s="806"/>
      <c r="I102" s="806"/>
      <c r="J102" s="806"/>
      <c r="K102" s="839"/>
      <c r="L102" s="839"/>
      <c r="M102" s="839"/>
      <c r="N102" s="839"/>
      <c r="O102" s="869"/>
    </row>
    <row r="103" s="866" customFormat="1" hidden="1" spans="2:15">
      <c r="B103" s="867"/>
      <c r="C103" s="868"/>
      <c r="D103" s="869"/>
      <c r="E103" s="806"/>
      <c r="F103" s="806"/>
      <c r="G103" s="839"/>
      <c r="H103" s="806"/>
      <c r="I103" s="806"/>
      <c r="J103" s="806"/>
      <c r="K103" s="839"/>
      <c r="L103" s="839"/>
      <c r="M103" s="839"/>
      <c r="N103" s="839"/>
      <c r="O103" s="869"/>
    </row>
  </sheetData>
  <mergeCells count="18">
    <mergeCell ref="A1:O1"/>
    <mergeCell ref="A2:O2"/>
    <mergeCell ref="A3:O3"/>
    <mergeCell ref="A4:O4"/>
    <mergeCell ref="E5:G5"/>
    <mergeCell ref="C8:D8"/>
    <mergeCell ref="C36:D36"/>
    <mergeCell ref="A44:D44"/>
    <mergeCell ref="A45:D45"/>
    <mergeCell ref="A46:G46"/>
    <mergeCell ref="A47:G47"/>
    <mergeCell ref="A48:G48"/>
    <mergeCell ref="A49:D49"/>
    <mergeCell ref="A50:D50"/>
    <mergeCell ref="A51:D51"/>
    <mergeCell ref="A63:O63"/>
    <mergeCell ref="O5:O7"/>
    <mergeCell ref="C5:D7"/>
  </mergeCells>
  <pageMargins left="0.393700787401575" right="0" top="0.47244094488189" bottom="0.236220472440945" header="0.236220472440945" footer="0.196850393700787"/>
  <pageSetup paperSize="5" scale="73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M46"/>
  <sheetViews>
    <sheetView zoomScale="80" zoomScaleNormal="80" topLeftCell="A4" workbookViewId="0">
      <selection activeCell="E8" sqref="E8"/>
    </sheetView>
  </sheetViews>
  <sheetFormatPr defaultColWidth="9.14285714285714" defaultRowHeight="21"/>
  <cols>
    <col min="1" max="1" width="2.57142857142857" style="57" customWidth="1"/>
    <col min="2" max="2" width="7.71428571428571" style="57" customWidth="1"/>
    <col min="3" max="3" width="25.1428571428571" style="58" customWidth="1"/>
    <col min="4" max="4" width="22.2857142857143" style="58" customWidth="1"/>
    <col min="5" max="5" width="22.8571428571429" style="58" customWidth="1"/>
    <col min="6" max="6" width="20.1428571428571" style="58" customWidth="1"/>
    <col min="7" max="7" width="17.5714285714286" style="58" customWidth="1"/>
    <col min="8" max="8" width="18.4285714285714" style="58" customWidth="1"/>
    <col min="9" max="9" width="20.1428571428571" style="58" customWidth="1"/>
    <col min="10" max="10" width="17.5714285714286" style="58" customWidth="1"/>
    <col min="11" max="11" width="22.2857142857143" style="58" customWidth="1"/>
    <col min="12" max="12" width="17.5714285714286" style="58" customWidth="1"/>
    <col min="13" max="16384" width="9.14285714285714" style="58"/>
  </cols>
  <sheetData>
    <row r="1" ht="26.25" spans="1:13">
      <c r="A1" s="59" t="str">
        <f>+รายงานผู้บริหาร!A1</f>
        <v>กรมพินิจและคุ้มครองเด็กและเยาวชน กระทรวงยุติธรรม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2"/>
    </row>
    <row r="2" ht="26.25" spans="1:13">
      <c r="A2" s="59" t="str">
        <f>+รายงานผู้บริหาร!A2</f>
        <v>สรุปรายละเอียดการเบิกจ่ายเงินงบประมาณประจำปีงบประมาณ พ.ศ. 2565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104"/>
    </row>
    <row r="3" ht="26.25" spans="1:13">
      <c r="A3" s="60" t="str">
        <f>+รายงานผู้บริหาร!A3</f>
        <v>ตั้งแต่วันที่ 1  ตุลาคม 2564 ถึงวันที่ 30 เมษายน 2565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52"/>
    </row>
    <row r="4" s="51" customFormat="1" spans="1:12">
      <c r="A4" s="62" t="s">
        <v>105</v>
      </c>
      <c r="B4" s="62"/>
      <c r="C4" s="62"/>
      <c r="D4" s="63" t="s">
        <v>106</v>
      </c>
      <c r="E4" s="63"/>
      <c r="F4" s="62" t="s">
        <v>107</v>
      </c>
      <c r="G4" s="948" t="s">
        <v>108</v>
      </c>
      <c r="H4" s="949" t="s">
        <v>109</v>
      </c>
      <c r="I4" s="63" t="s">
        <v>110</v>
      </c>
      <c r="J4" s="1007"/>
      <c r="K4" s="65" t="s">
        <v>111</v>
      </c>
      <c r="L4" s="62" t="s">
        <v>112</v>
      </c>
    </row>
    <row r="5" s="51" customFormat="1" spans="1:12">
      <c r="A5" s="66"/>
      <c r="B5" s="66"/>
      <c r="C5" s="66"/>
      <c r="D5" s="62" t="s">
        <v>113</v>
      </c>
      <c r="E5" s="62" t="s">
        <v>114</v>
      </c>
      <c r="F5" s="66"/>
      <c r="G5" s="950" t="s">
        <v>115</v>
      </c>
      <c r="H5" s="951" t="s">
        <v>116</v>
      </c>
      <c r="I5" s="62" t="s">
        <v>117</v>
      </c>
      <c r="J5" s="948" t="s">
        <v>118</v>
      </c>
      <c r="K5" s="68" t="s">
        <v>119</v>
      </c>
      <c r="L5" s="66" t="s">
        <v>115</v>
      </c>
    </row>
    <row r="6" s="51" customFormat="1" spans="1:12">
      <c r="A6" s="69"/>
      <c r="B6" s="69"/>
      <c r="C6" s="69"/>
      <c r="D6" s="70" t="s">
        <v>120</v>
      </c>
      <c r="E6" s="70" t="s">
        <v>121</v>
      </c>
      <c r="F6" s="70" t="s">
        <v>122</v>
      </c>
      <c r="G6" s="952" t="s">
        <v>123</v>
      </c>
      <c r="H6" s="953" t="s">
        <v>124</v>
      </c>
      <c r="I6" s="113" t="s">
        <v>125</v>
      </c>
      <c r="J6" s="952" t="s">
        <v>126</v>
      </c>
      <c r="K6" s="72" t="s">
        <v>127</v>
      </c>
      <c r="L6" s="113" t="s">
        <v>128</v>
      </c>
    </row>
    <row r="7" s="52" customFormat="1" ht="31.5" customHeight="1" spans="1:12">
      <c r="A7" s="73" t="s">
        <v>328</v>
      </c>
      <c r="B7" s="74"/>
      <c r="C7" s="75"/>
      <c r="D7" s="76"/>
      <c r="E7" s="76"/>
      <c r="F7" s="76"/>
      <c r="G7" s="954"/>
      <c r="H7" s="955"/>
      <c r="I7" s="114"/>
      <c r="J7" s="954"/>
      <c r="K7" s="76"/>
      <c r="L7" s="115"/>
    </row>
    <row r="8" s="53" customFormat="1" ht="32.25" customHeight="1" spans="1:12">
      <c r="A8" s="77"/>
      <c r="B8" s="78">
        <v>1.1</v>
      </c>
      <c r="C8" s="79" t="s">
        <v>4</v>
      </c>
      <c r="D8" s="80">
        <f>+รายจ่ายจริง!G79</f>
        <v>1390052000</v>
      </c>
      <c r="E8" s="80">
        <f>+รายจ่ายจริง!G80</f>
        <v>1042539000</v>
      </c>
      <c r="F8" s="80">
        <f>+รายจ่ายจริง!G82</f>
        <v>802035169.26</v>
      </c>
      <c r="G8" s="956">
        <f>+F8*100/D8</f>
        <v>57.6982133948946</v>
      </c>
      <c r="H8" s="957">
        <f>+รายจ่ายจริง!G81</f>
        <v>0</v>
      </c>
      <c r="I8" s="80">
        <f>+F8+H8</f>
        <v>802035169.26</v>
      </c>
      <c r="J8" s="956">
        <f>+I8*100/D8</f>
        <v>57.6982133948946</v>
      </c>
      <c r="K8" s="82">
        <f>+D8-F8</f>
        <v>588016830.74</v>
      </c>
      <c r="L8" s="80">
        <f>+K8*100/D8</f>
        <v>42.3017866051054</v>
      </c>
    </row>
    <row r="9" s="53" customFormat="1" ht="32.25" customHeight="1" spans="1:12">
      <c r="A9" s="77"/>
      <c r="B9" s="78">
        <v>1.2</v>
      </c>
      <c r="C9" s="79" t="s">
        <v>5</v>
      </c>
      <c r="D9" s="80">
        <f>+รายจ่ายจริง!J79</f>
        <v>432541700</v>
      </c>
      <c r="E9" s="80">
        <f>+รายจ่ายจริง!J80</f>
        <v>323636700</v>
      </c>
      <c r="F9" s="80">
        <f>+รายจ่ายจริง!J82</f>
        <v>213749684.52</v>
      </c>
      <c r="G9" s="956">
        <f t="shared" ref="G9:G33" si="0">+F9*100/D9</f>
        <v>49.4171277636353</v>
      </c>
      <c r="H9" s="957">
        <f>+รายจ่ายจริง!J81</f>
        <v>19683868.01</v>
      </c>
      <c r="I9" s="80">
        <f t="shared" ref="I9:I11" si="1">+F9+H9</f>
        <v>233433552.53</v>
      </c>
      <c r="J9" s="956">
        <f t="shared" ref="J9:J14" si="2">+I9*100/D9</f>
        <v>53.9678723531165</v>
      </c>
      <c r="K9" s="82">
        <f t="shared" ref="K9:K11" si="3">+D9-F9</f>
        <v>218792015.48</v>
      </c>
      <c r="L9" s="80">
        <f t="shared" ref="L9:L30" si="4">+K9*100/D9</f>
        <v>50.5828722363647</v>
      </c>
    </row>
    <row r="10" s="53" customFormat="1" ht="32.25" customHeight="1" spans="1:12">
      <c r="A10" s="77"/>
      <c r="B10" s="78">
        <v>1.3</v>
      </c>
      <c r="C10" s="79" t="s">
        <v>6</v>
      </c>
      <c r="D10" s="80">
        <f>+รายจ่ายจริง!M79</f>
        <v>118294300</v>
      </c>
      <c r="E10" s="80">
        <f>+รายจ่ายจริง!M80</f>
        <v>86643200</v>
      </c>
      <c r="F10" s="80">
        <f>+รายจ่ายจริง!M82</f>
        <v>24342181.58</v>
      </c>
      <c r="G10" s="956">
        <f t="shared" si="0"/>
        <v>20.5776453979608</v>
      </c>
      <c r="H10" s="957">
        <f>+รายจ่ายจริง!M81</f>
        <v>56899929</v>
      </c>
      <c r="I10" s="80">
        <f t="shared" si="1"/>
        <v>81242110.58</v>
      </c>
      <c r="J10" s="956">
        <f t="shared" si="2"/>
        <v>68.6779587689348</v>
      </c>
      <c r="K10" s="82">
        <f t="shared" si="3"/>
        <v>93952118.42</v>
      </c>
      <c r="L10" s="80">
        <f t="shared" si="4"/>
        <v>79.4223546020391</v>
      </c>
    </row>
    <row r="11" s="53" customFormat="1" ht="32.25" customHeight="1" spans="1:12">
      <c r="A11" s="77"/>
      <c r="B11" s="78">
        <v>1.4</v>
      </c>
      <c r="C11" s="79" t="s">
        <v>8</v>
      </c>
      <c r="D11" s="80">
        <f>+รายจ่ายจริง!O79</f>
        <v>28793900</v>
      </c>
      <c r="E11" s="80">
        <f>+รายจ่ายจริง!O80</f>
        <v>21595100</v>
      </c>
      <c r="F11" s="80">
        <f>+รายจ่ายจริง!O82</f>
        <v>6921441.63</v>
      </c>
      <c r="G11" s="956">
        <f t="shared" si="0"/>
        <v>24.0378747929249</v>
      </c>
      <c r="H11" s="957">
        <f>+รายจ่ายจริง!O81</f>
        <v>111761.86</v>
      </c>
      <c r="I11" s="80">
        <f t="shared" si="1"/>
        <v>7033203.49</v>
      </c>
      <c r="J11" s="956">
        <f t="shared" si="2"/>
        <v>24.426019017917</v>
      </c>
      <c r="K11" s="82">
        <f t="shared" si="3"/>
        <v>21872458.37</v>
      </c>
      <c r="L11" s="80">
        <f t="shared" si="4"/>
        <v>75.9621252070751</v>
      </c>
    </row>
    <row r="12" s="52" customFormat="1" ht="35.25" customHeight="1" spans="1:12">
      <c r="A12" s="83" t="s">
        <v>80</v>
      </c>
      <c r="B12" s="83"/>
      <c r="C12" s="83"/>
      <c r="D12" s="958">
        <f>SUM(D8:D11)</f>
        <v>1969681900</v>
      </c>
      <c r="E12" s="958">
        <f t="shared" ref="E12:I12" si="5">SUM(E8:E11)</f>
        <v>1474414000</v>
      </c>
      <c r="F12" s="958">
        <f t="shared" si="5"/>
        <v>1047048476.99</v>
      </c>
      <c r="G12" s="959">
        <f t="shared" si="0"/>
        <v>53.1582524563992</v>
      </c>
      <c r="H12" s="960">
        <f t="shared" si="5"/>
        <v>76695558.87</v>
      </c>
      <c r="I12" s="958">
        <f t="shared" si="5"/>
        <v>1123744035.86</v>
      </c>
      <c r="J12" s="961">
        <f t="shared" si="2"/>
        <v>57.0520567742436</v>
      </c>
      <c r="K12" s="1008">
        <f t="shared" ref="K12" si="6">SUM(K8:K11)</f>
        <v>922633423.01</v>
      </c>
      <c r="L12" s="1009">
        <f t="shared" si="4"/>
        <v>46.8417475436008</v>
      </c>
    </row>
    <row r="13" s="52" customFormat="1" ht="35.25" customHeight="1" spans="1:12">
      <c r="A13" s="83" t="s">
        <v>329</v>
      </c>
      <c r="B13" s="83"/>
      <c r="C13" s="83"/>
      <c r="D13" s="958">
        <f>SUM(D8:D9)+D11</f>
        <v>1851387600</v>
      </c>
      <c r="E13" s="958">
        <f t="shared" ref="E13:K13" si="7">SUM(E8:E9)+E11</f>
        <v>1387770800</v>
      </c>
      <c r="F13" s="958">
        <f t="shared" si="7"/>
        <v>1022706295.41</v>
      </c>
      <c r="G13" s="961">
        <f t="shared" si="0"/>
        <v>55.239988396271</v>
      </c>
      <c r="H13" s="960">
        <f t="shared" ref="H13" si="8">SUM(H8:H9)+H11</f>
        <v>19795629.87</v>
      </c>
      <c r="I13" s="958">
        <f t="shared" si="7"/>
        <v>1042501925.28</v>
      </c>
      <c r="J13" s="961">
        <f t="shared" si="2"/>
        <v>56.3092204614528</v>
      </c>
      <c r="K13" s="1008">
        <f t="shared" si="7"/>
        <v>828681304.59</v>
      </c>
      <c r="L13" s="84">
        <f t="shared" si="4"/>
        <v>44.760011603729</v>
      </c>
    </row>
    <row r="14" s="52" customFormat="1" ht="35.25" customHeight="1" spans="1:12">
      <c r="A14" s="83" t="s">
        <v>330</v>
      </c>
      <c r="B14" s="83"/>
      <c r="C14" s="83"/>
      <c r="D14" s="958">
        <f>+D10</f>
        <v>118294300</v>
      </c>
      <c r="E14" s="958">
        <f t="shared" ref="E14:K14" si="9">+E10</f>
        <v>86643200</v>
      </c>
      <c r="F14" s="958">
        <f t="shared" si="9"/>
        <v>24342181.58</v>
      </c>
      <c r="G14" s="961">
        <f t="shared" si="0"/>
        <v>20.5776453979608</v>
      </c>
      <c r="H14" s="960">
        <f t="shared" ref="H14" si="10">+H10</f>
        <v>56899929</v>
      </c>
      <c r="I14" s="958">
        <f t="shared" si="9"/>
        <v>81242110.58</v>
      </c>
      <c r="J14" s="961">
        <f t="shared" si="2"/>
        <v>68.6779587689348</v>
      </c>
      <c r="K14" s="1008">
        <f t="shared" si="9"/>
        <v>93952118.42</v>
      </c>
      <c r="L14" s="84">
        <f t="shared" si="4"/>
        <v>79.4223546020391</v>
      </c>
    </row>
    <row r="15" s="52" customFormat="1" ht="23.25" spans="1:12">
      <c r="A15" s="962" t="s">
        <v>142</v>
      </c>
      <c r="B15" s="963"/>
      <c r="C15" s="963"/>
      <c r="D15" s="963"/>
      <c r="E15" s="963"/>
      <c r="F15" s="963"/>
      <c r="G15" s="963"/>
      <c r="H15" s="963"/>
      <c r="I15" s="963"/>
      <c r="J15" s="963"/>
      <c r="K15" s="963"/>
      <c r="L15" s="1010"/>
    </row>
    <row r="16" s="51" customFormat="1" ht="26.25" spans="1:12">
      <c r="A16" s="964" t="s">
        <v>105</v>
      </c>
      <c r="B16" s="965"/>
      <c r="C16" s="966" t="s">
        <v>143</v>
      </c>
      <c r="D16" s="967"/>
      <c r="E16" s="968" t="s">
        <v>144</v>
      </c>
      <c r="F16" s="969"/>
      <c r="G16" s="970" t="s">
        <v>145</v>
      </c>
      <c r="H16" s="971"/>
      <c r="I16" s="1011" t="s">
        <v>146</v>
      </c>
      <c r="J16" s="966"/>
      <c r="K16" s="1012" t="s">
        <v>147</v>
      </c>
      <c r="L16" s="1013"/>
    </row>
    <row r="17" s="52" customFormat="1" ht="23.25" spans="1:12">
      <c r="A17" s="972"/>
      <c r="B17" s="973"/>
      <c r="C17" s="291" t="s">
        <v>148</v>
      </c>
      <c r="D17" s="974" t="s">
        <v>149</v>
      </c>
      <c r="E17" s="975" t="s">
        <v>148</v>
      </c>
      <c r="F17" s="976" t="s">
        <v>149</v>
      </c>
      <c r="G17" s="977" t="s">
        <v>148</v>
      </c>
      <c r="H17" s="978" t="s">
        <v>149</v>
      </c>
      <c r="I17" s="1014" t="s">
        <v>148</v>
      </c>
      <c r="J17" s="1015" t="s">
        <v>149</v>
      </c>
      <c r="K17" s="291" t="s">
        <v>148</v>
      </c>
      <c r="L17" s="1015" t="s">
        <v>149</v>
      </c>
    </row>
    <row r="18" s="53" customFormat="1" ht="32.25" customHeight="1" spans="1:12">
      <c r="A18" s="979" t="s">
        <v>331</v>
      </c>
      <c r="B18" s="980"/>
      <c r="C18" s="981">
        <v>30</v>
      </c>
      <c r="D18" s="982">
        <v>34.08</v>
      </c>
      <c r="E18" s="983">
        <f>+C18+21</f>
        <v>51</v>
      </c>
      <c r="F18" s="984">
        <f>+D18+22.16</f>
        <v>56.24</v>
      </c>
      <c r="G18" s="985">
        <f>+E18+21</f>
        <v>72</v>
      </c>
      <c r="H18" s="986">
        <f>+F18+25.5</f>
        <v>81.74</v>
      </c>
      <c r="I18" s="1016">
        <f>+G18+21</f>
        <v>93</v>
      </c>
      <c r="J18" s="981">
        <f>+H18+18.26</f>
        <v>100</v>
      </c>
      <c r="K18" s="1017" t="s">
        <v>151</v>
      </c>
      <c r="L18" s="1017" t="s">
        <v>151</v>
      </c>
    </row>
    <row r="19" s="53" customFormat="1" ht="32.25" customHeight="1" spans="1:12">
      <c r="A19" s="987"/>
      <c r="B19" s="988"/>
      <c r="C19" s="989"/>
      <c r="D19" s="990"/>
      <c r="E19" s="991"/>
      <c r="F19" s="992"/>
      <c r="G19" s="993"/>
      <c r="H19" s="994"/>
      <c r="I19" s="1018"/>
      <c r="J19" s="989"/>
      <c r="K19" s="1019">
        <f>+G18-G12</f>
        <v>18.8417475436008</v>
      </c>
      <c r="L19" s="1020">
        <f>+H18-J12</f>
        <v>24.6879432257564</v>
      </c>
    </row>
    <row r="20" s="53" customFormat="1" ht="32.25" customHeight="1" spans="1:12">
      <c r="A20" s="979" t="s">
        <v>332</v>
      </c>
      <c r="B20" s="980"/>
      <c r="C20" s="995">
        <v>34</v>
      </c>
      <c r="D20" s="996">
        <v>35.33</v>
      </c>
      <c r="E20" s="997">
        <f>+C20+23</f>
        <v>57</v>
      </c>
      <c r="F20" s="998">
        <f>+D20+20.45</f>
        <v>55.78</v>
      </c>
      <c r="G20" s="999">
        <f>+E20+22</f>
        <v>79</v>
      </c>
      <c r="H20" s="1000">
        <f>+F20+25.98</f>
        <v>81.76</v>
      </c>
      <c r="I20" s="1021">
        <f>+G20+19</f>
        <v>98</v>
      </c>
      <c r="J20" s="995">
        <f>+H20+18.24</f>
        <v>100</v>
      </c>
      <c r="K20" s="1022" t="s">
        <v>151</v>
      </c>
      <c r="L20" s="1022" t="s">
        <v>151</v>
      </c>
    </row>
    <row r="21" s="53" customFormat="1" ht="32.25" customHeight="1" spans="1:12">
      <c r="A21" s="987"/>
      <c r="B21" s="988"/>
      <c r="C21" s="1001"/>
      <c r="D21" s="1002"/>
      <c r="E21" s="1003"/>
      <c r="F21" s="1004"/>
      <c r="G21" s="1005"/>
      <c r="H21" s="1006"/>
      <c r="I21" s="1023"/>
      <c r="J21" s="1001"/>
      <c r="K21" s="1019">
        <f>+G20-G13</f>
        <v>23.760011603729</v>
      </c>
      <c r="L21" s="1020">
        <f>+H20-J13</f>
        <v>25.4507795385472</v>
      </c>
    </row>
    <row r="22" s="53" customFormat="1" ht="32.25" customHeight="1" spans="1:12">
      <c r="A22" s="979" t="s">
        <v>150</v>
      </c>
      <c r="B22" s="980"/>
      <c r="C22" s="995">
        <v>13</v>
      </c>
      <c r="D22" s="996">
        <v>28.96</v>
      </c>
      <c r="E22" s="997">
        <f>+C22+16</f>
        <v>29</v>
      </c>
      <c r="F22" s="998">
        <f>+D22+29.19</f>
        <v>58.15</v>
      </c>
      <c r="G22" s="999">
        <f>+E22+17</f>
        <v>46</v>
      </c>
      <c r="H22" s="1000">
        <f>+F22+23.5</f>
        <v>81.65</v>
      </c>
      <c r="I22" s="1021">
        <f>+G22+29</f>
        <v>75</v>
      </c>
      <c r="J22" s="995">
        <f>+H22+18.35</f>
        <v>100</v>
      </c>
      <c r="K22" s="1022" t="s">
        <v>151</v>
      </c>
      <c r="L22" s="1022" t="s">
        <v>151</v>
      </c>
    </row>
    <row r="23" s="53" customFormat="1" ht="32.25" customHeight="1" spans="1:12">
      <c r="A23" s="987"/>
      <c r="B23" s="988"/>
      <c r="C23" s="1001"/>
      <c r="D23" s="1002"/>
      <c r="E23" s="1003"/>
      <c r="F23" s="1004"/>
      <c r="G23" s="1005"/>
      <c r="H23" s="1006"/>
      <c r="I23" s="1023"/>
      <c r="J23" s="1001"/>
      <c r="K23" s="1020">
        <f>+G22-G14</f>
        <v>25.4223546020392</v>
      </c>
      <c r="L23" s="1020">
        <f>+H22-J14</f>
        <v>12.9720412310652</v>
      </c>
    </row>
    <row r="24" s="51" customFormat="1" spans="1:12">
      <c r="A24" s="62" t="s">
        <v>105</v>
      </c>
      <c r="B24" s="62"/>
      <c r="C24" s="62"/>
      <c r="D24" s="63" t="s">
        <v>106</v>
      </c>
      <c r="E24" s="63"/>
      <c r="F24" s="62" t="s">
        <v>107</v>
      </c>
      <c r="G24" s="64" t="s">
        <v>108</v>
      </c>
      <c r="H24" s="65" t="s">
        <v>109</v>
      </c>
      <c r="I24" s="63" t="s">
        <v>110</v>
      </c>
      <c r="J24" s="112"/>
      <c r="K24" s="65" t="s">
        <v>111</v>
      </c>
      <c r="L24" s="62" t="s">
        <v>112</v>
      </c>
    </row>
    <row r="25" s="51" customFormat="1" spans="1:12">
      <c r="A25" s="66"/>
      <c r="B25" s="66"/>
      <c r="C25" s="66"/>
      <c r="D25" s="62" t="s">
        <v>113</v>
      </c>
      <c r="E25" s="62" t="s">
        <v>114</v>
      </c>
      <c r="F25" s="66"/>
      <c r="G25" s="67" t="s">
        <v>115</v>
      </c>
      <c r="H25" s="68" t="s">
        <v>116</v>
      </c>
      <c r="I25" s="62" t="s">
        <v>117</v>
      </c>
      <c r="J25" s="64" t="s">
        <v>118</v>
      </c>
      <c r="K25" s="68" t="s">
        <v>119</v>
      </c>
      <c r="L25" s="66" t="s">
        <v>115</v>
      </c>
    </row>
    <row r="26" s="51" customFormat="1" spans="1:12">
      <c r="A26" s="69"/>
      <c r="B26" s="69"/>
      <c r="C26" s="69"/>
      <c r="D26" s="70" t="s">
        <v>120</v>
      </c>
      <c r="E26" s="70" t="s">
        <v>121</v>
      </c>
      <c r="F26" s="70" t="s">
        <v>122</v>
      </c>
      <c r="G26" s="71" t="s">
        <v>123</v>
      </c>
      <c r="H26" s="72" t="s">
        <v>124</v>
      </c>
      <c r="I26" s="113" t="s">
        <v>125</v>
      </c>
      <c r="J26" s="71" t="s">
        <v>126</v>
      </c>
      <c r="K26" s="72" t="s">
        <v>127</v>
      </c>
      <c r="L26" s="113" t="s">
        <v>128</v>
      </c>
    </row>
    <row r="27" s="52" customFormat="1" ht="30" customHeight="1" spans="1:12">
      <c r="A27" s="91" t="s">
        <v>333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116"/>
    </row>
    <row r="28" s="53" customFormat="1" ht="30" customHeight="1" spans="1:12">
      <c r="A28" s="77"/>
      <c r="B28" s="78">
        <v>2.1</v>
      </c>
      <c r="C28" s="79" t="s">
        <v>334</v>
      </c>
      <c r="D28" s="93">
        <f>+เงินกันปี64!H65-เงินกันปี64!H63</f>
        <v>136444872.72</v>
      </c>
      <c r="E28" s="94"/>
      <c r="F28" s="93">
        <f>+เงินกันปี64!I65-เงินกันปี64!I63</f>
        <v>64886281.69</v>
      </c>
      <c r="G28" s="81">
        <f t="shared" si="0"/>
        <v>47.5549431770543</v>
      </c>
      <c r="H28" s="82"/>
      <c r="I28" s="117"/>
      <c r="J28" s="118"/>
      <c r="K28" s="119">
        <f>+D28-F28</f>
        <v>71558591.03</v>
      </c>
      <c r="L28" s="80">
        <f t="shared" si="4"/>
        <v>52.4450568229457</v>
      </c>
    </row>
    <row r="29" s="53" customFormat="1" ht="30" customHeight="1" spans="1:12">
      <c r="A29" s="77"/>
      <c r="B29" s="78">
        <v>2.2</v>
      </c>
      <c r="C29" s="79" t="s">
        <v>335</v>
      </c>
      <c r="D29" s="93">
        <f>+เงินกันปี64!H63</f>
        <v>5000000</v>
      </c>
      <c r="E29" s="94"/>
      <c r="F29" s="93">
        <f>+เงินกันปี64!I63</f>
        <v>5000000</v>
      </c>
      <c r="G29" s="81">
        <f t="shared" si="0"/>
        <v>100</v>
      </c>
      <c r="H29" s="82"/>
      <c r="I29" s="117"/>
      <c r="J29" s="118"/>
      <c r="K29" s="1024">
        <f>+D29-F29</f>
        <v>0</v>
      </c>
      <c r="L29" s="80">
        <f t="shared" si="4"/>
        <v>0</v>
      </c>
    </row>
    <row r="30" s="52" customFormat="1" ht="30" customHeight="1" spans="1:12">
      <c r="A30" s="83" t="s">
        <v>80</v>
      </c>
      <c r="B30" s="83"/>
      <c r="C30" s="83"/>
      <c r="D30" s="95">
        <f>SUM(D28:D29)</f>
        <v>141444872.72</v>
      </c>
      <c r="E30" s="96"/>
      <c r="F30" s="95">
        <f t="shared" ref="F30:K30" si="11">SUM(F28:F29)</f>
        <v>69886281.69</v>
      </c>
      <c r="G30" s="85">
        <f t="shared" si="0"/>
        <v>49.4088476634602</v>
      </c>
      <c r="H30" s="86"/>
      <c r="I30" s="96"/>
      <c r="J30" s="120"/>
      <c r="K30" s="121">
        <f t="shared" si="11"/>
        <v>71558591.03</v>
      </c>
      <c r="L30" s="84">
        <f t="shared" si="4"/>
        <v>50.5911523365398</v>
      </c>
    </row>
    <row r="31" s="53" customFormat="1" ht="30" customHeight="1" spans="1:12">
      <c r="A31" s="97" t="s">
        <v>336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="53" customFormat="1" ht="30" customHeight="1" spans="1:12">
      <c r="A32" s="98"/>
      <c r="B32" s="78" t="s">
        <v>337</v>
      </c>
      <c r="C32" s="99"/>
      <c r="D32" s="80">
        <f>+'เบิกแทน กรมคุม'!E103</f>
        <v>3942765</v>
      </c>
      <c r="E32" s="94"/>
      <c r="F32" s="100">
        <f>+'เบิกแทน กรมคุม'!F103</f>
        <v>1918904.16</v>
      </c>
      <c r="G32" s="81">
        <f t="shared" si="0"/>
        <v>48.6689965037226</v>
      </c>
      <c r="H32" s="82"/>
      <c r="I32" s="94"/>
      <c r="J32" s="122"/>
      <c r="K32" s="119">
        <f>+D32-F32</f>
        <v>2023860.84</v>
      </c>
      <c r="L32" s="80">
        <f t="shared" ref="L32:L33" si="12">+K32*100/D32</f>
        <v>51.3310034962774</v>
      </c>
    </row>
    <row r="33" s="52" customFormat="1" ht="30" customHeight="1" spans="1:12">
      <c r="A33" s="83" t="s">
        <v>80</v>
      </c>
      <c r="B33" s="83"/>
      <c r="C33" s="83"/>
      <c r="D33" s="95">
        <f>+D32</f>
        <v>3942765</v>
      </c>
      <c r="E33" s="96"/>
      <c r="F33" s="101">
        <f>+F32</f>
        <v>1918904.16</v>
      </c>
      <c r="G33" s="85">
        <f t="shared" si="0"/>
        <v>48.6689965037226</v>
      </c>
      <c r="H33" s="86"/>
      <c r="I33" s="96"/>
      <c r="J33" s="120"/>
      <c r="K33" s="121">
        <f t="shared" ref="K33" si="13">SUM(K31:K32)</f>
        <v>2023860.84</v>
      </c>
      <c r="L33" s="84">
        <f t="shared" si="12"/>
        <v>51.3310034962774</v>
      </c>
    </row>
    <row r="34" s="54" customFormat="1" ht="23.25" spans="1:2">
      <c r="A34" s="102" t="s">
        <v>338</v>
      </c>
      <c r="B34" s="102"/>
    </row>
    <row r="35" s="54" customFormat="1" ht="23.25" spans="1:2">
      <c r="A35" s="103" t="s">
        <v>339</v>
      </c>
      <c r="B35" s="102"/>
    </row>
    <row r="36" s="52" customFormat="1" ht="23.25" spans="1:2">
      <c r="A36" s="103" t="s">
        <v>340</v>
      </c>
      <c r="B36" s="103"/>
    </row>
    <row r="37" s="52" customFormat="1" ht="33.75" customHeight="1" spans="1:12">
      <c r="A37" s="104" t="s">
        <v>341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</row>
    <row r="38" s="55" customFormat="1" ht="23.25" spans="1:12">
      <c r="A38" s="105" t="s">
        <v>105</v>
      </c>
      <c r="B38" s="105"/>
      <c r="C38" s="105"/>
      <c r="D38" s="105"/>
      <c r="E38" s="105"/>
      <c r="F38" s="105"/>
      <c r="G38" s="105"/>
      <c r="H38" s="105"/>
      <c r="I38" s="105"/>
      <c r="J38" s="105" t="s">
        <v>342</v>
      </c>
      <c r="K38" s="105"/>
      <c r="L38" s="105" t="s">
        <v>165</v>
      </c>
    </row>
    <row r="39" s="52" customFormat="1" ht="23.25" spans="1:12">
      <c r="A39" s="98">
        <v>1</v>
      </c>
      <c r="B39" s="106" t="s">
        <v>5</v>
      </c>
      <c r="C39" s="106"/>
      <c r="D39" s="106"/>
      <c r="E39" s="106"/>
      <c r="F39" s="106"/>
      <c r="G39" s="106"/>
      <c r="H39" s="106"/>
      <c r="I39" s="99"/>
      <c r="J39" s="98"/>
      <c r="K39" s="86">
        <f>+J40</f>
        <v>721233.5</v>
      </c>
      <c r="L39" s="123"/>
    </row>
    <row r="40" s="56" customFormat="1" ht="54.75" customHeight="1" spans="1:12">
      <c r="A40" s="107"/>
      <c r="B40" s="108"/>
      <c r="C40" s="109" t="s">
        <v>343</v>
      </c>
      <c r="D40" s="109"/>
      <c r="E40" s="109"/>
      <c r="F40" s="109"/>
      <c r="G40" s="109"/>
      <c r="H40" s="109"/>
      <c r="I40" s="124"/>
      <c r="J40" s="125">
        <v>721233.5</v>
      </c>
      <c r="K40" s="126"/>
      <c r="L40" s="1025" t="s">
        <v>344</v>
      </c>
    </row>
    <row r="41" s="52" customFormat="1" ht="23.25" spans="1:12">
      <c r="A41" s="98">
        <v>2</v>
      </c>
      <c r="B41" s="106" t="s">
        <v>6</v>
      </c>
      <c r="C41" s="106"/>
      <c r="D41" s="106"/>
      <c r="E41" s="106"/>
      <c r="F41" s="106"/>
      <c r="G41" s="106"/>
      <c r="H41" s="106"/>
      <c r="I41" s="99"/>
      <c r="J41" s="128"/>
      <c r="K41" s="129">
        <f>SUM(J42:K45)</f>
        <v>20862347.39</v>
      </c>
      <c r="L41" s="123"/>
    </row>
    <row r="42" s="53" customFormat="1" ht="29.25" customHeight="1" spans="1:12">
      <c r="A42" s="77"/>
      <c r="B42" s="78">
        <v>2.1</v>
      </c>
      <c r="C42" s="78" t="s">
        <v>345</v>
      </c>
      <c r="D42" s="78"/>
      <c r="E42" s="78"/>
      <c r="F42" s="78"/>
      <c r="G42" s="78"/>
      <c r="H42" s="78"/>
      <c r="I42" s="79"/>
      <c r="J42" s="130">
        <v>11135650</v>
      </c>
      <c r="K42" s="130"/>
      <c r="L42" s="131"/>
    </row>
    <row r="43" s="53" customFormat="1" ht="29.25" customHeight="1" spans="1:12">
      <c r="A43" s="77"/>
      <c r="B43" s="110">
        <v>2.2</v>
      </c>
      <c r="C43" s="78" t="s">
        <v>346</v>
      </c>
      <c r="D43" s="78"/>
      <c r="E43" s="78"/>
      <c r="F43" s="78"/>
      <c r="G43" s="78"/>
      <c r="H43" s="78"/>
      <c r="I43" s="79"/>
      <c r="J43" s="130">
        <v>2339940.84</v>
      </c>
      <c r="K43" s="130"/>
      <c r="L43" s="131"/>
    </row>
    <row r="44" s="53" customFormat="1" ht="29.25" customHeight="1" spans="1:12">
      <c r="A44" s="77"/>
      <c r="B44" s="110">
        <v>2.3</v>
      </c>
      <c r="C44" s="78" t="s">
        <v>347</v>
      </c>
      <c r="D44" s="78"/>
      <c r="E44" s="78"/>
      <c r="F44" s="78"/>
      <c r="G44" s="78"/>
      <c r="H44" s="78"/>
      <c r="I44" s="79"/>
      <c r="J44" s="130">
        <v>4231617.55</v>
      </c>
      <c r="K44" s="130"/>
      <c r="L44" s="131"/>
    </row>
    <row r="45" s="53" customFormat="1" ht="29.25" customHeight="1" spans="1:12">
      <c r="A45" s="77"/>
      <c r="B45" s="110">
        <v>2.4</v>
      </c>
      <c r="C45" s="78" t="s">
        <v>348</v>
      </c>
      <c r="D45" s="78"/>
      <c r="E45" s="78"/>
      <c r="F45" s="78"/>
      <c r="G45" s="78"/>
      <c r="H45" s="78"/>
      <c r="I45" s="79"/>
      <c r="J45" s="130">
        <v>3155139</v>
      </c>
      <c r="K45" s="130"/>
      <c r="L45" s="123" t="s">
        <v>349</v>
      </c>
    </row>
    <row r="46" s="55" customFormat="1" ht="29.25" customHeight="1" spans="1:12">
      <c r="A46" s="111" t="s">
        <v>350</v>
      </c>
      <c r="B46" s="111"/>
      <c r="C46" s="111"/>
      <c r="D46" s="111"/>
      <c r="E46" s="111"/>
      <c r="F46" s="111"/>
      <c r="G46" s="111"/>
      <c r="H46" s="111"/>
      <c r="I46" s="111"/>
      <c r="J46" s="132">
        <f>SUM(J39:K45)/2</f>
        <v>21583580.89</v>
      </c>
      <c r="K46" s="132"/>
      <c r="L46" s="133"/>
    </row>
  </sheetData>
  <mergeCells count="62">
    <mergeCell ref="A1:L1"/>
    <mergeCell ref="A2:L2"/>
    <mergeCell ref="A3:L3"/>
    <mergeCell ref="D4:E4"/>
    <mergeCell ref="I4:J4"/>
    <mergeCell ref="A12:C12"/>
    <mergeCell ref="A13:C13"/>
    <mergeCell ref="A14:C14"/>
    <mergeCell ref="A15:L15"/>
    <mergeCell ref="C16:D16"/>
    <mergeCell ref="E16:F16"/>
    <mergeCell ref="G16:H16"/>
    <mergeCell ref="I16:J16"/>
    <mergeCell ref="K16:L16"/>
    <mergeCell ref="D24:E24"/>
    <mergeCell ref="I24:J24"/>
    <mergeCell ref="A30:C30"/>
    <mergeCell ref="A31:L31"/>
    <mergeCell ref="A33:C33"/>
    <mergeCell ref="A37:L37"/>
    <mergeCell ref="A38:I38"/>
    <mergeCell ref="J38:K38"/>
    <mergeCell ref="C40:I40"/>
    <mergeCell ref="J40:K40"/>
    <mergeCell ref="J42:K42"/>
    <mergeCell ref="J43:K43"/>
    <mergeCell ref="J44:K44"/>
    <mergeCell ref="J45:K45"/>
    <mergeCell ref="A46:I46"/>
    <mergeCell ref="J46:K46"/>
    <mergeCell ref="C18:C19"/>
    <mergeCell ref="C20:C21"/>
    <mergeCell ref="C22:C23"/>
    <mergeCell ref="D18:D19"/>
    <mergeCell ref="D20:D21"/>
    <mergeCell ref="D22:D23"/>
    <mergeCell ref="E18:E19"/>
    <mergeCell ref="E20:E21"/>
    <mergeCell ref="E22:E23"/>
    <mergeCell ref="F4:F5"/>
    <mergeCell ref="F18:F19"/>
    <mergeCell ref="F20:F21"/>
    <mergeCell ref="F22:F23"/>
    <mergeCell ref="F24:F25"/>
    <mergeCell ref="G18:G19"/>
    <mergeCell ref="G20:G21"/>
    <mergeCell ref="G22:G23"/>
    <mergeCell ref="H18:H19"/>
    <mergeCell ref="H20:H21"/>
    <mergeCell ref="H22:H23"/>
    <mergeCell ref="I18:I19"/>
    <mergeCell ref="I20:I21"/>
    <mergeCell ref="I22:I23"/>
    <mergeCell ref="J18:J19"/>
    <mergeCell ref="J20:J21"/>
    <mergeCell ref="J22:J23"/>
    <mergeCell ref="A24:C26"/>
    <mergeCell ref="A16:B17"/>
    <mergeCell ref="A18:B19"/>
    <mergeCell ref="A20:B21"/>
    <mergeCell ref="A22:B23"/>
    <mergeCell ref="A4:C6"/>
  </mergeCells>
  <printOptions horizontalCentered="1"/>
  <pageMargins left="0.196850393700787" right="0.118110236220472" top="0.748031496062992" bottom="0.748031496062992" header="0.31496062992126" footer="0.31496062992126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00B050"/>
  </sheetPr>
  <dimension ref="A1:O74"/>
  <sheetViews>
    <sheetView zoomScale="70" zoomScaleNormal="70" topLeftCell="A4" workbookViewId="0">
      <pane ySplit="1290" topLeftCell="A31" activePane="bottomLeft"/>
      <selection/>
      <selection pane="bottomLeft" activeCell="D36" sqref="D36"/>
    </sheetView>
  </sheetViews>
  <sheetFormatPr defaultColWidth="9.14285714285714" defaultRowHeight="21"/>
  <cols>
    <col min="1" max="1" width="6.85714285714286" style="866" customWidth="1"/>
    <col min="2" max="2" width="19.5714285714286" style="867" customWidth="1"/>
    <col min="3" max="3" width="6.42857142857143" style="868" customWidth="1"/>
    <col min="4" max="4" width="58.8571428571429" style="869" customWidth="1"/>
    <col min="5" max="5" width="18.8571428571429" style="806" customWidth="1"/>
    <col min="6" max="6" width="22.1428571428571" style="806" hidden="1" customWidth="1"/>
    <col min="7" max="7" width="17.5714285714286" style="839" customWidth="1"/>
    <col min="8" max="8" width="17.2857142857143" style="806" customWidth="1"/>
    <col min="9" max="9" width="16.8571428571429" style="806" customWidth="1"/>
    <col min="10" max="10" width="17.8571428571429" style="806" customWidth="1"/>
    <col min="11" max="11" width="21.4285714285714" style="839" customWidth="1"/>
    <col min="12" max="12" width="11.5714285714286" style="839" customWidth="1"/>
    <col min="13" max="13" width="16" style="839" customWidth="1"/>
    <col min="14" max="14" width="22.4285714285714" style="839" hidden="1" customWidth="1"/>
    <col min="15" max="15" width="37.8571428571429" style="869" customWidth="1"/>
    <col min="16" max="92" width="9.14285714285714" style="806" customWidth="1"/>
    <col min="93" max="16384" width="9.14285714285714" style="806"/>
  </cols>
  <sheetData>
    <row r="1" ht="23.25" spans="1:15">
      <c r="A1" s="870" t="s">
        <v>0</v>
      </c>
      <c r="B1" s="870"/>
      <c r="C1" s="870"/>
      <c r="D1" s="870"/>
      <c r="E1" s="870"/>
      <c r="F1" s="870"/>
      <c r="G1" s="870"/>
      <c r="H1" s="870"/>
      <c r="I1" s="870"/>
      <c r="J1" s="870"/>
      <c r="K1" s="870"/>
      <c r="L1" s="870"/>
      <c r="M1" s="870"/>
      <c r="N1" s="870"/>
      <c r="O1" s="870"/>
    </row>
    <row r="2" ht="23.25" spans="1:15">
      <c r="A2" s="870" t="s">
        <v>351</v>
      </c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</row>
    <row r="3" ht="23.25" spans="1:15">
      <c r="A3" s="870" t="s">
        <v>352</v>
      </c>
      <c r="B3" s="870"/>
      <c r="C3" s="870"/>
      <c r="D3" s="870"/>
      <c r="E3" s="870"/>
      <c r="F3" s="870"/>
      <c r="G3" s="870"/>
      <c r="H3" s="870"/>
      <c r="I3" s="870"/>
      <c r="J3" s="870"/>
      <c r="K3" s="870"/>
      <c r="L3" s="870"/>
      <c r="M3" s="870"/>
      <c r="N3" s="870"/>
      <c r="O3" s="870"/>
    </row>
    <row r="4" ht="23.25" spans="1:15">
      <c r="A4" s="871" t="str">
        <f>+รายจ่ายจริง!A3:P3</f>
        <v>ตั้งแต่วันที่ 1  ตุลาคม 2564 ถึงวันที่ 30 เมษายน 2565</v>
      </c>
      <c r="B4" s="871"/>
      <c r="C4" s="871"/>
      <c r="D4" s="871"/>
      <c r="E4" s="871"/>
      <c r="F4" s="871"/>
      <c r="G4" s="871"/>
      <c r="H4" s="871"/>
      <c r="I4" s="871"/>
      <c r="J4" s="871"/>
      <c r="K4" s="871"/>
      <c r="L4" s="871"/>
      <c r="M4" s="871"/>
      <c r="N4" s="871"/>
      <c r="O4" s="871"/>
    </row>
    <row r="5" spans="1:15">
      <c r="A5" s="872" t="s">
        <v>155</v>
      </c>
      <c r="B5" s="873"/>
      <c r="C5" s="874" t="s">
        <v>105</v>
      </c>
      <c r="D5" s="875"/>
      <c r="E5" s="876" t="s">
        <v>225</v>
      </c>
      <c r="F5" s="877"/>
      <c r="G5" s="878"/>
      <c r="H5" s="879" t="s">
        <v>109</v>
      </c>
      <c r="I5" s="879" t="s">
        <v>26</v>
      </c>
      <c r="J5" s="879" t="s">
        <v>226</v>
      </c>
      <c r="K5" s="879" t="s">
        <v>162</v>
      </c>
      <c r="L5" s="918" t="s">
        <v>118</v>
      </c>
      <c r="M5" s="919" t="s">
        <v>118</v>
      </c>
      <c r="N5" s="920"/>
      <c r="O5" s="921" t="s">
        <v>165</v>
      </c>
    </row>
    <row r="6" spans="1:15">
      <c r="A6" s="880" t="s">
        <v>227</v>
      </c>
      <c r="B6" s="881" t="s">
        <v>159</v>
      </c>
      <c r="C6" s="882"/>
      <c r="D6" s="883"/>
      <c r="E6" s="822" t="s">
        <v>113</v>
      </c>
      <c r="F6" s="822" t="s">
        <v>228</v>
      </c>
      <c r="G6" s="822" t="s">
        <v>114</v>
      </c>
      <c r="H6" s="884" t="s">
        <v>229</v>
      </c>
      <c r="I6" s="884" t="s">
        <v>230</v>
      </c>
      <c r="J6" s="884" t="s">
        <v>231</v>
      </c>
      <c r="K6" s="884" t="s">
        <v>232</v>
      </c>
      <c r="L6" s="922" t="s">
        <v>233</v>
      </c>
      <c r="M6" s="923" t="s">
        <v>233</v>
      </c>
      <c r="N6" s="924"/>
      <c r="O6" s="925"/>
    </row>
    <row r="7" spans="1:15">
      <c r="A7" s="885"/>
      <c r="B7" s="886"/>
      <c r="C7" s="887"/>
      <c r="D7" s="888"/>
      <c r="E7" s="889" t="s">
        <v>234</v>
      </c>
      <c r="F7" s="889" t="s">
        <v>235</v>
      </c>
      <c r="G7" s="889" t="s">
        <v>235</v>
      </c>
      <c r="H7" s="889" t="s">
        <v>236</v>
      </c>
      <c r="I7" s="889" t="s">
        <v>237</v>
      </c>
      <c r="J7" s="889" t="s">
        <v>238</v>
      </c>
      <c r="K7" s="889" t="s">
        <v>239</v>
      </c>
      <c r="L7" s="926" t="s">
        <v>240</v>
      </c>
      <c r="M7" s="927" t="s">
        <v>241</v>
      </c>
      <c r="N7" s="928"/>
      <c r="O7" s="929"/>
    </row>
    <row r="8" s="859" customFormat="1" ht="82.5" customHeight="1" spans="1:15">
      <c r="A8" s="890">
        <v>1</v>
      </c>
      <c r="B8" s="891"/>
      <c r="C8" s="892" t="s">
        <v>353</v>
      </c>
      <c r="D8" s="892"/>
      <c r="E8" s="893">
        <f>5732400+13396300</f>
        <v>19128700</v>
      </c>
      <c r="F8" s="894">
        <v>0</v>
      </c>
      <c r="G8" s="893">
        <f>+รายจ่ายจริง!K80</f>
        <v>21704206.08</v>
      </c>
      <c r="H8" s="895">
        <f>+รายจ่ายจริง!K81</f>
        <v>273679</v>
      </c>
      <c r="I8" s="895">
        <f>+รายจ่ายจริง!K82</f>
        <v>17851462.08</v>
      </c>
      <c r="J8" s="895">
        <f>+E8-I8</f>
        <v>1277237.92</v>
      </c>
      <c r="K8" s="930">
        <f>+E8-H8-I8</f>
        <v>1003558.92</v>
      </c>
      <c r="L8" s="930">
        <f>+I8*100/E8</f>
        <v>93.3229235651142</v>
      </c>
      <c r="M8" s="930">
        <f>+N8*100/E8</f>
        <v>94.7536480785417</v>
      </c>
      <c r="N8" s="931">
        <f>+H8+I8</f>
        <v>18125141.08</v>
      </c>
      <c r="O8" s="932"/>
    </row>
    <row r="9" s="839" customFormat="1" ht="69" customHeight="1" spans="1:15">
      <c r="A9" s="896">
        <v>2</v>
      </c>
      <c r="B9" s="896"/>
      <c r="C9" s="896" t="s">
        <v>242</v>
      </c>
      <c r="D9" s="896"/>
      <c r="E9" s="897">
        <f>SUM(E10:E36)</f>
        <v>27161300</v>
      </c>
      <c r="F9" s="897">
        <f t="shared" ref="F9:K9" si="0">SUM(F10:F36)</f>
        <v>27161300</v>
      </c>
      <c r="G9" s="897">
        <f t="shared" si="0"/>
        <v>25354893.92</v>
      </c>
      <c r="H9" s="897">
        <f t="shared" si="0"/>
        <v>17042150</v>
      </c>
      <c r="I9" s="897">
        <f t="shared" si="0"/>
        <v>6490719.5</v>
      </c>
      <c r="J9" s="897">
        <f t="shared" si="0"/>
        <v>1822024.42</v>
      </c>
      <c r="K9" s="897">
        <f t="shared" si="0"/>
        <v>1822024.42</v>
      </c>
      <c r="L9" s="897">
        <f>+I9*100/G9</f>
        <v>25.5994740915879</v>
      </c>
      <c r="M9" s="933">
        <f>+N9*100/E9</f>
        <v>86.6411751278473</v>
      </c>
      <c r="N9" s="933">
        <f t="shared" ref="N9:N53" si="1">+H9+I9</f>
        <v>23532869.5</v>
      </c>
      <c r="O9" s="934"/>
    </row>
    <row r="10" s="860" customFormat="1" ht="37.5" customHeight="1" spans="1:15">
      <c r="A10" s="898"/>
      <c r="B10" s="826" t="s">
        <v>193</v>
      </c>
      <c r="C10" s="899">
        <v>2.1</v>
      </c>
      <c r="D10" s="900" t="s">
        <v>243</v>
      </c>
      <c r="E10" s="828">
        <v>252900</v>
      </c>
      <c r="F10" s="828">
        <v>252900</v>
      </c>
      <c r="G10" s="828">
        <v>233500</v>
      </c>
      <c r="H10" s="901">
        <v>0</v>
      </c>
      <c r="I10" s="901">
        <v>233500</v>
      </c>
      <c r="J10" s="935">
        <f>+G10-H10-I10</f>
        <v>0</v>
      </c>
      <c r="K10" s="933">
        <f>+G10-H10-I10</f>
        <v>0</v>
      </c>
      <c r="L10" s="897">
        <f>+I10*100/G10</f>
        <v>100</v>
      </c>
      <c r="M10" s="933">
        <f>+N10*100/G10</f>
        <v>100</v>
      </c>
      <c r="N10" s="933">
        <f t="shared" si="1"/>
        <v>233500</v>
      </c>
      <c r="O10" s="936" t="s">
        <v>244</v>
      </c>
    </row>
    <row r="11" s="860" customFormat="1" ht="37.5" customHeight="1" spans="1:15">
      <c r="A11" s="898"/>
      <c r="B11" s="826" t="s">
        <v>245</v>
      </c>
      <c r="C11" s="899">
        <v>2.2</v>
      </c>
      <c r="D11" s="900" t="s">
        <v>246</v>
      </c>
      <c r="E11" s="828">
        <v>5026400</v>
      </c>
      <c r="F11" s="828">
        <v>5026400</v>
      </c>
      <c r="G11" s="828">
        <v>4993100</v>
      </c>
      <c r="H11" s="901">
        <v>4993100</v>
      </c>
      <c r="I11" s="901">
        <v>0</v>
      </c>
      <c r="J11" s="935">
        <f t="shared" ref="J11:J36" si="2">+G11-H11-I11</f>
        <v>0</v>
      </c>
      <c r="K11" s="933">
        <f t="shared" ref="K11:K33" si="3">+G11-H11-I11</f>
        <v>0</v>
      </c>
      <c r="L11" s="897">
        <f t="shared" ref="L11:L33" si="4">+I11*100/G11</f>
        <v>0</v>
      </c>
      <c r="M11" s="933">
        <f t="shared" ref="M11:M33" si="5">+N11*100/G11</f>
        <v>100</v>
      </c>
      <c r="N11" s="933">
        <f t="shared" si="1"/>
        <v>4993100</v>
      </c>
      <c r="O11" s="936" t="s">
        <v>244</v>
      </c>
    </row>
    <row r="12" s="860" customFormat="1" ht="63" spans="1:15">
      <c r="A12" s="898"/>
      <c r="B12" s="826" t="s">
        <v>247</v>
      </c>
      <c r="C12" s="899">
        <v>2.3</v>
      </c>
      <c r="D12" s="900" t="s">
        <v>248</v>
      </c>
      <c r="E12" s="828">
        <v>4032000</v>
      </c>
      <c r="F12" s="828">
        <v>4032000</v>
      </c>
      <c r="G12" s="828">
        <v>0</v>
      </c>
      <c r="H12" s="901">
        <v>0</v>
      </c>
      <c r="I12" s="901">
        <v>0</v>
      </c>
      <c r="J12" s="935">
        <f t="shared" si="2"/>
        <v>0</v>
      </c>
      <c r="K12" s="933">
        <f t="shared" si="3"/>
        <v>0</v>
      </c>
      <c r="L12" s="897">
        <v>0</v>
      </c>
      <c r="M12" s="933">
        <v>0</v>
      </c>
      <c r="N12" s="933">
        <f t="shared" si="1"/>
        <v>0</v>
      </c>
      <c r="O12" s="937" t="s">
        <v>249</v>
      </c>
    </row>
    <row r="13" s="860" customFormat="1" ht="36.75" customHeight="1" spans="1:15">
      <c r="A13" s="898"/>
      <c r="B13" s="826" t="s">
        <v>250</v>
      </c>
      <c r="C13" s="899">
        <v>2.4</v>
      </c>
      <c r="D13" s="900" t="s">
        <v>251</v>
      </c>
      <c r="E13" s="828">
        <v>1948000</v>
      </c>
      <c r="F13" s="828">
        <v>1948000</v>
      </c>
      <c r="G13" s="828">
        <v>1635000</v>
      </c>
      <c r="H13" s="901">
        <v>1635000</v>
      </c>
      <c r="I13" s="901">
        <v>0</v>
      </c>
      <c r="J13" s="935">
        <f t="shared" si="2"/>
        <v>0</v>
      </c>
      <c r="K13" s="933">
        <f t="shared" si="3"/>
        <v>0</v>
      </c>
      <c r="L13" s="897">
        <f t="shared" si="4"/>
        <v>0</v>
      </c>
      <c r="M13" s="933">
        <f t="shared" si="5"/>
        <v>100</v>
      </c>
      <c r="N13" s="933">
        <f t="shared" si="1"/>
        <v>1635000</v>
      </c>
      <c r="O13" s="937"/>
    </row>
    <row r="14" s="860" customFormat="1" ht="33" customHeight="1" spans="1:15">
      <c r="A14" s="898"/>
      <c r="B14" s="826" t="s">
        <v>252</v>
      </c>
      <c r="C14" s="899">
        <v>2.5</v>
      </c>
      <c r="D14" s="900" t="s">
        <v>253</v>
      </c>
      <c r="E14" s="828">
        <v>2245000</v>
      </c>
      <c r="F14" s="828">
        <v>2245000</v>
      </c>
      <c r="G14" s="828">
        <v>1757000</v>
      </c>
      <c r="H14" s="901">
        <v>825790</v>
      </c>
      <c r="I14" s="901">
        <v>931210</v>
      </c>
      <c r="J14" s="935">
        <f t="shared" si="2"/>
        <v>0</v>
      </c>
      <c r="K14" s="933">
        <f t="shared" si="3"/>
        <v>0</v>
      </c>
      <c r="L14" s="897">
        <f t="shared" si="4"/>
        <v>53</v>
      </c>
      <c r="M14" s="933">
        <f t="shared" si="5"/>
        <v>100</v>
      </c>
      <c r="N14" s="933">
        <f t="shared" si="1"/>
        <v>1757000</v>
      </c>
      <c r="O14" s="936" t="s">
        <v>244</v>
      </c>
    </row>
    <row r="15" s="860" customFormat="1" ht="33" customHeight="1" spans="1:15">
      <c r="A15" s="898"/>
      <c r="B15" s="826" t="s">
        <v>254</v>
      </c>
      <c r="C15" s="899">
        <v>2.6</v>
      </c>
      <c r="D15" s="900" t="s">
        <v>255</v>
      </c>
      <c r="E15" s="828">
        <v>1397000</v>
      </c>
      <c r="F15" s="828">
        <v>1397000</v>
      </c>
      <c r="G15" s="828">
        <v>1385000</v>
      </c>
      <c r="H15" s="901">
        <v>0</v>
      </c>
      <c r="I15" s="901">
        <v>1385000</v>
      </c>
      <c r="J15" s="935">
        <f t="shared" si="2"/>
        <v>0</v>
      </c>
      <c r="K15" s="933">
        <f t="shared" si="3"/>
        <v>0</v>
      </c>
      <c r="L15" s="897">
        <f t="shared" si="4"/>
        <v>100</v>
      </c>
      <c r="M15" s="933">
        <f t="shared" si="5"/>
        <v>100</v>
      </c>
      <c r="N15" s="933">
        <f t="shared" si="1"/>
        <v>1385000</v>
      </c>
      <c r="O15" s="936" t="s">
        <v>244</v>
      </c>
    </row>
    <row r="16" s="860" customFormat="1" ht="33" customHeight="1" spans="1:15">
      <c r="A16" s="898"/>
      <c r="B16" s="826" t="s">
        <v>256</v>
      </c>
      <c r="C16" s="899">
        <v>2.7</v>
      </c>
      <c r="D16" s="900" t="s">
        <v>257</v>
      </c>
      <c r="E16" s="828">
        <v>210000</v>
      </c>
      <c r="F16" s="828">
        <v>210000</v>
      </c>
      <c r="G16" s="828">
        <v>210000</v>
      </c>
      <c r="H16" s="901">
        <v>0</v>
      </c>
      <c r="I16" s="901">
        <v>210000</v>
      </c>
      <c r="J16" s="935">
        <f t="shared" si="2"/>
        <v>0</v>
      </c>
      <c r="K16" s="933">
        <f t="shared" si="3"/>
        <v>0</v>
      </c>
      <c r="L16" s="897">
        <f t="shared" si="4"/>
        <v>100</v>
      </c>
      <c r="M16" s="933">
        <f t="shared" si="5"/>
        <v>100</v>
      </c>
      <c r="N16" s="933">
        <f t="shared" si="1"/>
        <v>210000</v>
      </c>
      <c r="O16" s="936" t="s">
        <v>244</v>
      </c>
    </row>
    <row r="17" s="860" customFormat="1" ht="33" customHeight="1" spans="1:15">
      <c r="A17" s="898"/>
      <c r="B17" s="826" t="s">
        <v>258</v>
      </c>
      <c r="C17" s="899">
        <v>2.8</v>
      </c>
      <c r="D17" s="900" t="s">
        <v>259</v>
      </c>
      <c r="E17" s="828">
        <v>441400</v>
      </c>
      <c r="F17" s="828">
        <v>441400</v>
      </c>
      <c r="G17" s="828">
        <v>441375</v>
      </c>
      <c r="H17" s="901">
        <v>0</v>
      </c>
      <c r="I17" s="901">
        <v>441375</v>
      </c>
      <c r="J17" s="935">
        <f t="shared" si="2"/>
        <v>0</v>
      </c>
      <c r="K17" s="933">
        <f t="shared" si="3"/>
        <v>0</v>
      </c>
      <c r="L17" s="897">
        <f t="shared" si="4"/>
        <v>100</v>
      </c>
      <c r="M17" s="933">
        <f t="shared" si="5"/>
        <v>100</v>
      </c>
      <c r="N17" s="933">
        <f t="shared" si="1"/>
        <v>441375</v>
      </c>
      <c r="O17" s="936" t="s">
        <v>244</v>
      </c>
    </row>
    <row r="18" s="860" customFormat="1" ht="105" spans="1:15">
      <c r="A18" s="898"/>
      <c r="B18" s="826" t="s">
        <v>260</v>
      </c>
      <c r="C18" s="899">
        <v>2.9</v>
      </c>
      <c r="D18" s="900" t="s">
        <v>261</v>
      </c>
      <c r="E18" s="828">
        <v>75600</v>
      </c>
      <c r="F18" s="828">
        <v>75600</v>
      </c>
      <c r="G18" s="828">
        <v>0</v>
      </c>
      <c r="H18" s="901">
        <v>0</v>
      </c>
      <c r="I18" s="901">
        <v>0</v>
      </c>
      <c r="J18" s="935">
        <f t="shared" si="2"/>
        <v>0</v>
      </c>
      <c r="K18" s="933">
        <f t="shared" si="3"/>
        <v>0</v>
      </c>
      <c r="L18" s="897"/>
      <c r="M18" s="933"/>
      <c r="N18" s="933">
        <f t="shared" si="1"/>
        <v>0</v>
      </c>
      <c r="O18" s="937" t="s">
        <v>262</v>
      </c>
    </row>
    <row r="19" s="860" customFormat="1" ht="42" spans="1:15">
      <c r="A19" s="898"/>
      <c r="B19" s="826" t="s">
        <v>263</v>
      </c>
      <c r="C19" s="902">
        <v>2.1</v>
      </c>
      <c r="D19" s="900" t="s">
        <v>264</v>
      </c>
      <c r="E19" s="828">
        <v>275100</v>
      </c>
      <c r="F19" s="828">
        <v>275100</v>
      </c>
      <c r="G19" s="828">
        <v>275100</v>
      </c>
      <c r="H19" s="901">
        <v>0</v>
      </c>
      <c r="I19" s="901">
        <v>0</v>
      </c>
      <c r="J19" s="935">
        <f t="shared" si="2"/>
        <v>275100</v>
      </c>
      <c r="K19" s="933">
        <f t="shared" si="3"/>
        <v>275100</v>
      </c>
      <c r="L19" s="897">
        <f t="shared" si="4"/>
        <v>0</v>
      </c>
      <c r="M19" s="933">
        <f t="shared" si="5"/>
        <v>0</v>
      </c>
      <c r="N19" s="933">
        <f t="shared" si="1"/>
        <v>0</v>
      </c>
      <c r="O19" s="936" t="s">
        <v>244</v>
      </c>
    </row>
    <row r="20" s="860" customFormat="1" ht="54.75" customHeight="1" spans="1:15">
      <c r="A20" s="898"/>
      <c r="B20" s="826" t="s">
        <v>265</v>
      </c>
      <c r="C20" s="902">
        <v>2.11</v>
      </c>
      <c r="D20" s="900" t="s">
        <v>266</v>
      </c>
      <c r="E20" s="828">
        <v>6047000</v>
      </c>
      <c r="F20" s="828">
        <v>6047000</v>
      </c>
      <c r="G20" s="828">
        <v>6040000</v>
      </c>
      <c r="H20" s="901">
        <v>5738000</v>
      </c>
      <c r="I20" s="901">
        <v>302000</v>
      </c>
      <c r="J20" s="935">
        <f t="shared" si="2"/>
        <v>0</v>
      </c>
      <c r="K20" s="933">
        <f t="shared" si="3"/>
        <v>0</v>
      </c>
      <c r="L20" s="897">
        <f t="shared" si="4"/>
        <v>5</v>
      </c>
      <c r="M20" s="933">
        <f t="shared" si="5"/>
        <v>100</v>
      </c>
      <c r="N20" s="933">
        <f t="shared" si="1"/>
        <v>6040000</v>
      </c>
      <c r="O20" s="936" t="s">
        <v>244</v>
      </c>
    </row>
    <row r="21" s="860" customFormat="1" ht="42" customHeight="1" spans="1:15">
      <c r="A21" s="898"/>
      <c r="B21" s="826" t="s">
        <v>267</v>
      </c>
      <c r="C21" s="902">
        <v>2.12</v>
      </c>
      <c r="D21" s="900" t="s">
        <v>268</v>
      </c>
      <c r="E21" s="828">
        <v>965000</v>
      </c>
      <c r="F21" s="828">
        <v>965000</v>
      </c>
      <c r="G21" s="828">
        <v>895573.69</v>
      </c>
      <c r="H21" s="901">
        <v>248360</v>
      </c>
      <c r="I21" s="901">
        <v>638640</v>
      </c>
      <c r="J21" s="935">
        <f t="shared" si="2"/>
        <v>8573.68999999994</v>
      </c>
      <c r="K21" s="933">
        <f t="shared" si="3"/>
        <v>8573.68999999994</v>
      </c>
      <c r="L21" s="897">
        <f t="shared" si="4"/>
        <v>71.3107148111955</v>
      </c>
      <c r="M21" s="933">
        <f t="shared" si="5"/>
        <v>99.0426594599937</v>
      </c>
      <c r="N21" s="933">
        <f t="shared" si="1"/>
        <v>887000</v>
      </c>
      <c r="O21" s="936" t="s">
        <v>244</v>
      </c>
    </row>
    <row r="22" s="860" customFormat="1" ht="42" customHeight="1" spans="1:15">
      <c r="A22" s="898"/>
      <c r="B22" s="826" t="s">
        <v>269</v>
      </c>
      <c r="C22" s="902">
        <v>2.13</v>
      </c>
      <c r="D22" s="900" t="s">
        <v>270</v>
      </c>
      <c r="E22" s="828">
        <v>466000</v>
      </c>
      <c r="F22" s="828">
        <v>466000</v>
      </c>
      <c r="G22" s="828">
        <v>466000</v>
      </c>
      <c r="H22" s="901">
        <v>0</v>
      </c>
      <c r="I22" s="901">
        <v>463171.58</v>
      </c>
      <c r="J22" s="935">
        <f t="shared" si="2"/>
        <v>2828.41999999998</v>
      </c>
      <c r="K22" s="933">
        <f t="shared" si="3"/>
        <v>2828.41999999998</v>
      </c>
      <c r="L22" s="897">
        <f t="shared" si="4"/>
        <v>99.3930429184549</v>
      </c>
      <c r="M22" s="933">
        <f t="shared" si="5"/>
        <v>99.3930429184549</v>
      </c>
      <c r="N22" s="933">
        <f t="shared" si="1"/>
        <v>463171.58</v>
      </c>
      <c r="O22" s="936" t="s">
        <v>244</v>
      </c>
    </row>
    <row r="23" s="860" customFormat="1" ht="63" spans="1:15">
      <c r="A23" s="898"/>
      <c r="B23" s="826" t="s">
        <v>271</v>
      </c>
      <c r="C23" s="902">
        <v>2.14</v>
      </c>
      <c r="D23" s="900" t="s">
        <v>272</v>
      </c>
      <c r="E23" s="828">
        <v>140000</v>
      </c>
      <c r="F23" s="828">
        <v>140000</v>
      </c>
      <c r="G23" s="828">
        <v>19100</v>
      </c>
      <c r="H23" s="901">
        <v>0</v>
      </c>
      <c r="I23" s="901">
        <v>0</v>
      </c>
      <c r="J23" s="935">
        <f t="shared" si="2"/>
        <v>19100</v>
      </c>
      <c r="K23" s="933">
        <f t="shared" si="3"/>
        <v>19100</v>
      </c>
      <c r="L23" s="897">
        <f t="shared" si="4"/>
        <v>0</v>
      </c>
      <c r="M23" s="933">
        <f t="shared" si="5"/>
        <v>0</v>
      </c>
      <c r="N23" s="933">
        <f t="shared" si="1"/>
        <v>0</v>
      </c>
      <c r="O23" s="937" t="s">
        <v>249</v>
      </c>
    </row>
    <row r="24" s="860" customFormat="1" ht="37.5" customHeight="1" spans="1:15">
      <c r="A24" s="898"/>
      <c r="B24" s="826" t="s">
        <v>273</v>
      </c>
      <c r="C24" s="902">
        <v>2.15</v>
      </c>
      <c r="D24" s="900" t="s">
        <v>274</v>
      </c>
      <c r="E24" s="828">
        <v>6900</v>
      </c>
      <c r="F24" s="828">
        <v>6900</v>
      </c>
      <c r="G24" s="828">
        <v>6900</v>
      </c>
      <c r="H24" s="901">
        <v>6900</v>
      </c>
      <c r="I24" s="901">
        <v>0</v>
      </c>
      <c r="J24" s="935">
        <f t="shared" si="2"/>
        <v>0</v>
      </c>
      <c r="K24" s="933">
        <f t="shared" si="3"/>
        <v>0</v>
      </c>
      <c r="L24" s="897">
        <f t="shared" si="4"/>
        <v>0</v>
      </c>
      <c r="M24" s="933">
        <f t="shared" si="5"/>
        <v>100</v>
      </c>
      <c r="N24" s="933">
        <f t="shared" si="1"/>
        <v>6900</v>
      </c>
      <c r="O24" s="936" t="s">
        <v>244</v>
      </c>
    </row>
    <row r="25" s="860" customFormat="1" ht="38.25" customHeight="1" spans="1:15">
      <c r="A25" s="898"/>
      <c r="B25" s="826" t="s">
        <v>275</v>
      </c>
      <c r="C25" s="902">
        <v>2.16</v>
      </c>
      <c r="D25" s="903" t="s">
        <v>276</v>
      </c>
      <c r="E25" s="828"/>
      <c r="F25" s="828"/>
      <c r="G25" s="828">
        <v>105500</v>
      </c>
      <c r="H25" s="901">
        <v>0</v>
      </c>
      <c r="I25" s="901">
        <v>105000</v>
      </c>
      <c r="J25" s="935">
        <f t="shared" si="2"/>
        <v>500</v>
      </c>
      <c r="K25" s="933">
        <f t="shared" si="3"/>
        <v>500</v>
      </c>
      <c r="L25" s="897">
        <f t="shared" si="4"/>
        <v>99.5260663507109</v>
      </c>
      <c r="M25" s="933">
        <f t="shared" si="5"/>
        <v>99.5260663507109</v>
      </c>
      <c r="N25" s="933">
        <f t="shared" si="1"/>
        <v>105000</v>
      </c>
      <c r="O25" s="936"/>
    </row>
    <row r="26" s="860" customFormat="1" ht="38.25" customHeight="1" spans="1:15">
      <c r="A26" s="898"/>
      <c r="B26" s="826" t="s">
        <v>277</v>
      </c>
      <c r="C26" s="902">
        <v>2.17</v>
      </c>
      <c r="D26" s="904" t="s">
        <v>278</v>
      </c>
      <c r="E26" s="828"/>
      <c r="F26" s="828"/>
      <c r="G26" s="828">
        <v>15400</v>
      </c>
      <c r="H26" s="901">
        <v>0</v>
      </c>
      <c r="I26" s="901">
        <v>15130</v>
      </c>
      <c r="J26" s="935">
        <f t="shared" si="2"/>
        <v>270</v>
      </c>
      <c r="K26" s="933">
        <f t="shared" si="3"/>
        <v>270</v>
      </c>
      <c r="L26" s="897">
        <f t="shared" si="4"/>
        <v>98.2467532467532</v>
      </c>
      <c r="M26" s="933">
        <f t="shared" si="5"/>
        <v>98.2467532467532</v>
      </c>
      <c r="N26" s="933">
        <f t="shared" si="1"/>
        <v>15130</v>
      </c>
      <c r="O26" s="936"/>
    </row>
    <row r="27" s="860" customFormat="1" ht="42" spans="1:15">
      <c r="A27" s="898"/>
      <c r="B27" s="826" t="s">
        <v>279</v>
      </c>
      <c r="C27" s="902">
        <v>2.18</v>
      </c>
      <c r="D27" s="905" t="s">
        <v>280</v>
      </c>
      <c r="E27" s="828"/>
      <c r="F27" s="828"/>
      <c r="G27" s="828">
        <v>4032000</v>
      </c>
      <c r="H27" s="901">
        <v>3595000</v>
      </c>
      <c r="I27" s="901">
        <v>0</v>
      </c>
      <c r="J27" s="935">
        <f t="shared" si="2"/>
        <v>437000</v>
      </c>
      <c r="K27" s="933">
        <f t="shared" si="3"/>
        <v>437000</v>
      </c>
      <c r="L27" s="897">
        <f t="shared" si="4"/>
        <v>0</v>
      </c>
      <c r="M27" s="933">
        <f t="shared" si="5"/>
        <v>89.1617063492064</v>
      </c>
      <c r="N27" s="933">
        <f t="shared" si="1"/>
        <v>3595000</v>
      </c>
      <c r="O27" s="937"/>
    </row>
    <row r="28" s="860" customFormat="1" ht="42" spans="1:15">
      <c r="A28" s="898"/>
      <c r="B28" s="826" t="s">
        <v>281</v>
      </c>
      <c r="C28" s="902">
        <v>2.19</v>
      </c>
      <c r="D28" s="904" t="s">
        <v>282</v>
      </c>
      <c r="E28" s="828"/>
      <c r="F28" s="828"/>
      <c r="G28" s="828">
        <v>19245</v>
      </c>
      <c r="H28" s="901"/>
      <c r="I28" s="901">
        <v>19245</v>
      </c>
      <c r="J28" s="935">
        <f t="shared" si="2"/>
        <v>0</v>
      </c>
      <c r="K28" s="933"/>
      <c r="L28" s="897">
        <f t="shared" si="4"/>
        <v>100</v>
      </c>
      <c r="M28" s="933">
        <f t="shared" si="5"/>
        <v>100</v>
      </c>
      <c r="N28" s="933">
        <f t="shared" si="1"/>
        <v>19245</v>
      </c>
      <c r="O28" s="937"/>
    </row>
    <row r="29" s="860" customFormat="1" ht="60" customHeight="1" spans="1:15">
      <c r="A29" s="898"/>
      <c r="B29" s="826" t="s">
        <v>185</v>
      </c>
      <c r="C29" s="902">
        <v>2.2</v>
      </c>
      <c r="D29" s="900" t="s">
        <v>283</v>
      </c>
      <c r="E29" s="828">
        <v>460000</v>
      </c>
      <c r="F29" s="828">
        <v>460000</v>
      </c>
      <c r="G29" s="828">
        <v>459000</v>
      </c>
      <c r="H29" s="901">
        <v>0</v>
      </c>
      <c r="I29" s="901">
        <v>459000</v>
      </c>
      <c r="J29" s="935">
        <f t="shared" si="2"/>
        <v>0</v>
      </c>
      <c r="K29" s="933">
        <f t="shared" si="3"/>
        <v>0</v>
      </c>
      <c r="L29" s="897">
        <f t="shared" si="4"/>
        <v>100</v>
      </c>
      <c r="M29" s="933">
        <f t="shared" si="5"/>
        <v>100</v>
      </c>
      <c r="N29" s="933">
        <f t="shared" si="1"/>
        <v>459000</v>
      </c>
      <c r="O29" s="936" t="s">
        <v>244</v>
      </c>
    </row>
    <row r="30" s="860" customFormat="1" ht="60" customHeight="1" spans="1:15">
      <c r="A30" s="898"/>
      <c r="B30" s="826" t="s">
        <v>284</v>
      </c>
      <c r="C30" s="902">
        <v>2.21</v>
      </c>
      <c r="D30" s="900" t="s">
        <v>285</v>
      </c>
      <c r="E30" s="828">
        <v>1241100</v>
      </c>
      <c r="F30" s="828">
        <v>1241100</v>
      </c>
      <c r="G30" s="828">
        <v>790000</v>
      </c>
      <c r="H30" s="901">
        <v>0</v>
      </c>
      <c r="I30" s="901">
        <v>790000</v>
      </c>
      <c r="J30" s="935">
        <f t="shared" si="2"/>
        <v>0</v>
      </c>
      <c r="K30" s="933">
        <f t="shared" si="3"/>
        <v>0</v>
      </c>
      <c r="L30" s="897">
        <f t="shared" si="4"/>
        <v>100</v>
      </c>
      <c r="M30" s="933">
        <f t="shared" si="5"/>
        <v>100</v>
      </c>
      <c r="N30" s="933">
        <f t="shared" si="1"/>
        <v>790000</v>
      </c>
      <c r="O30" s="936" t="s">
        <v>244</v>
      </c>
    </row>
    <row r="31" s="860" customFormat="1" ht="63" spans="1:15">
      <c r="A31" s="898"/>
      <c r="B31" s="826" t="s">
        <v>286</v>
      </c>
      <c r="C31" s="902">
        <v>2.22</v>
      </c>
      <c r="D31" s="900" t="s">
        <v>287</v>
      </c>
      <c r="E31" s="828">
        <v>1931900</v>
      </c>
      <c r="F31" s="828">
        <v>1931900</v>
      </c>
      <c r="G31" s="828">
        <v>71610.31</v>
      </c>
      <c r="H31" s="901">
        <v>0</v>
      </c>
      <c r="I31" s="901">
        <v>0</v>
      </c>
      <c r="J31" s="935">
        <f t="shared" si="2"/>
        <v>71610.31</v>
      </c>
      <c r="K31" s="933">
        <f t="shared" si="3"/>
        <v>71610.31</v>
      </c>
      <c r="L31" s="897">
        <f t="shared" si="4"/>
        <v>0</v>
      </c>
      <c r="M31" s="933">
        <f t="shared" si="5"/>
        <v>0</v>
      </c>
      <c r="N31" s="933">
        <f t="shared" si="1"/>
        <v>0</v>
      </c>
      <c r="O31" s="937" t="s">
        <v>288</v>
      </c>
    </row>
    <row r="32" s="860" customFormat="1" ht="42" spans="1:15">
      <c r="A32" s="898"/>
      <c r="B32" s="825" t="s">
        <v>289</v>
      </c>
      <c r="C32" s="902">
        <v>2.23</v>
      </c>
      <c r="D32" s="906" t="s">
        <v>290</v>
      </c>
      <c r="E32" s="828">
        <v>0</v>
      </c>
      <c r="F32" s="828"/>
      <c r="G32" s="828">
        <v>39000</v>
      </c>
      <c r="H32" s="901">
        <v>0</v>
      </c>
      <c r="I32" s="901">
        <v>39000</v>
      </c>
      <c r="J32" s="935">
        <f t="shared" si="2"/>
        <v>0</v>
      </c>
      <c r="K32" s="933">
        <f t="shared" si="3"/>
        <v>0</v>
      </c>
      <c r="L32" s="897">
        <f t="shared" si="4"/>
        <v>100</v>
      </c>
      <c r="M32" s="933">
        <f t="shared" si="5"/>
        <v>100</v>
      </c>
      <c r="N32" s="933">
        <f t="shared" si="1"/>
        <v>39000</v>
      </c>
      <c r="O32" s="936" t="s">
        <v>291</v>
      </c>
    </row>
    <row r="33" s="860" customFormat="1" ht="42" spans="1:15">
      <c r="A33" s="898"/>
      <c r="B33" s="825" t="s">
        <v>292</v>
      </c>
      <c r="C33" s="902">
        <v>2.24</v>
      </c>
      <c r="D33" s="906" t="s">
        <v>293</v>
      </c>
      <c r="E33" s="828">
        <v>0</v>
      </c>
      <c r="F33" s="828"/>
      <c r="G33" s="828">
        <v>458447.92</v>
      </c>
      <c r="H33" s="901">
        <v>0</v>
      </c>
      <c r="I33" s="901">
        <v>458447.92</v>
      </c>
      <c r="J33" s="935">
        <f t="shared" si="2"/>
        <v>0</v>
      </c>
      <c r="K33" s="933">
        <f t="shared" si="3"/>
        <v>0</v>
      </c>
      <c r="L33" s="897">
        <f t="shared" si="4"/>
        <v>100</v>
      </c>
      <c r="M33" s="933">
        <f t="shared" si="5"/>
        <v>100</v>
      </c>
      <c r="N33" s="933">
        <f t="shared" si="1"/>
        <v>458447.92</v>
      </c>
      <c r="O33" s="936" t="s">
        <v>291</v>
      </c>
    </row>
    <row r="34" s="860" customFormat="1" ht="42" spans="1:15">
      <c r="A34" s="898"/>
      <c r="B34" s="825" t="s">
        <v>294</v>
      </c>
      <c r="C34" s="902">
        <v>2.25</v>
      </c>
      <c r="D34" s="904" t="s">
        <v>295</v>
      </c>
      <c r="E34" s="828"/>
      <c r="F34" s="828"/>
      <c r="G34" s="907">
        <v>382542</v>
      </c>
      <c r="H34" s="901"/>
      <c r="I34" s="901"/>
      <c r="J34" s="935">
        <f t="shared" si="2"/>
        <v>382542</v>
      </c>
      <c r="K34" s="933">
        <f t="shared" ref="K34:K36" si="6">+G34-H34-I34</f>
        <v>382542</v>
      </c>
      <c r="L34" s="897">
        <f t="shared" ref="L34:L36" si="7">+I34*100/G34</f>
        <v>0</v>
      </c>
      <c r="M34" s="933">
        <f t="shared" ref="M34:M36" si="8">+N34*100/G34</f>
        <v>0</v>
      </c>
      <c r="N34" s="933">
        <f t="shared" ref="N34:N36" si="9">+H34+I34</f>
        <v>0</v>
      </c>
      <c r="O34" s="936"/>
    </row>
    <row r="35" s="860" customFormat="1" ht="32.25" customHeight="1" spans="1:15">
      <c r="A35" s="898"/>
      <c r="B35" s="825" t="s">
        <v>296</v>
      </c>
      <c r="C35" s="902">
        <v>2.26</v>
      </c>
      <c r="D35" s="904" t="s">
        <v>297</v>
      </c>
      <c r="E35" s="828"/>
      <c r="F35" s="828"/>
      <c r="G35" s="907">
        <v>380000</v>
      </c>
      <c r="H35" s="901"/>
      <c r="I35" s="901"/>
      <c r="J35" s="935">
        <f t="shared" si="2"/>
        <v>380000</v>
      </c>
      <c r="K35" s="933">
        <f t="shared" si="6"/>
        <v>380000</v>
      </c>
      <c r="L35" s="897">
        <f t="shared" si="7"/>
        <v>0</v>
      </c>
      <c r="M35" s="933">
        <f t="shared" si="8"/>
        <v>0</v>
      </c>
      <c r="N35" s="933">
        <f t="shared" si="9"/>
        <v>0</v>
      </c>
      <c r="O35" s="936"/>
    </row>
    <row r="36" s="860" customFormat="1" ht="32.25" customHeight="1" spans="1:15">
      <c r="A36" s="898"/>
      <c r="B36" s="825" t="s">
        <v>298</v>
      </c>
      <c r="C36" s="902">
        <v>2.27</v>
      </c>
      <c r="D36" s="904" t="s">
        <v>299</v>
      </c>
      <c r="E36" s="828"/>
      <c r="F36" s="828"/>
      <c r="G36" s="907">
        <v>244500</v>
      </c>
      <c r="H36" s="901"/>
      <c r="I36" s="901"/>
      <c r="J36" s="935">
        <f t="shared" si="2"/>
        <v>244500</v>
      </c>
      <c r="K36" s="933">
        <f t="shared" si="6"/>
        <v>244500</v>
      </c>
      <c r="L36" s="897">
        <f t="shared" si="7"/>
        <v>0</v>
      </c>
      <c r="M36" s="933">
        <f t="shared" si="8"/>
        <v>0</v>
      </c>
      <c r="N36" s="933">
        <f t="shared" si="9"/>
        <v>0</v>
      </c>
      <c r="O36" s="936"/>
    </row>
    <row r="37" s="861" customFormat="1" ht="42" customHeight="1" spans="1:15">
      <c r="A37" s="908">
        <v>3</v>
      </c>
      <c r="B37" s="909"/>
      <c r="C37" s="908" t="s">
        <v>300</v>
      </c>
      <c r="D37" s="908"/>
      <c r="E37" s="700">
        <f>SUM(E38:E44)</f>
        <v>72004300</v>
      </c>
      <c r="F37" s="700">
        <f t="shared" ref="F37:K37" si="10">SUM(F38:F44)</f>
        <v>-32420200</v>
      </c>
      <c r="G37" s="700">
        <f t="shared" si="10"/>
        <v>39584100</v>
      </c>
      <c r="H37" s="700">
        <f t="shared" si="10"/>
        <v>39584100</v>
      </c>
      <c r="I37" s="700">
        <f t="shared" si="10"/>
        <v>0</v>
      </c>
      <c r="J37" s="700">
        <f t="shared" si="10"/>
        <v>72004300</v>
      </c>
      <c r="K37" s="700">
        <f t="shared" si="10"/>
        <v>32420200</v>
      </c>
      <c r="L37" s="938">
        <f t="shared" ref="L37" si="11">+I37*100/E37</f>
        <v>0</v>
      </c>
      <c r="M37" s="938">
        <f t="shared" ref="M37" si="12">+N37*100/E37</f>
        <v>54.9746334593906</v>
      </c>
      <c r="N37" s="933">
        <f t="shared" si="1"/>
        <v>39584100</v>
      </c>
      <c r="O37" s="939"/>
    </row>
    <row r="38" s="860" customFormat="1" ht="130.5" customHeight="1" spans="1:15">
      <c r="A38" s="898"/>
      <c r="B38" s="826" t="s">
        <v>171</v>
      </c>
      <c r="C38" s="910" t="s">
        <v>354</v>
      </c>
      <c r="D38" s="900" t="s">
        <v>301</v>
      </c>
      <c r="E38" s="893">
        <v>1806700</v>
      </c>
      <c r="F38" s="893">
        <f>+G38-E38</f>
        <v>-1806700</v>
      </c>
      <c r="G38" s="911">
        <v>0</v>
      </c>
      <c r="H38" s="894">
        <v>0</v>
      </c>
      <c r="I38" s="894">
        <v>0</v>
      </c>
      <c r="J38" s="895">
        <f>+E38-I38</f>
        <v>1806700</v>
      </c>
      <c r="K38" s="930">
        <f>+E38-H38-I38</f>
        <v>1806700</v>
      </c>
      <c r="L38" s="933">
        <f t="shared" ref="L38:L46" si="13">+I38*100/E38</f>
        <v>0</v>
      </c>
      <c r="M38" s="933">
        <f t="shared" ref="M38:M46" si="14">+N38*100/E38</f>
        <v>0</v>
      </c>
      <c r="N38" s="933">
        <f t="shared" si="1"/>
        <v>0</v>
      </c>
      <c r="O38" s="940" t="s">
        <v>302</v>
      </c>
    </row>
    <row r="39" s="860" customFormat="1" ht="42" spans="1:15">
      <c r="A39" s="898"/>
      <c r="B39" s="826" t="s">
        <v>168</v>
      </c>
      <c r="C39" s="910" t="s">
        <v>355</v>
      </c>
      <c r="D39" s="900" t="s">
        <v>303</v>
      </c>
      <c r="E39" s="893">
        <v>7383400</v>
      </c>
      <c r="F39" s="893">
        <f t="shared" ref="F39:F44" si="15">+G39-E39</f>
        <v>-3200000</v>
      </c>
      <c r="G39" s="895">
        <v>4183400</v>
      </c>
      <c r="H39" s="894">
        <v>4183400</v>
      </c>
      <c r="I39" s="894">
        <v>0</v>
      </c>
      <c r="J39" s="895">
        <f t="shared" ref="J39:J46" si="16">+E39-I39</f>
        <v>7383400</v>
      </c>
      <c r="K39" s="930">
        <f t="shared" ref="K39:K46" si="17">+E39-H39-I39</f>
        <v>3200000</v>
      </c>
      <c r="L39" s="933">
        <f t="shared" ref="L39:L44" si="18">+I39*100/E39</f>
        <v>0</v>
      </c>
      <c r="M39" s="933">
        <f t="shared" ref="M39:M44" si="19">+N39*100/E39</f>
        <v>56.6595335482298</v>
      </c>
      <c r="N39" s="933">
        <f t="shared" si="1"/>
        <v>4183400</v>
      </c>
      <c r="O39" s="941"/>
    </row>
    <row r="40" s="860" customFormat="1" ht="42" spans="1:15">
      <c r="A40" s="898"/>
      <c r="B40" s="826" t="s">
        <v>304</v>
      </c>
      <c r="C40" s="910" t="s">
        <v>356</v>
      </c>
      <c r="D40" s="900" t="s">
        <v>305</v>
      </c>
      <c r="E40" s="893">
        <v>8723000</v>
      </c>
      <c r="F40" s="893">
        <f t="shared" si="15"/>
        <v>-3270000</v>
      </c>
      <c r="G40" s="895">
        <v>5453000</v>
      </c>
      <c r="H40" s="894">
        <v>5453000</v>
      </c>
      <c r="I40" s="894">
        <v>0</v>
      </c>
      <c r="J40" s="895">
        <f t="shared" si="16"/>
        <v>8723000</v>
      </c>
      <c r="K40" s="930">
        <f t="shared" si="17"/>
        <v>3270000</v>
      </c>
      <c r="L40" s="933">
        <f t="shared" si="18"/>
        <v>0</v>
      </c>
      <c r="M40" s="933">
        <f t="shared" si="19"/>
        <v>62.5128969391264</v>
      </c>
      <c r="N40" s="933">
        <f t="shared" si="1"/>
        <v>5453000</v>
      </c>
      <c r="O40" s="942"/>
    </row>
    <row r="41" s="860" customFormat="1" ht="42" spans="1:15">
      <c r="A41" s="898"/>
      <c r="B41" s="826" t="s">
        <v>306</v>
      </c>
      <c r="C41" s="910" t="s">
        <v>357</v>
      </c>
      <c r="D41" s="900" t="s">
        <v>307</v>
      </c>
      <c r="E41" s="893">
        <v>5981700</v>
      </c>
      <c r="F41" s="893">
        <f t="shared" si="15"/>
        <v>0</v>
      </c>
      <c r="G41" s="895">
        <v>5981700</v>
      </c>
      <c r="H41" s="894">
        <v>5981700</v>
      </c>
      <c r="I41" s="894">
        <v>0</v>
      </c>
      <c r="J41" s="895">
        <f t="shared" si="16"/>
        <v>5981700</v>
      </c>
      <c r="K41" s="930">
        <f t="shared" si="17"/>
        <v>0</v>
      </c>
      <c r="L41" s="933">
        <f t="shared" si="18"/>
        <v>0</v>
      </c>
      <c r="M41" s="933">
        <f t="shared" si="19"/>
        <v>100</v>
      </c>
      <c r="N41" s="933">
        <f t="shared" si="1"/>
        <v>5981700</v>
      </c>
      <c r="O41" s="937" t="s">
        <v>308</v>
      </c>
    </row>
    <row r="42" s="860" customFormat="1" ht="44.25" customHeight="1" spans="1:15">
      <c r="A42" s="898"/>
      <c r="B42" s="826" t="s">
        <v>189</v>
      </c>
      <c r="C42" s="910" t="s">
        <v>358</v>
      </c>
      <c r="D42" s="900" t="s">
        <v>310</v>
      </c>
      <c r="E42" s="893">
        <v>32954300</v>
      </c>
      <c r="F42" s="893">
        <f t="shared" si="15"/>
        <v>-18704300</v>
      </c>
      <c r="G42" s="895">
        <v>14250000</v>
      </c>
      <c r="H42" s="894">
        <v>14250000</v>
      </c>
      <c r="I42" s="894">
        <v>0</v>
      </c>
      <c r="J42" s="895">
        <f t="shared" si="16"/>
        <v>32954300</v>
      </c>
      <c r="K42" s="930">
        <f t="shared" si="17"/>
        <v>18704300</v>
      </c>
      <c r="L42" s="933">
        <f t="shared" si="18"/>
        <v>0</v>
      </c>
      <c r="M42" s="933">
        <f t="shared" si="19"/>
        <v>43.2417013864655</v>
      </c>
      <c r="N42" s="933">
        <f t="shared" si="1"/>
        <v>14250000</v>
      </c>
      <c r="O42" s="941"/>
    </row>
    <row r="43" s="860" customFormat="1" ht="42" spans="1:15">
      <c r="A43" s="898"/>
      <c r="B43" s="826" t="s">
        <v>177</v>
      </c>
      <c r="C43" s="910" t="s">
        <v>359</v>
      </c>
      <c r="D43" s="900" t="s">
        <v>312</v>
      </c>
      <c r="E43" s="893">
        <v>5439200</v>
      </c>
      <c r="F43" s="893">
        <f t="shared" si="15"/>
        <v>-5439200</v>
      </c>
      <c r="G43" s="911">
        <v>0</v>
      </c>
      <c r="H43" s="894">
        <v>0</v>
      </c>
      <c r="I43" s="894">
        <v>0</v>
      </c>
      <c r="J43" s="895">
        <f t="shared" si="16"/>
        <v>5439200</v>
      </c>
      <c r="K43" s="930">
        <f t="shared" si="17"/>
        <v>5439200</v>
      </c>
      <c r="L43" s="933">
        <f t="shared" si="18"/>
        <v>0</v>
      </c>
      <c r="M43" s="933">
        <f t="shared" si="19"/>
        <v>0</v>
      </c>
      <c r="N43" s="933">
        <f t="shared" si="1"/>
        <v>0</v>
      </c>
      <c r="O43" s="940" t="s">
        <v>313</v>
      </c>
    </row>
    <row r="44" s="860" customFormat="1" ht="56.25" customHeight="1" spans="1:15">
      <c r="A44" s="898"/>
      <c r="B44" s="826" t="s">
        <v>314</v>
      </c>
      <c r="C44" s="910" t="s">
        <v>360</v>
      </c>
      <c r="D44" s="900" t="s">
        <v>316</v>
      </c>
      <c r="E44" s="893">
        <v>9716000</v>
      </c>
      <c r="F44" s="893">
        <f t="shared" si="15"/>
        <v>0</v>
      </c>
      <c r="G44" s="895">
        <v>9716000</v>
      </c>
      <c r="H44" s="894">
        <v>9716000</v>
      </c>
      <c r="I44" s="894">
        <v>0</v>
      </c>
      <c r="J44" s="895">
        <f t="shared" si="16"/>
        <v>9716000</v>
      </c>
      <c r="K44" s="930">
        <f t="shared" si="17"/>
        <v>0</v>
      </c>
      <c r="L44" s="933">
        <f t="shared" si="18"/>
        <v>0</v>
      </c>
      <c r="M44" s="933">
        <f t="shared" si="19"/>
        <v>100</v>
      </c>
      <c r="N44" s="933">
        <f t="shared" si="1"/>
        <v>9716000</v>
      </c>
      <c r="O44" s="937" t="s">
        <v>317</v>
      </c>
    </row>
    <row r="45" s="862" customFormat="1" ht="36.75" customHeight="1" spans="1:15">
      <c r="A45" s="912" t="s">
        <v>318</v>
      </c>
      <c r="B45" s="912"/>
      <c r="C45" s="912"/>
      <c r="D45" s="912"/>
      <c r="E45" s="912">
        <f>+E9+E37</f>
        <v>99165600</v>
      </c>
      <c r="F45" s="912">
        <f t="shared" ref="F45:I45" si="20">+F9+F37</f>
        <v>-5258900</v>
      </c>
      <c r="G45" s="912">
        <f t="shared" si="20"/>
        <v>64938993.92</v>
      </c>
      <c r="H45" s="912">
        <f t="shared" si="20"/>
        <v>56626250</v>
      </c>
      <c r="I45" s="912">
        <f t="shared" si="20"/>
        <v>6490719.5</v>
      </c>
      <c r="J45" s="912">
        <f t="shared" si="16"/>
        <v>92674880.5</v>
      </c>
      <c r="K45" s="912">
        <f t="shared" si="17"/>
        <v>36048630.5</v>
      </c>
      <c r="L45" s="943">
        <f t="shared" si="13"/>
        <v>6.54533376493461</v>
      </c>
      <c r="M45" s="943">
        <f t="shared" si="14"/>
        <v>63.6480488193486</v>
      </c>
      <c r="N45" s="933">
        <f t="shared" si="1"/>
        <v>63116969.5</v>
      </c>
      <c r="O45" s="943"/>
    </row>
    <row r="46" s="863" customFormat="1" ht="36.75" customHeight="1" spans="1:15">
      <c r="A46" s="913" t="s">
        <v>361</v>
      </c>
      <c r="B46" s="913"/>
      <c r="C46" s="913"/>
      <c r="D46" s="913"/>
      <c r="E46" s="913">
        <f>+E45+E8</f>
        <v>118294300</v>
      </c>
      <c r="F46" s="913">
        <f t="shared" ref="F46:I46" si="21">+F45+F8</f>
        <v>-5258900</v>
      </c>
      <c r="G46" s="913">
        <f t="shared" si="21"/>
        <v>86643200</v>
      </c>
      <c r="H46" s="913">
        <f t="shared" si="21"/>
        <v>56899929</v>
      </c>
      <c r="I46" s="913">
        <f t="shared" si="21"/>
        <v>24342181.58</v>
      </c>
      <c r="J46" s="913">
        <f t="shared" si="16"/>
        <v>93952118.42</v>
      </c>
      <c r="K46" s="913">
        <f t="shared" si="17"/>
        <v>37052189.42</v>
      </c>
      <c r="L46" s="944">
        <f t="shared" si="13"/>
        <v>20.5776453979608</v>
      </c>
      <c r="M46" s="944">
        <f t="shared" si="14"/>
        <v>68.6779587689348</v>
      </c>
      <c r="N46" s="933">
        <f t="shared" si="1"/>
        <v>81242110.58</v>
      </c>
      <c r="O46" s="944"/>
    </row>
    <row r="47" s="864" customFormat="1" spans="1:15">
      <c r="A47" s="914" t="s">
        <v>362</v>
      </c>
      <c r="B47" s="915"/>
      <c r="C47" s="915"/>
      <c r="D47" s="916"/>
      <c r="E47" s="917">
        <f>+E8+E10+E13+E15+E16+E17+E18+E19+E21+E22+E23+E24+E29+E30+E31+E32+E33+E38+E25+E26+E28+E34+E35+E36+0</f>
        <v>30746300</v>
      </c>
      <c r="F47" s="917">
        <f t="shared" ref="F47:K47" si="22">+F8+F10+F13+F15+F16+F17+F18+F19+F21+F22+F23+F24+F29+F30+F31+F32+F33+F38+F25+F26+F28+F34+F35+F36+0</f>
        <v>8004200</v>
      </c>
      <c r="G47" s="917">
        <f t="shared" si="22"/>
        <v>30237000</v>
      </c>
      <c r="H47" s="917">
        <f t="shared" si="22"/>
        <v>2163939</v>
      </c>
      <c r="I47" s="917">
        <f t="shared" si="22"/>
        <v>23108971.58</v>
      </c>
      <c r="J47" s="917">
        <f t="shared" si="22"/>
        <v>4468962.34</v>
      </c>
      <c r="K47" s="917">
        <f t="shared" si="22"/>
        <v>4195283.34</v>
      </c>
      <c r="L47" s="897">
        <f>+I47*100/G47</f>
        <v>76.4261387703807</v>
      </c>
      <c r="M47" s="897">
        <f t="shared" ref="M47:M49" si="23">+J47*100/H47</f>
        <v>206.519792840741</v>
      </c>
      <c r="N47" s="933">
        <f t="shared" si="1"/>
        <v>25272910.58</v>
      </c>
      <c r="O47" s="945"/>
    </row>
    <row r="48" s="864" customFormat="1" spans="1:15">
      <c r="A48" s="914" t="s">
        <v>363</v>
      </c>
      <c r="B48" s="915"/>
      <c r="C48" s="915"/>
      <c r="D48" s="915"/>
      <c r="E48" s="915"/>
      <c r="F48" s="915"/>
      <c r="G48" s="915"/>
      <c r="H48" s="897">
        <f>+H47+I47</f>
        <v>25272910.58</v>
      </c>
      <c r="I48" s="897"/>
      <c r="J48" s="897">
        <f>+H48/1000000</f>
        <v>25.27291058</v>
      </c>
      <c r="K48" s="897"/>
      <c r="L48" s="897"/>
      <c r="M48" s="897"/>
      <c r="N48" s="933">
        <f t="shared" si="1"/>
        <v>25272910.58</v>
      </c>
      <c r="O48" s="945"/>
    </row>
    <row r="49" s="864" customFormat="1" spans="1:15">
      <c r="A49" s="914" t="s">
        <v>319</v>
      </c>
      <c r="B49" s="915"/>
      <c r="C49" s="915"/>
      <c r="D49" s="916"/>
      <c r="E49" s="917">
        <f>+E11+E12+E14+E20+E39+E40+E41+E42+E43+E44+E27</f>
        <v>87548000</v>
      </c>
      <c r="F49" s="917">
        <f t="shared" ref="F49:K49" si="24">+F11+F12+F14+F20+F39+F40+F41+F42+F43+F44+F27</f>
        <v>-13263100</v>
      </c>
      <c r="G49" s="917">
        <f t="shared" si="24"/>
        <v>56406200</v>
      </c>
      <c r="H49" s="917">
        <f t="shared" si="24"/>
        <v>54735990</v>
      </c>
      <c r="I49" s="917">
        <f t="shared" si="24"/>
        <v>1233210</v>
      </c>
      <c r="J49" s="917">
        <f t="shared" si="24"/>
        <v>70634600</v>
      </c>
      <c r="K49" s="917">
        <f t="shared" si="24"/>
        <v>31050500</v>
      </c>
      <c r="L49" s="897">
        <f>+I49*100/G49</f>
        <v>2.18630221500473</v>
      </c>
      <c r="M49" s="897">
        <f t="shared" si="23"/>
        <v>129.045989667858</v>
      </c>
      <c r="N49" s="933">
        <f t="shared" si="1"/>
        <v>55969200</v>
      </c>
      <c r="O49" s="945"/>
    </row>
    <row r="50" s="864" customFormat="1" spans="1:15">
      <c r="A50" s="914" t="s">
        <v>320</v>
      </c>
      <c r="B50" s="915"/>
      <c r="C50" s="915"/>
      <c r="D50" s="915"/>
      <c r="E50" s="915"/>
      <c r="F50" s="915"/>
      <c r="G50" s="915"/>
      <c r="H50" s="897">
        <f>+H49+I49</f>
        <v>55969200</v>
      </c>
      <c r="I50" s="897"/>
      <c r="J50" s="897">
        <f>+H50/1000000</f>
        <v>55.9692</v>
      </c>
      <c r="K50" s="897"/>
      <c r="L50" s="897"/>
      <c r="M50" s="897"/>
      <c r="N50" s="933">
        <f t="shared" si="1"/>
        <v>55969200</v>
      </c>
      <c r="O50" s="945"/>
    </row>
    <row r="51" s="864" customFormat="1" spans="1:15">
      <c r="A51" s="914" t="s">
        <v>321</v>
      </c>
      <c r="B51" s="915"/>
      <c r="C51" s="915"/>
      <c r="D51" s="915"/>
      <c r="E51" s="915"/>
      <c r="F51" s="915"/>
      <c r="G51" s="915"/>
      <c r="H51" s="897">
        <f>+H48+H50</f>
        <v>81242110.58</v>
      </c>
      <c r="I51" s="897"/>
      <c r="J51" s="897">
        <f>+H51/1000000</f>
        <v>81.24211058</v>
      </c>
      <c r="K51" s="897"/>
      <c r="L51" s="897"/>
      <c r="M51" s="897"/>
      <c r="N51" s="933">
        <f t="shared" si="1"/>
        <v>81242110.58</v>
      </c>
      <c r="O51" s="945"/>
    </row>
    <row r="52" s="864" customFormat="1" spans="1:15">
      <c r="A52" s="914" t="s">
        <v>322</v>
      </c>
      <c r="B52" s="915"/>
      <c r="C52" s="915"/>
      <c r="D52" s="915"/>
      <c r="E52" s="915"/>
      <c r="F52" s="915"/>
      <c r="G52" s="915"/>
      <c r="H52" s="897">
        <f>+I47+I49</f>
        <v>24342181.58</v>
      </c>
      <c r="I52" s="897"/>
      <c r="J52" s="897">
        <f>+H52/1000000</f>
        <v>24.34218158</v>
      </c>
      <c r="K52" s="897"/>
      <c r="L52" s="897"/>
      <c r="M52" s="897"/>
      <c r="N52" s="933">
        <f t="shared" si="1"/>
        <v>24342181.58</v>
      </c>
      <c r="O52" s="945"/>
    </row>
    <row r="53" s="864" customFormat="1" hidden="1" spans="1:15">
      <c r="A53" s="914" t="s">
        <v>13</v>
      </c>
      <c r="B53" s="915"/>
      <c r="C53" s="915"/>
      <c r="D53" s="916"/>
      <c r="E53" s="897">
        <f>+E47+E49</f>
        <v>118294300</v>
      </c>
      <c r="F53" s="897">
        <f t="shared" ref="F53:K53" si="25">+F47+F49</f>
        <v>-5258900</v>
      </c>
      <c r="G53" s="897">
        <f t="shared" si="25"/>
        <v>86643200</v>
      </c>
      <c r="H53" s="897">
        <f t="shared" si="25"/>
        <v>56899929</v>
      </c>
      <c r="I53" s="897">
        <f t="shared" si="25"/>
        <v>24342181.58</v>
      </c>
      <c r="J53" s="897">
        <f t="shared" si="25"/>
        <v>75103562.34</v>
      </c>
      <c r="K53" s="897">
        <f t="shared" si="25"/>
        <v>35245783.34</v>
      </c>
      <c r="L53" s="897">
        <f>+I53*100/G53</f>
        <v>28.0947397833875</v>
      </c>
      <c r="M53" s="897">
        <f>+J53*100/H53</f>
        <v>131.992365649525</v>
      </c>
      <c r="N53" s="933">
        <f t="shared" si="1"/>
        <v>81242110.58</v>
      </c>
      <c r="O53" s="945"/>
    </row>
    <row r="54" s="864" customFormat="1" hidden="1" spans="1:15">
      <c r="A54" s="917" t="s">
        <v>323</v>
      </c>
      <c r="B54" s="917"/>
      <c r="C54" s="917"/>
      <c r="D54" s="917"/>
      <c r="E54" s="897">
        <f>+G8-E55</f>
        <v>17998706.08</v>
      </c>
      <c r="F54" s="897">
        <f t="shared" ref="F54" si="26">+H8-F55</f>
        <v>-3431821</v>
      </c>
      <c r="G54" s="897"/>
      <c r="H54" s="897">
        <f>+H8</f>
        <v>273679</v>
      </c>
      <c r="I54" s="897">
        <f>+I8</f>
        <v>17851462.08</v>
      </c>
      <c r="J54" s="897"/>
      <c r="K54" s="930"/>
      <c r="L54" s="933">
        <f t="shared" ref="L54:L62" si="27">+I54*100/E54</f>
        <v>99.1819189704775</v>
      </c>
      <c r="M54" s="933">
        <f t="shared" ref="M54:M62" si="28">+N54*100/E54</f>
        <v>0</v>
      </c>
      <c r="N54" s="839"/>
      <c r="O54" s="945"/>
    </row>
    <row r="55" s="864" customFormat="1" hidden="1" spans="1:15">
      <c r="A55" s="917" t="s">
        <v>324</v>
      </c>
      <c r="B55" s="917"/>
      <c r="C55" s="917"/>
      <c r="D55" s="917"/>
      <c r="E55" s="897">
        <f>1155000+516000+816000+1218500</f>
        <v>3705500</v>
      </c>
      <c r="F55" s="897">
        <f t="shared" ref="F55" si="29">1155000+516000+816000+1218500</f>
        <v>3705500</v>
      </c>
      <c r="G55" s="897"/>
      <c r="H55" s="897">
        <v>0</v>
      </c>
      <c r="I55" s="897">
        <v>0</v>
      </c>
      <c r="J55" s="897">
        <v>0</v>
      </c>
      <c r="K55" s="930">
        <v>0</v>
      </c>
      <c r="L55" s="933">
        <f t="shared" si="27"/>
        <v>0</v>
      </c>
      <c r="M55" s="933">
        <f t="shared" si="28"/>
        <v>0</v>
      </c>
      <c r="N55" s="839"/>
      <c r="O55" s="945"/>
    </row>
    <row r="56" s="864" customFormat="1" hidden="1" spans="1:15">
      <c r="A56" s="917"/>
      <c r="B56" s="917"/>
      <c r="C56" s="917"/>
      <c r="D56" s="917"/>
      <c r="E56" s="897">
        <f>SUM(E54:E55)</f>
        <v>21704206.08</v>
      </c>
      <c r="F56" s="897">
        <f t="shared" ref="F56:K56" si="30">SUM(F54:F55)</f>
        <v>273679</v>
      </c>
      <c r="G56" s="897">
        <f t="shared" si="30"/>
        <v>0</v>
      </c>
      <c r="H56" s="897">
        <f t="shared" si="30"/>
        <v>273679</v>
      </c>
      <c r="I56" s="897">
        <f t="shared" si="30"/>
        <v>17851462.08</v>
      </c>
      <c r="J56" s="897">
        <f t="shared" si="30"/>
        <v>0</v>
      </c>
      <c r="K56" s="897">
        <f t="shared" si="30"/>
        <v>0</v>
      </c>
      <c r="L56" s="933"/>
      <c r="M56" s="933"/>
      <c r="N56" s="839"/>
      <c r="O56" s="945"/>
    </row>
    <row r="57" s="864" customFormat="1" hidden="1" spans="1:15">
      <c r="A57" s="917"/>
      <c r="B57" s="917"/>
      <c r="C57" s="917"/>
      <c r="D57" s="917"/>
      <c r="E57" s="897"/>
      <c r="F57" s="897"/>
      <c r="G57" s="897"/>
      <c r="H57" s="897"/>
      <c r="I57" s="897">
        <f>SUM(H56:I56)</f>
        <v>18125141.08</v>
      </c>
      <c r="J57" s="946">
        <f>+I57/1000000</f>
        <v>18.12514108</v>
      </c>
      <c r="K57" s="897"/>
      <c r="L57" s="933"/>
      <c r="M57" s="933"/>
      <c r="N57" s="839"/>
      <c r="O57" s="945"/>
    </row>
    <row r="58" s="864" customFormat="1" hidden="1" spans="1:15">
      <c r="A58" s="917"/>
      <c r="B58" s="917"/>
      <c r="C58" s="917"/>
      <c r="D58" s="917" t="s">
        <v>325</v>
      </c>
      <c r="E58" s="897">
        <f>+G10+G16+G17+G18+G19+G22+G23+G24+G29+G32+G33</f>
        <v>2608422.92</v>
      </c>
      <c r="F58" s="897">
        <f>+H10+H16+H17+H18+H19+H22+H23+H24+H29+H32+H33</f>
        <v>6900</v>
      </c>
      <c r="G58" s="897">
        <v>0</v>
      </c>
      <c r="H58" s="897">
        <f>+H10+H16+H17+H18+H19+H22+H23+H24+H29+H32+H33</f>
        <v>6900</v>
      </c>
      <c r="I58" s="897">
        <f>+I10+I16+I17+I18+I19+I22+I23+I24+I29+I32+I33</f>
        <v>2304494.5</v>
      </c>
      <c r="J58" s="897">
        <f>+L10+L16+L17+L18+L19+L22+L23+L24+L29+L32+L33</f>
        <v>699.393042918455</v>
      </c>
      <c r="K58" s="930">
        <f t="shared" ref="K58:K59" si="31">+E58-H58-I58</f>
        <v>297028.42</v>
      </c>
      <c r="L58" s="933">
        <f t="shared" si="27"/>
        <v>88.3481924012537</v>
      </c>
      <c r="M58" s="933">
        <f t="shared" si="28"/>
        <v>0</v>
      </c>
      <c r="N58" s="839"/>
      <c r="O58" s="945"/>
    </row>
    <row r="59" s="864" customFormat="1" hidden="1" spans="1:15">
      <c r="A59" s="917"/>
      <c r="B59" s="917"/>
      <c r="C59" s="917"/>
      <c r="D59" s="917" t="s">
        <v>326</v>
      </c>
      <c r="E59" s="897">
        <f>+E11+E12+E13+E14+E15+E20+E21+E30+G31+E38+E39+E40+E41+E42+E43+E44</f>
        <v>94977410.31</v>
      </c>
      <c r="F59" s="897">
        <f>+F11+F12+F13+F14+F15+F20+F21+F30+H31+F38+F39+F40+F41+F42+F43+F44</f>
        <v>-9518700</v>
      </c>
      <c r="G59" s="897">
        <v>0</v>
      </c>
      <c r="H59" s="897">
        <f>+H11+H12+H13+H14+H15+H20+H21+H30+H31+H38+H39+H40+H41+H42+H43+H44</f>
        <v>53024350</v>
      </c>
      <c r="I59" s="897">
        <f>+I11+I12+I13+I14+I15+I20+I21+I30+I31+I38+I39+I40+I41+I42+I43+I44</f>
        <v>4046850</v>
      </c>
      <c r="J59" s="897">
        <f>+J11+J12+J13+J14+J15+J20+J21+J30+L31+J38+J39+J40+J41+J42+J43+J44</f>
        <v>72012873.69</v>
      </c>
      <c r="K59" s="930">
        <f t="shared" si="31"/>
        <v>37906210.31</v>
      </c>
      <c r="L59" s="933">
        <f t="shared" si="27"/>
        <v>4.26085527789329</v>
      </c>
      <c r="M59" s="933">
        <f t="shared" si="28"/>
        <v>0</v>
      </c>
      <c r="N59" s="839"/>
      <c r="O59" s="945"/>
    </row>
    <row r="60" s="864" customFormat="1" hidden="1" spans="1:15">
      <c r="A60" s="917"/>
      <c r="B60" s="917"/>
      <c r="C60" s="917"/>
      <c r="D60" s="917"/>
      <c r="E60" s="897">
        <f>SUM(E58:E59)</f>
        <v>97585833.23</v>
      </c>
      <c r="F60" s="897">
        <f t="shared" ref="F60" si="32">SUM(F58:F59)</f>
        <v>-9511800</v>
      </c>
      <c r="G60" s="897">
        <f t="shared" ref="G60" si="33">SUM(G58:G59)</f>
        <v>0</v>
      </c>
      <c r="H60" s="897">
        <f t="shared" ref="H60" si="34">SUM(H58:H59)</f>
        <v>53031250</v>
      </c>
      <c r="I60" s="897">
        <f t="shared" ref="I60" si="35">SUM(I58:I59)</f>
        <v>6351344.5</v>
      </c>
      <c r="J60" s="897">
        <f t="shared" ref="J60" si="36">SUM(J58:J59)</f>
        <v>72013573.0830429</v>
      </c>
      <c r="K60" s="897">
        <f t="shared" ref="K60" si="37">SUM(K58:K59)</f>
        <v>38203238.73</v>
      </c>
      <c r="L60" s="933"/>
      <c r="M60" s="933"/>
      <c r="N60" s="839"/>
      <c r="O60" s="945"/>
    </row>
    <row r="61" s="864" customFormat="1" hidden="1" spans="1:15">
      <c r="A61" s="917"/>
      <c r="B61" s="917"/>
      <c r="C61" s="917"/>
      <c r="D61" s="917"/>
      <c r="E61" s="897"/>
      <c r="F61" s="897"/>
      <c r="G61" s="897"/>
      <c r="H61" s="897"/>
      <c r="I61" s="897">
        <f>SUM(H60:I60)</f>
        <v>59382594.5</v>
      </c>
      <c r="J61" s="946">
        <f>+I61/1000000</f>
        <v>59.3825945</v>
      </c>
      <c r="K61" s="897"/>
      <c r="L61" s="933"/>
      <c r="M61" s="933"/>
      <c r="N61" s="839"/>
      <c r="O61" s="945"/>
    </row>
    <row r="62" s="864" customFormat="1" hidden="1" spans="1:15">
      <c r="A62" s="917"/>
      <c r="B62" s="917"/>
      <c r="C62" s="917"/>
      <c r="D62" s="917"/>
      <c r="E62" s="897">
        <f>+E56+E60</f>
        <v>119290039.31</v>
      </c>
      <c r="F62" s="897">
        <f t="shared" ref="F62:K62" si="38">+F56+F60</f>
        <v>-9238121</v>
      </c>
      <c r="G62" s="897">
        <f t="shared" si="38"/>
        <v>0</v>
      </c>
      <c r="H62" s="897">
        <f t="shared" si="38"/>
        <v>53304929</v>
      </c>
      <c r="I62" s="897">
        <f t="shared" si="38"/>
        <v>24202806.58</v>
      </c>
      <c r="J62" s="897">
        <f t="shared" si="38"/>
        <v>72013573.0830429</v>
      </c>
      <c r="K62" s="897">
        <f t="shared" si="38"/>
        <v>38203238.73</v>
      </c>
      <c r="L62" s="933">
        <f t="shared" si="27"/>
        <v>20.289042337478</v>
      </c>
      <c r="M62" s="933">
        <f t="shared" si="28"/>
        <v>0</v>
      </c>
      <c r="N62" s="839"/>
      <c r="O62" s="945"/>
    </row>
    <row r="63" s="864" customFormat="1" hidden="1" spans="1:15">
      <c r="A63" s="917"/>
      <c r="B63" s="917"/>
      <c r="C63" s="917"/>
      <c r="D63" s="917"/>
      <c r="E63" s="897"/>
      <c r="F63" s="897"/>
      <c r="G63" s="897"/>
      <c r="H63" s="897"/>
      <c r="I63" s="897">
        <f>SUM(H62:I62)</f>
        <v>77507735.58</v>
      </c>
      <c r="J63" s="946">
        <f>+I63/1000000</f>
        <v>77.50773558</v>
      </c>
      <c r="K63" s="897"/>
      <c r="L63" s="897"/>
      <c r="M63" s="897"/>
      <c r="N63" s="839"/>
      <c r="O63" s="945"/>
    </row>
    <row r="64" s="864" customFormat="1" spans="1:15">
      <c r="A64" s="205"/>
      <c r="B64" s="205"/>
      <c r="C64" s="205"/>
      <c r="D64" s="205"/>
      <c r="N64" s="839"/>
      <c r="O64" s="945"/>
    </row>
    <row r="65" s="864" customFormat="1" spans="1:15">
      <c r="A65" s="205"/>
      <c r="B65" s="205"/>
      <c r="C65" s="205"/>
      <c r="D65" s="205"/>
      <c r="N65" s="839"/>
      <c r="O65" s="945"/>
    </row>
    <row r="66" s="864" customFormat="1" spans="1:15">
      <c r="A66" s="205"/>
      <c r="B66" s="205"/>
      <c r="C66" s="205"/>
      <c r="D66" s="205"/>
      <c r="N66" s="839"/>
      <c r="O66" s="945"/>
    </row>
    <row r="67" s="865" customFormat="1" ht="23.25" spans="1:15">
      <c r="A67" s="947" t="s">
        <v>327</v>
      </c>
      <c r="B67" s="947"/>
      <c r="C67" s="947"/>
      <c r="D67" s="947"/>
      <c r="E67" s="947"/>
      <c r="F67" s="947"/>
      <c r="G67" s="947"/>
      <c r="H67" s="947"/>
      <c r="I67" s="947"/>
      <c r="J67" s="947"/>
      <c r="K67" s="947"/>
      <c r="L67" s="947"/>
      <c r="M67" s="947"/>
      <c r="N67" s="947"/>
      <c r="O67" s="947"/>
    </row>
    <row r="68" hidden="1"/>
    <row r="69" hidden="1" spans="5:5">
      <c r="E69" s="806">
        <v>1794432.92</v>
      </c>
    </row>
    <row r="70" hidden="1" spans="5:5">
      <c r="E70" s="806">
        <v>39000</v>
      </c>
    </row>
    <row r="71" hidden="1" spans="5:7">
      <c r="E71" s="806">
        <v>458447.92</v>
      </c>
      <c r="G71" s="839">
        <f>+E45-E74</f>
        <v>97868615</v>
      </c>
    </row>
    <row r="72" hidden="1" spans="7:7">
      <c r="G72" s="839">
        <f>SUM(G38:G41)</f>
        <v>15618100</v>
      </c>
    </row>
    <row r="73" hidden="1" spans="7:7">
      <c r="G73" s="839">
        <f>SUM(G42:G44)</f>
        <v>23966000</v>
      </c>
    </row>
    <row r="74" hidden="1" spans="5:5">
      <c r="E74" s="806">
        <f>+E69-E70-E71</f>
        <v>1296985</v>
      </c>
    </row>
  </sheetData>
  <mergeCells count="22">
    <mergeCell ref="A1:O1"/>
    <mergeCell ref="A2:O2"/>
    <mergeCell ref="A3:O3"/>
    <mergeCell ref="A4:O4"/>
    <mergeCell ref="E5:G5"/>
    <mergeCell ref="C8:D8"/>
    <mergeCell ref="C9:D9"/>
    <mergeCell ref="C37:D37"/>
    <mergeCell ref="A45:D45"/>
    <mergeCell ref="A46:D46"/>
    <mergeCell ref="A47:D47"/>
    <mergeCell ref="A48:G48"/>
    <mergeCell ref="A49:D49"/>
    <mergeCell ref="A50:G50"/>
    <mergeCell ref="A51:G51"/>
    <mergeCell ref="A52:G52"/>
    <mergeCell ref="A53:D53"/>
    <mergeCell ref="A54:D54"/>
    <mergeCell ref="A55:D55"/>
    <mergeCell ref="A67:O67"/>
    <mergeCell ref="O5:O7"/>
    <mergeCell ref="C5:D7"/>
  </mergeCells>
  <printOptions horizontalCentered="1"/>
  <pageMargins left="0.196850393700787" right="0" top="0.669291338582677" bottom="0.433070866141732" header="0.236220472440945" footer="0.196850393700787"/>
  <pageSetup paperSize="9" scale="62" orientation="landscape"/>
  <headerFooter alignWithMargins="0">
    <oddFooter>&amp;Lกลุ่มบริหารงานบัญชีและงบประมาณ&amp;Rหน้าที่ &amp;P จาก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L672"/>
  <sheetViews>
    <sheetView zoomScale="80" zoomScaleNormal="80" workbookViewId="0">
      <selection activeCell="H21" sqref="H21"/>
    </sheetView>
  </sheetViews>
  <sheetFormatPr defaultColWidth="9.14285714285714" defaultRowHeight="21"/>
  <cols>
    <col min="1" max="1" width="7.71428571428571" style="807" customWidth="1"/>
    <col min="2" max="2" width="19.5714285714286" style="808" customWidth="1"/>
    <col min="3" max="3" width="55.7142857142857" style="809" customWidth="1"/>
    <col min="4" max="4" width="17.5714285714286" style="810" customWidth="1"/>
    <col min="5" max="5" width="16.1428571428571" style="810" hidden="1" customWidth="1"/>
    <col min="6" max="6" width="17.5714285714286" style="803" customWidth="1"/>
    <col min="7" max="7" width="17.8571428571429" style="810" customWidth="1"/>
    <col min="8" max="8" width="18.1428571428571" style="810" customWidth="1"/>
    <col min="9" max="9" width="18" style="810" customWidth="1"/>
    <col min="10" max="10" width="18.2857142857143" style="803" customWidth="1"/>
    <col min="11" max="12" width="13.5714285714286" style="803" customWidth="1"/>
    <col min="13" max="13" width="15.2857142857143" style="810" hidden="1" customWidth="1"/>
    <col min="14" max="38" width="12.1428571428571" style="810" hidden="1" customWidth="1"/>
    <col min="39" max="70" width="12.1428571428571" style="810" customWidth="1"/>
    <col min="71" max="74" width="11.7142857142857" style="810" customWidth="1"/>
    <col min="75" max="16384" width="9.14285714285714" style="810"/>
  </cols>
  <sheetData>
    <row r="1" s="803" customFormat="1" ht="23.25" spans="1:12">
      <c r="A1" s="811" t="str">
        <f>+งบลงทุน!A1:O1</f>
        <v>กรมพินิจและคุ้มครองเด็กและเยาวชน   กระทรวงยุติธรรม</v>
      </c>
      <c r="B1" s="811"/>
      <c r="C1" s="811"/>
      <c r="D1" s="811"/>
      <c r="E1" s="811"/>
      <c r="F1" s="811"/>
      <c r="G1" s="811"/>
      <c r="H1" s="811"/>
      <c r="I1" s="811"/>
      <c r="J1" s="811"/>
      <c r="K1" s="811"/>
      <c r="L1" s="811"/>
    </row>
    <row r="2" s="803" customFormat="1" ht="23.25" spans="1:12">
      <c r="A2" s="811" t="str">
        <f>+งบลงทุน!A2:O2</f>
        <v>รายละเอียดงบประมาณรายจ่ายประจำปีงบประมาณ  พ.ศ. 2565</v>
      </c>
      <c r="B2" s="811"/>
      <c r="C2" s="811"/>
      <c r="D2" s="811"/>
      <c r="E2" s="811"/>
      <c r="F2" s="811"/>
      <c r="G2" s="811"/>
      <c r="H2" s="811"/>
      <c r="I2" s="811"/>
      <c r="J2" s="811"/>
      <c r="K2" s="811"/>
      <c r="L2" s="811"/>
    </row>
    <row r="3" s="803" customFormat="1" ht="23.25" spans="1:12">
      <c r="A3" s="812" t="s">
        <v>8</v>
      </c>
      <c r="B3" s="812"/>
      <c r="C3" s="812"/>
      <c r="D3" s="812"/>
      <c r="E3" s="812"/>
      <c r="F3" s="812"/>
      <c r="G3" s="812"/>
      <c r="H3" s="812"/>
      <c r="I3" s="812"/>
      <c r="J3" s="812"/>
      <c r="K3" s="812"/>
      <c r="L3" s="812"/>
    </row>
    <row r="4" s="803" customFormat="1" ht="23.25" spans="1:12">
      <c r="A4" s="813" t="str">
        <f>+งบลงทุน!A4:L4</f>
        <v>ตั้งแต่วันที่ 1  ตุลาคม 2564 ถึงวันที่ 30 เมษายน 2565</v>
      </c>
      <c r="B4" s="813"/>
      <c r="C4" s="813"/>
      <c r="D4" s="813"/>
      <c r="E4" s="813"/>
      <c r="F4" s="813"/>
      <c r="G4" s="813"/>
      <c r="H4" s="813"/>
      <c r="I4" s="813"/>
      <c r="J4" s="813"/>
      <c r="K4" s="813"/>
      <c r="L4" s="813"/>
    </row>
    <row r="5" s="2" customFormat="1" spans="1:12">
      <c r="A5" s="814" t="s">
        <v>155</v>
      </c>
      <c r="B5" s="815" t="s">
        <v>159</v>
      </c>
      <c r="C5" s="816" t="s">
        <v>161</v>
      </c>
      <c r="D5" s="817" t="s">
        <v>225</v>
      </c>
      <c r="E5" s="818"/>
      <c r="F5" s="819"/>
      <c r="G5" s="820" t="s">
        <v>109</v>
      </c>
      <c r="H5" s="820" t="s">
        <v>26</v>
      </c>
      <c r="I5" s="820" t="s">
        <v>226</v>
      </c>
      <c r="J5" s="820" t="s">
        <v>226</v>
      </c>
      <c r="K5" s="842" t="s">
        <v>364</v>
      </c>
      <c r="L5" s="842" t="s">
        <v>364</v>
      </c>
    </row>
    <row r="6" s="2" customFormat="1" spans="1:12">
      <c r="A6" s="814"/>
      <c r="B6" s="815"/>
      <c r="C6" s="816"/>
      <c r="D6" s="821" t="s">
        <v>113</v>
      </c>
      <c r="E6" s="821" t="s">
        <v>365</v>
      </c>
      <c r="F6" s="822" t="s">
        <v>114</v>
      </c>
      <c r="G6" s="821" t="s">
        <v>116</v>
      </c>
      <c r="H6" s="821" t="s">
        <v>230</v>
      </c>
      <c r="I6" s="821" t="s">
        <v>231</v>
      </c>
      <c r="J6" s="821" t="s">
        <v>232</v>
      </c>
      <c r="K6" s="843" t="s">
        <v>240</v>
      </c>
      <c r="L6" s="843" t="s">
        <v>366</v>
      </c>
    </row>
    <row r="7" s="2" customFormat="1" spans="1:12">
      <c r="A7" s="814"/>
      <c r="B7" s="815"/>
      <c r="C7" s="816"/>
      <c r="D7" s="823" t="s">
        <v>234</v>
      </c>
      <c r="E7" s="823" t="s">
        <v>235</v>
      </c>
      <c r="F7" s="823" t="s">
        <v>235</v>
      </c>
      <c r="G7" s="824" t="s">
        <v>236</v>
      </c>
      <c r="H7" s="824" t="s">
        <v>237</v>
      </c>
      <c r="I7" s="844" t="s">
        <v>367</v>
      </c>
      <c r="J7" s="844" t="s">
        <v>368</v>
      </c>
      <c r="K7" s="845"/>
      <c r="L7" s="845" t="s">
        <v>369</v>
      </c>
    </row>
    <row r="8" ht="63" spans="1:13">
      <c r="A8" s="825" t="s">
        <v>234</v>
      </c>
      <c r="B8" s="826" t="s">
        <v>370</v>
      </c>
      <c r="C8" s="827" t="s">
        <v>371</v>
      </c>
      <c r="D8" s="828">
        <v>621500</v>
      </c>
      <c r="E8" s="828">
        <v>0</v>
      </c>
      <c r="F8" s="828">
        <v>466100</v>
      </c>
      <c r="G8" s="828">
        <v>0</v>
      </c>
      <c r="H8" s="828">
        <v>0</v>
      </c>
      <c r="I8" s="828">
        <f>+D8-H8</f>
        <v>621500</v>
      </c>
      <c r="J8" s="828">
        <f>+D8-G8-H8</f>
        <v>621500</v>
      </c>
      <c r="K8" s="846">
        <f>+H8*100/D8</f>
        <v>0</v>
      </c>
      <c r="L8" s="846">
        <f>+M8*100/D8</f>
        <v>0</v>
      </c>
      <c r="M8" s="847">
        <f>+G8+H8</f>
        <v>0</v>
      </c>
    </row>
    <row r="9" ht="42" spans="1:13">
      <c r="A9" s="308" t="s">
        <v>235</v>
      </c>
      <c r="B9" s="826" t="s">
        <v>372</v>
      </c>
      <c r="C9" s="827" t="s">
        <v>373</v>
      </c>
      <c r="D9" s="828">
        <v>361400</v>
      </c>
      <c r="E9" s="828">
        <v>0</v>
      </c>
      <c r="F9" s="828">
        <v>271000</v>
      </c>
      <c r="G9" s="828">
        <v>0</v>
      </c>
      <c r="H9" s="828">
        <v>1700</v>
      </c>
      <c r="I9" s="828">
        <f t="shared" ref="I9:I20" si="0">+D9-H9</f>
        <v>359700</v>
      </c>
      <c r="J9" s="828">
        <f t="shared" ref="J9:J20" si="1">+D9-G9-H9</f>
        <v>359700</v>
      </c>
      <c r="K9" s="846">
        <f t="shared" ref="K9:K21" si="2">+H9*100/D9</f>
        <v>0.470392916436082</v>
      </c>
      <c r="L9" s="846">
        <f t="shared" ref="L9:L21" si="3">+M9*100/D9</f>
        <v>0.470392916436082</v>
      </c>
      <c r="M9" s="847">
        <f t="shared" ref="M9:M22" si="4">+G9+H9</f>
        <v>1700</v>
      </c>
    </row>
    <row r="10" ht="42" spans="1:13">
      <c r="A10" s="825" t="s">
        <v>236</v>
      </c>
      <c r="B10" s="826" t="s">
        <v>374</v>
      </c>
      <c r="C10" s="827" t="s">
        <v>375</v>
      </c>
      <c r="D10" s="828">
        <v>5938000</v>
      </c>
      <c r="E10" s="828">
        <v>0</v>
      </c>
      <c r="F10" s="828">
        <v>4453500</v>
      </c>
      <c r="G10" s="828">
        <v>14697.4</v>
      </c>
      <c r="H10" s="828">
        <v>1507864.31</v>
      </c>
      <c r="I10" s="828">
        <f t="shared" si="0"/>
        <v>4430135.69</v>
      </c>
      <c r="J10" s="828">
        <f t="shared" si="1"/>
        <v>4415438.29</v>
      </c>
      <c r="K10" s="846">
        <f t="shared" si="2"/>
        <v>25.3934710340182</v>
      </c>
      <c r="L10" s="846">
        <f t="shared" si="3"/>
        <v>25.6409853486022</v>
      </c>
      <c r="M10" s="847">
        <f t="shared" si="4"/>
        <v>1522561.71</v>
      </c>
    </row>
    <row r="11" ht="58.5" customHeight="1" spans="1:13">
      <c r="A11" s="825" t="s">
        <v>237</v>
      </c>
      <c r="B11" s="826" t="s">
        <v>376</v>
      </c>
      <c r="C11" s="827" t="s">
        <v>377</v>
      </c>
      <c r="D11" s="828">
        <v>5000000</v>
      </c>
      <c r="E11" s="828">
        <v>0</v>
      </c>
      <c r="F11" s="828">
        <f>2500000+1250000</f>
        <v>3750000</v>
      </c>
      <c r="G11" s="828">
        <v>0</v>
      </c>
      <c r="H11" s="828">
        <v>2500000</v>
      </c>
      <c r="I11" s="828">
        <f t="shared" si="0"/>
        <v>2500000</v>
      </c>
      <c r="J11" s="828">
        <f t="shared" si="1"/>
        <v>2500000</v>
      </c>
      <c r="K11" s="846">
        <f t="shared" si="2"/>
        <v>50</v>
      </c>
      <c r="L11" s="846">
        <f t="shared" si="3"/>
        <v>50</v>
      </c>
      <c r="M11" s="847">
        <f t="shared" si="4"/>
        <v>2500000</v>
      </c>
    </row>
    <row r="12" ht="56.25" customHeight="1" spans="1:13">
      <c r="A12" s="825" t="s">
        <v>309</v>
      </c>
      <c r="B12" s="826" t="s">
        <v>378</v>
      </c>
      <c r="C12" s="827" t="s">
        <v>379</v>
      </c>
      <c r="D12" s="828">
        <v>2531500</v>
      </c>
      <c r="E12" s="828">
        <v>0</v>
      </c>
      <c r="F12" s="828">
        <v>1898600</v>
      </c>
      <c r="G12" s="828">
        <v>40410</v>
      </c>
      <c r="H12" s="828">
        <v>466687</v>
      </c>
      <c r="I12" s="828">
        <f t="shared" si="0"/>
        <v>2064813</v>
      </c>
      <c r="J12" s="828">
        <f t="shared" si="1"/>
        <v>2024403</v>
      </c>
      <c r="K12" s="846">
        <f t="shared" si="2"/>
        <v>18.4351965238001</v>
      </c>
      <c r="L12" s="846">
        <f t="shared" si="3"/>
        <v>20.0314833102903</v>
      </c>
      <c r="M12" s="847">
        <f t="shared" si="4"/>
        <v>507097</v>
      </c>
    </row>
    <row r="13" ht="57.75" customHeight="1" spans="1:13">
      <c r="A13" s="825" t="s">
        <v>311</v>
      </c>
      <c r="B13" s="826" t="s">
        <v>380</v>
      </c>
      <c r="C13" s="827" t="s">
        <v>381</v>
      </c>
      <c r="D13" s="828">
        <v>2510000</v>
      </c>
      <c r="E13" s="828">
        <v>0</v>
      </c>
      <c r="F13" s="828">
        <v>1882500</v>
      </c>
      <c r="G13" s="828">
        <v>0</v>
      </c>
      <c r="H13" s="828">
        <v>652721.3</v>
      </c>
      <c r="I13" s="828">
        <f t="shared" si="0"/>
        <v>1857278.7</v>
      </c>
      <c r="J13" s="828">
        <f t="shared" si="1"/>
        <v>1857278.7</v>
      </c>
      <c r="K13" s="846">
        <f t="shared" si="2"/>
        <v>26.0048326693227</v>
      </c>
      <c r="L13" s="846">
        <f t="shared" si="3"/>
        <v>26.0048326693227</v>
      </c>
      <c r="M13" s="847">
        <f t="shared" si="4"/>
        <v>652721.3</v>
      </c>
    </row>
    <row r="14" ht="57.75" customHeight="1" spans="1:13">
      <c r="A14" s="825" t="s">
        <v>315</v>
      </c>
      <c r="B14" s="826" t="s">
        <v>382</v>
      </c>
      <c r="C14" s="827" t="s">
        <v>383</v>
      </c>
      <c r="D14" s="828">
        <v>1567000</v>
      </c>
      <c r="E14" s="828">
        <v>0</v>
      </c>
      <c r="F14" s="828">
        <v>1175200</v>
      </c>
      <c r="G14" s="828">
        <v>5754.46</v>
      </c>
      <c r="H14" s="828">
        <v>629740.59</v>
      </c>
      <c r="I14" s="828">
        <f t="shared" si="0"/>
        <v>937259.41</v>
      </c>
      <c r="J14" s="828">
        <f t="shared" si="1"/>
        <v>931504.95</v>
      </c>
      <c r="K14" s="846">
        <f t="shared" si="2"/>
        <v>40.187657306956</v>
      </c>
      <c r="L14" s="846">
        <f t="shared" si="3"/>
        <v>40.5548851308232</v>
      </c>
      <c r="M14" s="847">
        <f t="shared" si="4"/>
        <v>635495.05</v>
      </c>
    </row>
    <row r="15" ht="55.5" customHeight="1" spans="1:13">
      <c r="A15" s="825" t="s">
        <v>384</v>
      </c>
      <c r="B15" s="826" t="s">
        <v>385</v>
      </c>
      <c r="C15" s="827" t="s">
        <v>386</v>
      </c>
      <c r="D15" s="828">
        <v>2630600</v>
      </c>
      <c r="E15" s="828">
        <v>0</v>
      </c>
      <c r="F15" s="828">
        <v>1973000</v>
      </c>
      <c r="G15" s="828">
        <v>14900</v>
      </c>
      <c r="H15" s="828">
        <v>344135</v>
      </c>
      <c r="I15" s="828">
        <f t="shared" si="0"/>
        <v>2286465</v>
      </c>
      <c r="J15" s="828">
        <f t="shared" si="1"/>
        <v>2271565</v>
      </c>
      <c r="K15" s="846">
        <f t="shared" si="2"/>
        <v>13.081996502699</v>
      </c>
      <c r="L15" s="846">
        <f t="shared" si="3"/>
        <v>13.6484072074812</v>
      </c>
      <c r="M15" s="847">
        <f t="shared" si="4"/>
        <v>359035</v>
      </c>
    </row>
    <row r="16" ht="55.5" customHeight="1" spans="1:13">
      <c r="A16" s="825" t="s">
        <v>387</v>
      </c>
      <c r="B16" s="826" t="s">
        <v>388</v>
      </c>
      <c r="C16" s="827" t="s">
        <v>389</v>
      </c>
      <c r="D16" s="828">
        <v>545000</v>
      </c>
      <c r="E16" s="828">
        <v>0</v>
      </c>
      <c r="F16" s="828">
        <v>408700</v>
      </c>
      <c r="G16" s="828">
        <v>0</v>
      </c>
      <c r="H16" s="828">
        <v>192488.42</v>
      </c>
      <c r="I16" s="828">
        <f t="shared" si="0"/>
        <v>352511.58</v>
      </c>
      <c r="J16" s="828">
        <f t="shared" si="1"/>
        <v>352511.58</v>
      </c>
      <c r="K16" s="846">
        <f t="shared" si="2"/>
        <v>35.318976146789</v>
      </c>
      <c r="L16" s="846">
        <f t="shared" si="3"/>
        <v>35.318976146789</v>
      </c>
      <c r="M16" s="847">
        <f t="shared" si="4"/>
        <v>192488.42</v>
      </c>
    </row>
    <row r="17" ht="78.75" customHeight="1" spans="1:13">
      <c r="A17" s="825" t="s">
        <v>390</v>
      </c>
      <c r="B17" s="826" t="s">
        <v>391</v>
      </c>
      <c r="C17" s="827" t="s">
        <v>392</v>
      </c>
      <c r="D17" s="828">
        <v>1449000</v>
      </c>
      <c r="E17" s="828">
        <v>0</v>
      </c>
      <c r="F17" s="828">
        <v>1086700</v>
      </c>
      <c r="G17" s="828">
        <v>0</v>
      </c>
      <c r="H17" s="828">
        <v>52290</v>
      </c>
      <c r="I17" s="828">
        <f t="shared" si="0"/>
        <v>1396710</v>
      </c>
      <c r="J17" s="828">
        <f t="shared" si="1"/>
        <v>1396710</v>
      </c>
      <c r="K17" s="846">
        <f t="shared" si="2"/>
        <v>3.60869565217391</v>
      </c>
      <c r="L17" s="846">
        <f t="shared" si="3"/>
        <v>3.60869565217391</v>
      </c>
      <c r="M17" s="847">
        <f t="shared" si="4"/>
        <v>52290</v>
      </c>
    </row>
    <row r="18" ht="54.75" customHeight="1" spans="1:13">
      <c r="A18" s="825" t="s">
        <v>393</v>
      </c>
      <c r="B18" s="826" t="s">
        <v>394</v>
      </c>
      <c r="C18" s="827" t="s">
        <v>395</v>
      </c>
      <c r="D18" s="828">
        <v>750000</v>
      </c>
      <c r="E18" s="828">
        <v>0</v>
      </c>
      <c r="F18" s="828">
        <v>562500</v>
      </c>
      <c r="G18" s="828">
        <v>0</v>
      </c>
      <c r="H18" s="828">
        <v>0</v>
      </c>
      <c r="I18" s="828">
        <f t="shared" si="0"/>
        <v>750000</v>
      </c>
      <c r="J18" s="828">
        <f t="shared" si="1"/>
        <v>750000</v>
      </c>
      <c r="K18" s="846">
        <f t="shared" si="2"/>
        <v>0</v>
      </c>
      <c r="L18" s="846">
        <f t="shared" si="3"/>
        <v>0</v>
      </c>
      <c r="M18" s="847">
        <f t="shared" si="4"/>
        <v>0</v>
      </c>
    </row>
    <row r="19" ht="54" customHeight="1" spans="1:13">
      <c r="A19" s="825" t="s">
        <v>396</v>
      </c>
      <c r="B19" s="826" t="s">
        <v>397</v>
      </c>
      <c r="C19" s="827" t="s">
        <v>398</v>
      </c>
      <c r="D19" s="828">
        <v>4366200</v>
      </c>
      <c r="E19" s="828">
        <v>0</v>
      </c>
      <c r="F19" s="828">
        <v>3274600</v>
      </c>
      <c r="G19" s="828">
        <v>26000</v>
      </c>
      <c r="H19" s="828">
        <v>468478.01</v>
      </c>
      <c r="I19" s="828">
        <f t="shared" si="0"/>
        <v>3897721.99</v>
      </c>
      <c r="J19" s="828">
        <f t="shared" si="1"/>
        <v>3871721.99</v>
      </c>
      <c r="K19" s="846">
        <f t="shared" si="2"/>
        <v>10.7296507260318</v>
      </c>
      <c r="L19" s="846">
        <f t="shared" si="3"/>
        <v>11.3251342128166</v>
      </c>
      <c r="M19" s="847">
        <f t="shared" si="4"/>
        <v>494478.01</v>
      </c>
    </row>
    <row r="20" ht="77.25" customHeight="1" spans="1:37">
      <c r="A20" s="825" t="s">
        <v>399</v>
      </c>
      <c r="B20" s="826" t="s">
        <v>400</v>
      </c>
      <c r="C20" s="827" t="s">
        <v>401</v>
      </c>
      <c r="D20" s="828">
        <v>523700</v>
      </c>
      <c r="E20" s="828">
        <v>0</v>
      </c>
      <c r="F20" s="828">
        <v>392700</v>
      </c>
      <c r="G20" s="828">
        <v>10000</v>
      </c>
      <c r="H20" s="828">
        <v>105337</v>
      </c>
      <c r="I20" s="828">
        <f t="shared" si="0"/>
        <v>418363</v>
      </c>
      <c r="J20" s="828">
        <f t="shared" si="1"/>
        <v>408363</v>
      </c>
      <c r="K20" s="846">
        <f t="shared" si="2"/>
        <v>20.1139965629177</v>
      </c>
      <c r="L20" s="846">
        <f t="shared" si="3"/>
        <v>22.0234867290433</v>
      </c>
      <c r="M20" s="847">
        <f t="shared" si="4"/>
        <v>115337</v>
      </c>
      <c r="AK20" s="847"/>
    </row>
    <row r="21" s="804" customFormat="1" ht="33.75" customHeight="1" spans="1:38">
      <c r="A21" s="829" t="s">
        <v>350</v>
      </c>
      <c r="B21" s="829"/>
      <c r="C21" s="829"/>
      <c r="D21" s="830">
        <f t="shared" ref="D21:J21" si="5">SUM(D8:D20)</f>
        <v>28793900</v>
      </c>
      <c r="E21" s="830">
        <f t="shared" si="5"/>
        <v>0</v>
      </c>
      <c r="F21" s="830">
        <f t="shared" si="5"/>
        <v>21595100</v>
      </c>
      <c r="G21" s="830">
        <f t="shared" si="5"/>
        <v>111761.86</v>
      </c>
      <c r="H21" s="830">
        <f t="shared" si="5"/>
        <v>6921441.63</v>
      </c>
      <c r="I21" s="830">
        <f t="shared" si="5"/>
        <v>21872458.37</v>
      </c>
      <c r="J21" s="830">
        <f t="shared" si="5"/>
        <v>21760696.51</v>
      </c>
      <c r="K21" s="848">
        <f t="shared" si="2"/>
        <v>24.0378747929249</v>
      </c>
      <c r="L21" s="848">
        <f t="shared" si="3"/>
        <v>24.426019017917</v>
      </c>
      <c r="M21" s="847">
        <f t="shared" si="4"/>
        <v>7033203.49</v>
      </c>
      <c r="AL21" s="854" t="e">
        <f>+#REF!-#REF!</f>
        <v>#REF!</v>
      </c>
    </row>
    <row r="22" s="805" customFormat="1" ht="26.25" spans="1:38">
      <c r="A22" s="831" t="s">
        <v>402</v>
      </c>
      <c r="B22" s="831"/>
      <c r="C22" s="831"/>
      <c r="D22" s="831"/>
      <c r="E22" s="831"/>
      <c r="F22" s="831"/>
      <c r="G22" s="831"/>
      <c r="H22" s="831"/>
      <c r="I22" s="831"/>
      <c r="J22" s="831"/>
      <c r="K22" s="831"/>
      <c r="L22" s="831"/>
      <c r="M22" s="849">
        <f t="shared" si="4"/>
        <v>0</v>
      </c>
      <c r="AL22" s="855" t="e">
        <f>+AL21*100/31733400</f>
        <v>#REF!</v>
      </c>
    </row>
    <row r="23" s="803" customFormat="1" hidden="1" spans="1:38">
      <c r="A23" s="832"/>
      <c r="B23" s="833" t="s">
        <v>403</v>
      </c>
      <c r="C23" s="833"/>
      <c r="D23" s="833"/>
      <c r="E23" s="833"/>
      <c r="F23" s="833"/>
      <c r="G23" s="833"/>
      <c r="H23" s="833"/>
      <c r="I23" s="833"/>
      <c r="J23" s="833"/>
      <c r="K23" s="833"/>
      <c r="L23" s="833"/>
      <c r="AL23" s="856"/>
    </row>
    <row r="24" s="803" customFormat="1" hidden="1" spans="1:11">
      <c r="A24" s="832"/>
      <c r="B24" s="834" t="s">
        <v>404</v>
      </c>
      <c r="C24" s="834"/>
      <c r="D24" s="834"/>
      <c r="E24" s="834"/>
      <c r="F24" s="834"/>
      <c r="G24" s="834"/>
      <c r="H24" s="834"/>
      <c r="I24" s="834"/>
      <c r="J24" s="834"/>
      <c r="K24" s="834"/>
    </row>
    <row r="25" s="803" customFormat="1" hidden="1" spans="1:11">
      <c r="A25" s="832"/>
      <c r="B25" s="834" t="s">
        <v>405</v>
      </c>
      <c r="C25" s="834"/>
      <c r="D25" s="834"/>
      <c r="E25" s="834"/>
      <c r="F25" s="834"/>
      <c r="G25" s="834"/>
      <c r="H25" s="834"/>
      <c r="I25" s="834"/>
      <c r="J25" s="834"/>
      <c r="K25" s="834"/>
    </row>
    <row r="26" s="803" customFormat="1" hidden="1" spans="1:11">
      <c r="A26" s="832"/>
      <c r="B26" s="834" t="s">
        <v>406</v>
      </c>
      <c r="C26" s="834"/>
      <c r="D26" s="834"/>
      <c r="E26" s="834"/>
      <c r="F26" s="834"/>
      <c r="G26" s="834"/>
      <c r="H26" s="834"/>
      <c r="I26" s="834"/>
      <c r="J26" s="834"/>
      <c r="K26" s="834"/>
    </row>
    <row r="27" s="803" customFormat="1" hidden="1" spans="1:11">
      <c r="A27" s="832"/>
      <c r="B27" s="834" t="s">
        <v>407</v>
      </c>
      <c r="C27" s="834"/>
      <c r="D27" s="834"/>
      <c r="E27" s="834"/>
      <c r="F27" s="834"/>
      <c r="G27" s="834"/>
      <c r="H27" s="834"/>
      <c r="I27" s="834"/>
      <c r="J27" s="834"/>
      <c r="K27" s="834"/>
    </row>
    <row r="28" s="803" customFormat="1" hidden="1" spans="1:11">
      <c r="A28" s="832"/>
      <c r="B28" s="834" t="s">
        <v>408</v>
      </c>
      <c r="C28" s="834"/>
      <c r="D28" s="834"/>
      <c r="E28" s="834"/>
      <c r="F28" s="834"/>
      <c r="G28" s="834"/>
      <c r="H28" s="834"/>
      <c r="I28" s="834"/>
      <c r="J28" s="834"/>
      <c r="K28" s="834"/>
    </row>
    <row r="29" s="803" customFormat="1" hidden="1" spans="1:11">
      <c r="A29" s="832"/>
      <c r="B29" s="834"/>
      <c r="C29" s="835"/>
      <c r="D29" s="834"/>
      <c r="E29" s="834"/>
      <c r="F29" s="834"/>
      <c r="G29" s="834"/>
      <c r="H29" s="834"/>
      <c r="I29" s="834"/>
      <c r="J29" s="850">
        <f>SUM(D8:D20)</f>
        <v>28793900</v>
      </c>
      <c r="K29" s="850" t="e">
        <f>SUM(#REF!)</f>
        <v>#REF!</v>
      </c>
    </row>
    <row r="30" s="803" customFormat="1" hidden="1" spans="1:11">
      <c r="A30" s="832"/>
      <c r="B30" s="834"/>
      <c r="C30" s="835"/>
      <c r="D30" s="834"/>
      <c r="E30" s="834"/>
      <c r="F30" s="834"/>
      <c r="G30" s="834"/>
      <c r="H30" s="834"/>
      <c r="I30" s="834"/>
      <c r="J30" s="850" t="e">
        <f>+#REF!-#REF!-#REF!-#REF!-#REF!</f>
        <v>#REF!</v>
      </c>
      <c r="K30" s="850"/>
    </row>
    <row r="31" s="803" customFormat="1" hidden="1" spans="1:11">
      <c r="A31" s="832"/>
      <c r="B31" s="834"/>
      <c r="C31" s="835"/>
      <c r="D31" s="834"/>
      <c r="E31" s="834"/>
      <c r="F31" s="834"/>
      <c r="G31" s="834"/>
      <c r="H31" s="834"/>
      <c r="I31" s="834"/>
      <c r="J31" s="850" t="e">
        <f>+#REF!-#REF!-#REF!-#REF!-#REF!</f>
        <v>#REF!</v>
      </c>
      <c r="K31" s="850"/>
    </row>
    <row r="32" hidden="1" spans="1:11">
      <c r="A32" s="836" t="s">
        <v>409</v>
      </c>
      <c r="J32" s="850" t="e">
        <f>+#REF!-#REF!-#REF!-#REF!-#REF!</f>
        <v>#REF!</v>
      </c>
      <c r="K32" s="851"/>
    </row>
    <row r="33" s="806" customFormat="1" hidden="1" spans="1:12">
      <c r="A33" s="836" t="s">
        <v>410</v>
      </c>
      <c r="B33" s="837"/>
      <c r="C33" s="838"/>
      <c r="F33" s="839"/>
      <c r="J33" s="850" t="e">
        <f>+#REF!-#REF!-#REF!-#REF!-#REF!</f>
        <v>#REF!</v>
      </c>
      <c r="K33" s="852"/>
      <c r="L33" s="839"/>
    </row>
    <row r="34" s="806" customFormat="1" hidden="1" spans="1:12">
      <c r="A34" s="836" t="s">
        <v>411</v>
      </c>
      <c r="B34" s="837"/>
      <c r="C34" s="838"/>
      <c r="F34" s="839"/>
      <c r="J34" s="850" t="e">
        <f>+#REF!-#REF!-#REF!-#REF!-#REF!</f>
        <v>#REF!</v>
      </c>
      <c r="K34" s="852"/>
      <c r="L34" s="839"/>
    </row>
    <row r="35" hidden="1" spans="1:11">
      <c r="A35" s="836" t="s">
        <v>412</v>
      </c>
      <c r="J35" s="850" t="e">
        <f>+#REF!-#REF!-#REF!-#REF!-#REF!</f>
        <v>#REF!</v>
      </c>
      <c r="K35" s="851"/>
    </row>
    <row r="36" hidden="1" spans="10:11">
      <c r="J36" s="850" t="e">
        <f>+#REF!-#REF!-#REF!-#REF!-#REF!</f>
        <v>#REF!</v>
      </c>
      <c r="K36" s="851"/>
    </row>
    <row r="37" hidden="1" spans="7:11">
      <c r="G37" s="810" t="e">
        <f>+#REF!*100/31733400</f>
        <v>#REF!</v>
      </c>
      <c r="H37" s="840"/>
      <c r="J37" s="850" t="e">
        <f>+#REF!-#REF!-#REF!-#REF!-#REF!</f>
        <v>#REF!</v>
      </c>
      <c r="K37" s="851"/>
    </row>
    <row r="38" hidden="1" spans="10:11">
      <c r="J38" s="850"/>
      <c r="K38" s="853" t="e">
        <f>+K29*100/J29</f>
        <v>#REF!</v>
      </c>
    </row>
    <row r="39" hidden="1" spans="7:7">
      <c r="G39" s="841"/>
    </row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 spans="6:6">
      <c r="F390" s="857">
        <v>32136900</v>
      </c>
    </row>
    <row r="391" hidden="1" spans="6:6">
      <c r="F391" s="857">
        <v>5000000</v>
      </c>
    </row>
    <row r="392" hidden="1" spans="6:7">
      <c r="F392" s="858">
        <f>SUM(F390:F391)</f>
        <v>37136900</v>
      </c>
      <c r="G392" s="847"/>
    </row>
    <row r="393" hidden="1"/>
    <row r="394" hidden="1" spans="6:6">
      <c r="F394" s="858"/>
    </row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2" spans="8:8">
      <c r="H672" s="847"/>
    </row>
  </sheetData>
  <mergeCells count="16">
    <mergeCell ref="A1:L1"/>
    <mergeCell ref="A2:L2"/>
    <mergeCell ref="A3:L3"/>
    <mergeCell ref="A4:L4"/>
    <mergeCell ref="D5:F5"/>
    <mergeCell ref="A21:C21"/>
    <mergeCell ref="A22:L22"/>
    <mergeCell ref="B23:L23"/>
    <mergeCell ref="B24:K24"/>
    <mergeCell ref="B25:K25"/>
    <mergeCell ref="B26:K26"/>
    <mergeCell ref="B27:K27"/>
    <mergeCell ref="B28:K28"/>
    <mergeCell ref="A5:A7"/>
    <mergeCell ref="B5:B7"/>
    <mergeCell ref="C5:C7"/>
  </mergeCells>
  <printOptions horizontalCentered="1"/>
  <pageMargins left="0.393700787401575" right="0" top="0.748031496062992" bottom="0.393700787401575" header="0.31496062992126" footer="0.275590551181102"/>
  <pageSetup paperSize="9" scale="69" orientation="landscape"/>
  <headerFooter>
    <oddFooter>&amp;Lกลุ่มบริหารงานบัญชีและงบประมาณ&amp;Rหน้าที่ &amp;P จาก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M71"/>
  <sheetViews>
    <sheetView zoomScale="70" zoomScaleNormal="70" topLeftCell="A50" workbookViewId="0">
      <selection activeCell="A23" sqref="$A23:$XFD52"/>
    </sheetView>
  </sheetViews>
  <sheetFormatPr defaultColWidth="9" defaultRowHeight="21"/>
  <cols>
    <col min="1" max="1" width="8" style="4" customWidth="1"/>
    <col min="2" max="2" width="29.2857142857143" style="5" customWidth="1"/>
    <col min="3" max="3" width="12.7142857142857" style="6" customWidth="1"/>
    <col min="4" max="4" width="11.8571428571429" style="6" customWidth="1"/>
    <col min="5" max="5" width="21.4285714285714" style="7" customWidth="1"/>
    <col min="6" max="6" width="12.4285714285714" style="6" customWidth="1"/>
    <col min="7" max="7" width="36.1428571428571" style="8" customWidth="1"/>
    <col min="8" max="8" width="18.8571428571429" style="5" customWidth="1"/>
    <col min="9" max="9" width="18.1428571428571" style="5" customWidth="1"/>
    <col min="10" max="10" width="18.8571428571429" style="9" customWidth="1"/>
    <col min="11" max="11" width="9.28571428571429" style="10" customWidth="1"/>
    <col min="12" max="12" width="16.5714285714286" style="11" customWidth="1"/>
    <col min="13" max="13" width="34.8571428571429" style="10" customWidth="1"/>
    <col min="14" max="79" width="9.14285714285714" style="5"/>
    <col min="80" max="80" width="6.42857142857143" style="5" customWidth="1"/>
    <col min="81" max="81" width="32" style="5" customWidth="1"/>
    <col min="82" max="82" width="14.5714285714286" style="5" customWidth="1"/>
    <col min="83" max="83" width="12.4285714285714" style="5" customWidth="1"/>
    <col min="84" max="84" width="51.2857142857143" style="5" customWidth="1"/>
    <col min="85" max="85" width="14.8571428571429" style="5" customWidth="1"/>
    <col min="86" max="86" width="25" style="5" customWidth="1"/>
    <col min="87" max="88" width="12.2857142857143" style="5" customWidth="1"/>
    <col min="89" max="89" width="24.7142857142857" style="5" customWidth="1"/>
    <col min="90" max="90" width="15" style="5" customWidth="1"/>
    <col min="91" max="335" width="9.14285714285714" style="5"/>
    <col min="336" max="336" width="6.42857142857143" style="5" customWidth="1"/>
    <col min="337" max="337" width="32" style="5" customWidth="1"/>
    <col min="338" max="338" width="14.5714285714286" style="5" customWidth="1"/>
    <col min="339" max="339" width="12.4285714285714" style="5" customWidth="1"/>
    <col min="340" max="340" width="51.2857142857143" style="5" customWidth="1"/>
    <col min="341" max="341" width="14.8571428571429" style="5" customWidth="1"/>
    <col min="342" max="342" width="25" style="5" customWidth="1"/>
    <col min="343" max="344" width="12.2857142857143" style="5" customWidth="1"/>
    <col min="345" max="345" width="24.7142857142857" style="5" customWidth="1"/>
    <col min="346" max="346" width="15" style="5" customWidth="1"/>
    <col min="347" max="591" width="9.14285714285714" style="5"/>
    <col min="592" max="592" width="6.42857142857143" style="5" customWidth="1"/>
    <col min="593" max="593" width="32" style="5" customWidth="1"/>
    <col min="594" max="594" width="14.5714285714286" style="5" customWidth="1"/>
    <col min="595" max="595" width="12.4285714285714" style="5" customWidth="1"/>
    <col min="596" max="596" width="51.2857142857143" style="5" customWidth="1"/>
    <col min="597" max="597" width="14.8571428571429" style="5" customWidth="1"/>
    <col min="598" max="598" width="25" style="5" customWidth="1"/>
    <col min="599" max="600" width="12.2857142857143" style="5" customWidth="1"/>
    <col min="601" max="601" width="24.7142857142857" style="5" customWidth="1"/>
    <col min="602" max="602" width="15" style="5" customWidth="1"/>
    <col min="603" max="847" width="9.14285714285714" style="5"/>
    <col min="848" max="848" width="6.42857142857143" style="5" customWidth="1"/>
    <col min="849" max="849" width="32" style="5" customWidth="1"/>
    <col min="850" max="850" width="14.5714285714286" style="5" customWidth="1"/>
    <col min="851" max="851" width="12.4285714285714" style="5" customWidth="1"/>
    <col min="852" max="852" width="51.2857142857143" style="5" customWidth="1"/>
    <col min="853" max="853" width="14.8571428571429" style="5" customWidth="1"/>
    <col min="854" max="854" width="25" style="5" customWidth="1"/>
    <col min="855" max="856" width="12.2857142857143" style="5" customWidth="1"/>
    <col min="857" max="857" width="24.7142857142857" style="5" customWidth="1"/>
    <col min="858" max="858" width="15" style="5" customWidth="1"/>
    <col min="859" max="1103" width="9.14285714285714" style="5"/>
    <col min="1104" max="1104" width="6.42857142857143" style="5" customWidth="1"/>
    <col min="1105" max="1105" width="32" style="5" customWidth="1"/>
    <col min="1106" max="1106" width="14.5714285714286" style="5" customWidth="1"/>
    <col min="1107" max="1107" width="12.4285714285714" style="5" customWidth="1"/>
    <col min="1108" max="1108" width="51.2857142857143" style="5" customWidth="1"/>
    <col min="1109" max="1109" width="14.8571428571429" style="5" customWidth="1"/>
    <col min="1110" max="1110" width="25" style="5" customWidth="1"/>
    <col min="1111" max="1112" width="12.2857142857143" style="5" customWidth="1"/>
    <col min="1113" max="1113" width="24.7142857142857" style="5" customWidth="1"/>
    <col min="1114" max="1114" width="15" style="5" customWidth="1"/>
    <col min="1115" max="1359" width="9.14285714285714" style="5"/>
    <col min="1360" max="1360" width="6.42857142857143" style="5" customWidth="1"/>
    <col min="1361" max="1361" width="32" style="5" customWidth="1"/>
    <col min="1362" max="1362" width="14.5714285714286" style="5" customWidth="1"/>
    <col min="1363" max="1363" width="12.4285714285714" style="5" customWidth="1"/>
    <col min="1364" max="1364" width="51.2857142857143" style="5" customWidth="1"/>
    <col min="1365" max="1365" width="14.8571428571429" style="5" customWidth="1"/>
    <col min="1366" max="1366" width="25" style="5" customWidth="1"/>
    <col min="1367" max="1368" width="12.2857142857143" style="5" customWidth="1"/>
    <col min="1369" max="1369" width="24.7142857142857" style="5" customWidth="1"/>
    <col min="1370" max="1370" width="15" style="5" customWidth="1"/>
    <col min="1371" max="1615" width="9.14285714285714" style="5"/>
    <col min="1616" max="1616" width="6.42857142857143" style="5" customWidth="1"/>
    <col min="1617" max="1617" width="32" style="5" customWidth="1"/>
    <col min="1618" max="1618" width="14.5714285714286" style="5" customWidth="1"/>
    <col min="1619" max="1619" width="12.4285714285714" style="5" customWidth="1"/>
    <col min="1620" max="1620" width="51.2857142857143" style="5" customWidth="1"/>
    <col min="1621" max="1621" width="14.8571428571429" style="5" customWidth="1"/>
    <col min="1622" max="1622" width="25" style="5" customWidth="1"/>
    <col min="1623" max="1624" width="12.2857142857143" style="5" customWidth="1"/>
    <col min="1625" max="1625" width="24.7142857142857" style="5" customWidth="1"/>
    <col min="1626" max="1626" width="15" style="5" customWidth="1"/>
    <col min="1627" max="1871" width="9.14285714285714" style="5"/>
    <col min="1872" max="1872" width="6.42857142857143" style="5" customWidth="1"/>
    <col min="1873" max="1873" width="32" style="5" customWidth="1"/>
    <col min="1874" max="1874" width="14.5714285714286" style="5" customWidth="1"/>
    <col min="1875" max="1875" width="12.4285714285714" style="5" customWidth="1"/>
    <col min="1876" max="1876" width="51.2857142857143" style="5" customWidth="1"/>
    <col min="1877" max="1877" width="14.8571428571429" style="5" customWidth="1"/>
    <col min="1878" max="1878" width="25" style="5" customWidth="1"/>
    <col min="1879" max="1880" width="12.2857142857143" style="5" customWidth="1"/>
    <col min="1881" max="1881" width="24.7142857142857" style="5" customWidth="1"/>
    <col min="1882" max="1882" width="15" style="5" customWidth="1"/>
    <col min="1883" max="2127" width="9.14285714285714" style="5"/>
    <col min="2128" max="2128" width="6.42857142857143" style="5" customWidth="1"/>
    <col min="2129" max="2129" width="32" style="5" customWidth="1"/>
    <col min="2130" max="2130" width="14.5714285714286" style="5" customWidth="1"/>
    <col min="2131" max="2131" width="12.4285714285714" style="5" customWidth="1"/>
    <col min="2132" max="2132" width="51.2857142857143" style="5" customWidth="1"/>
    <col min="2133" max="2133" width="14.8571428571429" style="5" customWidth="1"/>
    <col min="2134" max="2134" width="25" style="5" customWidth="1"/>
    <col min="2135" max="2136" width="12.2857142857143" style="5" customWidth="1"/>
    <col min="2137" max="2137" width="24.7142857142857" style="5" customWidth="1"/>
    <col min="2138" max="2138" width="15" style="5" customWidth="1"/>
    <col min="2139" max="2383" width="9.14285714285714" style="5"/>
    <col min="2384" max="2384" width="6.42857142857143" style="5" customWidth="1"/>
    <col min="2385" max="2385" width="32" style="5" customWidth="1"/>
    <col min="2386" max="2386" width="14.5714285714286" style="5" customWidth="1"/>
    <col min="2387" max="2387" width="12.4285714285714" style="5" customWidth="1"/>
    <col min="2388" max="2388" width="51.2857142857143" style="5" customWidth="1"/>
    <col min="2389" max="2389" width="14.8571428571429" style="5" customWidth="1"/>
    <col min="2390" max="2390" width="25" style="5" customWidth="1"/>
    <col min="2391" max="2392" width="12.2857142857143" style="5" customWidth="1"/>
    <col min="2393" max="2393" width="24.7142857142857" style="5" customWidth="1"/>
    <col min="2394" max="2394" width="15" style="5" customWidth="1"/>
    <col min="2395" max="2639" width="9.14285714285714" style="5"/>
    <col min="2640" max="2640" width="6.42857142857143" style="5" customWidth="1"/>
    <col min="2641" max="2641" width="32" style="5" customWidth="1"/>
    <col min="2642" max="2642" width="14.5714285714286" style="5" customWidth="1"/>
    <col min="2643" max="2643" width="12.4285714285714" style="5" customWidth="1"/>
    <col min="2644" max="2644" width="51.2857142857143" style="5" customWidth="1"/>
    <col min="2645" max="2645" width="14.8571428571429" style="5" customWidth="1"/>
    <col min="2646" max="2646" width="25" style="5" customWidth="1"/>
    <col min="2647" max="2648" width="12.2857142857143" style="5" customWidth="1"/>
    <col min="2649" max="2649" width="24.7142857142857" style="5" customWidth="1"/>
    <col min="2650" max="2650" width="15" style="5" customWidth="1"/>
    <col min="2651" max="2895" width="9.14285714285714" style="5"/>
    <col min="2896" max="2896" width="6.42857142857143" style="5" customWidth="1"/>
    <col min="2897" max="2897" width="32" style="5" customWidth="1"/>
    <col min="2898" max="2898" width="14.5714285714286" style="5" customWidth="1"/>
    <col min="2899" max="2899" width="12.4285714285714" style="5" customWidth="1"/>
    <col min="2900" max="2900" width="51.2857142857143" style="5" customWidth="1"/>
    <col min="2901" max="2901" width="14.8571428571429" style="5" customWidth="1"/>
    <col min="2902" max="2902" width="25" style="5" customWidth="1"/>
    <col min="2903" max="2904" width="12.2857142857143" style="5" customWidth="1"/>
    <col min="2905" max="2905" width="24.7142857142857" style="5" customWidth="1"/>
    <col min="2906" max="2906" width="15" style="5" customWidth="1"/>
    <col min="2907" max="3151" width="9.14285714285714" style="5"/>
    <col min="3152" max="3152" width="6.42857142857143" style="5" customWidth="1"/>
    <col min="3153" max="3153" width="32" style="5" customWidth="1"/>
    <col min="3154" max="3154" width="14.5714285714286" style="5" customWidth="1"/>
    <col min="3155" max="3155" width="12.4285714285714" style="5" customWidth="1"/>
    <col min="3156" max="3156" width="51.2857142857143" style="5" customWidth="1"/>
    <col min="3157" max="3157" width="14.8571428571429" style="5" customWidth="1"/>
    <col min="3158" max="3158" width="25" style="5" customWidth="1"/>
    <col min="3159" max="3160" width="12.2857142857143" style="5" customWidth="1"/>
    <col min="3161" max="3161" width="24.7142857142857" style="5" customWidth="1"/>
    <col min="3162" max="3162" width="15" style="5" customWidth="1"/>
    <col min="3163" max="3407" width="9.14285714285714" style="5"/>
    <col min="3408" max="3408" width="6.42857142857143" style="5" customWidth="1"/>
    <col min="3409" max="3409" width="32" style="5" customWidth="1"/>
    <col min="3410" max="3410" width="14.5714285714286" style="5" customWidth="1"/>
    <col min="3411" max="3411" width="12.4285714285714" style="5" customWidth="1"/>
    <col min="3412" max="3412" width="51.2857142857143" style="5" customWidth="1"/>
    <col min="3413" max="3413" width="14.8571428571429" style="5" customWidth="1"/>
    <col min="3414" max="3414" width="25" style="5" customWidth="1"/>
    <col min="3415" max="3416" width="12.2857142857143" style="5" customWidth="1"/>
    <col min="3417" max="3417" width="24.7142857142857" style="5" customWidth="1"/>
    <col min="3418" max="3418" width="15" style="5" customWidth="1"/>
    <col min="3419" max="3663" width="9.14285714285714" style="5"/>
    <col min="3664" max="3664" width="6.42857142857143" style="5" customWidth="1"/>
    <col min="3665" max="3665" width="32" style="5" customWidth="1"/>
    <col min="3666" max="3666" width="14.5714285714286" style="5" customWidth="1"/>
    <col min="3667" max="3667" width="12.4285714285714" style="5" customWidth="1"/>
    <col min="3668" max="3668" width="51.2857142857143" style="5" customWidth="1"/>
    <col min="3669" max="3669" width="14.8571428571429" style="5" customWidth="1"/>
    <col min="3670" max="3670" width="25" style="5" customWidth="1"/>
    <col min="3671" max="3672" width="12.2857142857143" style="5" customWidth="1"/>
    <col min="3673" max="3673" width="24.7142857142857" style="5" customWidth="1"/>
    <col min="3674" max="3674" width="15" style="5" customWidth="1"/>
    <col min="3675" max="3919" width="9.14285714285714" style="5"/>
    <col min="3920" max="3920" width="6.42857142857143" style="5" customWidth="1"/>
    <col min="3921" max="3921" width="32" style="5" customWidth="1"/>
    <col min="3922" max="3922" width="14.5714285714286" style="5" customWidth="1"/>
    <col min="3923" max="3923" width="12.4285714285714" style="5" customWidth="1"/>
    <col min="3924" max="3924" width="51.2857142857143" style="5" customWidth="1"/>
    <col min="3925" max="3925" width="14.8571428571429" style="5" customWidth="1"/>
    <col min="3926" max="3926" width="25" style="5" customWidth="1"/>
    <col min="3927" max="3928" width="12.2857142857143" style="5" customWidth="1"/>
    <col min="3929" max="3929" width="24.7142857142857" style="5" customWidth="1"/>
    <col min="3930" max="3930" width="15" style="5" customWidth="1"/>
    <col min="3931" max="4175" width="9.14285714285714" style="5"/>
    <col min="4176" max="4176" width="6.42857142857143" style="5" customWidth="1"/>
    <col min="4177" max="4177" width="32" style="5" customWidth="1"/>
    <col min="4178" max="4178" width="14.5714285714286" style="5" customWidth="1"/>
    <col min="4179" max="4179" width="12.4285714285714" style="5" customWidth="1"/>
    <col min="4180" max="4180" width="51.2857142857143" style="5" customWidth="1"/>
    <col min="4181" max="4181" width="14.8571428571429" style="5" customWidth="1"/>
    <col min="4182" max="4182" width="25" style="5" customWidth="1"/>
    <col min="4183" max="4184" width="12.2857142857143" style="5" customWidth="1"/>
    <col min="4185" max="4185" width="24.7142857142857" style="5" customWidth="1"/>
    <col min="4186" max="4186" width="15" style="5" customWidth="1"/>
    <col min="4187" max="4431" width="9.14285714285714" style="5"/>
    <col min="4432" max="4432" width="6.42857142857143" style="5" customWidth="1"/>
    <col min="4433" max="4433" width="32" style="5" customWidth="1"/>
    <col min="4434" max="4434" width="14.5714285714286" style="5" customWidth="1"/>
    <col min="4435" max="4435" width="12.4285714285714" style="5" customWidth="1"/>
    <col min="4436" max="4436" width="51.2857142857143" style="5" customWidth="1"/>
    <col min="4437" max="4437" width="14.8571428571429" style="5" customWidth="1"/>
    <col min="4438" max="4438" width="25" style="5" customWidth="1"/>
    <col min="4439" max="4440" width="12.2857142857143" style="5" customWidth="1"/>
    <col min="4441" max="4441" width="24.7142857142857" style="5" customWidth="1"/>
    <col min="4442" max="4442" width="15" style="5" customWidth="1"/>
    <col min="4443" max="4687" width="9.14285714285714" style="5"/>
    <col min="4688" max="4688" width="6.42857142857143" style="5" customWidth="1"/>
    <col min="4689" max="4689" width="32" style="5" customWidth="1"/>
    <col min="4690" max="4690" width="14.5714285714286" style="5" customWidth="1"/>
    <col min="4691" max="4691" width="12.4285714285714" style="5" customWidth="1"/>
    <col min="4692" max="4692" width="51.2857142857143" style="5" customWidth="1"/>
    <col min="4693" max="4693" width="14.8571428571429" style="5" customWidth="1"/>
    <col min="4694" max="4694" width="25" style="5" customWidth="1"/>
    <col min="4695" max="4696" width="12.2857142857143" style="5" customWidth="1"/>
    <col min="4697" max="4697" width="24.7142857142857" style="5" customWidth="1"/>
    <col min="4698" max="4698" width="15" style="5" customWidth="1"/>
    <col min="4699" max="4943" width="9.14285714285714" style="5"/>
    <col min="4944" max="4944" width="6.42857142857143" style="5" customWidth="1"/>
    <col min="4945" max="4945" width="32" style="5" customWidth="1"/>
    <col min="4946" max="4946" width="14.5714285714286" style="5" customWidth="1"/>
    <col min="4947" max="4947" width="12.4285714285714" style="5" customWidth="1"/>
    <col min="4948" max="4948" width="51.2857142857143" style="5" customWidth="1"/>
    <col min="4949" max="4949" width="14.8571428571429" style="5" customWidth="1"/>
    <col min="4950" max="4950" width="25" style="5" customWidth="1"/>
    <col min="4951" max="4952" width="12.2857142857143" style="5" customWidth="1"/>
    <col min="4953" max="4953" width="24.7142857142857" style="5" customWidth="1"/>
    <col min="4954" max="4954" width="15" style="5" customWidth="1"/>
    <col min="4955" max="5199" width="9.14285714285714" style="5"/>
    <col min="5200" max="5200" width="6.42857142857143" style="5" customWidth="1"/>
    <col min="5201" max="5201" width="32" style="5" customWidth="1"/>
    <col min="5202" max="5202" width="14.5714285714286" style="5" customWidth="1"/>
    <col min="5203" max="5203" width="12.4285714285714" style="5" customWidth="1"/>
    <col min="5204" max="5204" width="51.2857142857143" style="5" customWidth="1"/>
    <col min="5205" max="5205" width="14.8571428571429" style="5" customWidth="1"/>
    <col min="5206" max="5206" width="25" style="5" customWidth="1"/>
    <col min="5207" max="5208" width="12.2857142857143" style="5" customWidth="1"/>
    <col min="5209" max="5209" width="24.7142857142857" style="5" customWidth="1"/>
    <col min="5210" max="5210" width="15" style="5" customWidth="1"/>
    <col min="5211" max="5455" width="9.14285714285714" style="5"/>
    <col min="5456" max="5456" width="6.42857142857143" style="5" customWidth="1"/>
    <col min="5457" max="5457" width="32" style="5" customWidth="1"/>
    <col min="5458" max="5458" width="14.5714285714286" style="5" customWidth="1"/>
    <col min="5459" max="5459" width="12.4285714285714" style="5" customWidth="1"/>
    <col min="5460" max="5460" width="51.2857142857143" style="5" customWidth="1"/>
    <col min="5461" max="5461" width="14.8571428571429" style="5" customWidth="1"/>
    <col min="5462" max="5462" width="25" style="5" customWidth="1"/>
    <col min="5463" max="5464" width="12.2857142857143" style="5" customWidth="1"/>
    <col min="5465" max="5465" width="24.7142857142857" style="5" customWidth="1"/>
    <col min="5466" max="5466" width="15" style="5" customWidth="1"/>
    <col min="5467" max="5711" width="9.14285714285714" style="5"/>
    <col min="5712" max="5712" width="6.42857142857143" style="5" customWidth="1"/>
    <col min="5713" max="5713" width="32" style="5" customWidth="1"/>
    <col min="5714" max="5714" width="14.5714285714286" style="5" customWidth="1"/>
    <col min="5715" max="5715" width="12.4285714285714" style="5" customWidth="1"/>
    <col min="5716" max="5716" width="51.2857142857143" style="5" customWidth="1"/>
    <col min="5717" max="5717" width="14.8571428571429" style="5" customWidth="1"/>
    <col min="5718" max="5718" width="25" style="5" customWidth="1"/>
    <col min="5719" max="5720" width="12.2857142857143" style="5" customWidth="1"/>
    <col min="5721" max="5721" width="24.7142857142857" style="5" customWidth="1"/>
    <col min="5722" max="5722" width="15" style="5" customWidth="1"/>
    <col min="5723" max="5967" width="9.14285714285714" style="5"/>
    <col min="5968" max="5968" width="6.42857142857143" style="5" customWidth="1"/>
    <col min="5969" max="5969" width="32" style="5" customWidth="1"/>
    <col min="5970" max="5970" width="14.5714285714286" style="5" customWidth="1"/>
    <col min="5971" max="5971" width="12.4285714285714" style="5" customWidth="1"/>
    <col min="5972" max="5972" width="51.2857142857143" style="5" customWidth="1"/>
    <col min="5973" max="5973" width="14.8571428571429" style="5" customWidth="1"/>
    <col min="5974" max="5974" width="25" style="5" customWidth="1"/>
    <col min="5975" max="5976" width="12.2857142857143" style="5" customWidth="1"/>
    <col min="5977" max="5977" width="24.7142857142857" style="5" customWidth="1"/>
    <col min="5978" max="5978" width="15" style="5" customWidth="1"/>
    <col min="5979" max="6223" width="9.14285714285714" style="5"/>
    <col min="6224" max="6224" width="6.42857142857143" style="5" customWidth="1"/>
    <col min="6225" max="6225" width="32" style="5" customWidth="1"/>
    <col min="6226" max="6226" width="14.5714285714286" style="5" customWidth="1"/>
    <col min="6227" max="6227" width="12.4285714285714" style="5" customWidth="1"/>
    <col min="6228" max="6228" width="51.2857142857143" style="5" customWidth="1"/>
    <col min="6229" max="6229" width="14.8571428571429" style="5" customWidth="1"/>
    <col min="6230" max="6230" width="25" style="5" customWidth="1"/>
    <col min="6231" max="6232" width="12.2857142857143" style="5" customWidth="1"/>
    <col min="6233" max="6233" width="24.7142857142857" style="5" customWidth="1"/>
    <col min="6234" max="6234" width="15" style="5" customWidth="1"/>
    <col min="6235" max="6479" width="9.14285714285714" style="5"/>
    <col min="6480" max="6480" width="6.42857142857143" style="5" customWidth="1"/>
    <col min="6481" max="6481" width="32" style="5" customWidth="1"/>
    <col min="6482" max="6482" width="14.5714285714286" style="5" customWidth="1"/>
    <col min="6483" max="6483" width="12.4285714285714" style="5" customWidth="1"/>
    <col min="6484" max="6484" width="51.2857142857143" style="5" customWidth="1"/>
    <col min="6485" max="6485" width="14.8571428571429" style="5" customWidth="1"/>
    <col min="6486" max="6486" width="25" style="5" customWidth="1"/>
    <col min="6487" max="6488" width="12.2857142857143" style="5" customWidth="1"/>
    <col min="6489" max="6489" width="24.7142857142857" style="5" customWidth="1"/>
    <col min="6490" max="6490" width="15" style="5" customWidth="1"/>
    <col min="6491" max="6735" width="9.14285714285714" style="5"/>
    <col min="6736" max="6736" width="6.42857142857143" style="5" customWidth="1"/>
    <col min="6737" max="6737" width="32" style="5" customWidth="1"/>
    <col min="6738" max="6738" width="14.5714285714286" style="5" customWidth="1"/>
    <col min="6739" max="6739" width="12.4285714285714" style="5" customWidth="1"/>
    <col min="6740" max="6740" width="51.2857142857143" style="5" customWidth="1"/>
    <col min="6741" max="6741" width="14.8571428571429" style="5" customWidth="1"/>
    <col min="6742" max="6742" width="25" style="5" customWidth="1"/>
    <col min="6743" max="6744" width="12.2857142857143" style="5" customWidth="1"/>
    <col min="6745" max="6745" width="24.7142857142857" style="5" customWidth="1"/>
    <col min="6746" max="6746" width="15" style="5" customWidth="1"/>
    <col min="6747" max="6991" width="9.14285714285714" style="5"/>
    <col min="6992" max="6992" width="6.42857142857143" style="5" customWidth="1"/>
    <col min="6993" max="6993" width="32" style="5" customWidth="1"/>
    <col min="6994" max="6994" width="14.5714285714286" style="5" customWidth="1"/>
    <col min="6995" max="6995" width="12.4285714285714" style="5" customWidth="1"/>
    <col min="6996" max="6996" width="51.2857142857143" style="5" customWidth="1"/>
    <col min="6997" max="6997" width="14.8571428571429" style="5" customWidth="1"/>
    <col min="6998" max="6998" width="25" style="5" customWidth="1"/>
    <col min="6999" max="7000" width="12.2857142857143" style="5" customWidth="1"/>
    <col min="7001" max="7001" width="24.7142857142857" style="5" customWidth="1"/>
    <col min="7002" max="7002" width="15" style="5" customWidth="1"/>
    <col min="7003" max="7247" width="9.14285714285714" style="5"/>
    <col min="7248" max="7248" width="6.42857142857143" style="5" customWidth="1"/>
    <col min="7249" max="7249" width="32" style="5" customWidth="1"/>
    <col min="7250" max="7250" width="14.5714285714286" style="5" customWidth="1"/>
    <col min="7251" max="7251" width="12.4285714285714" style="5" customWidth="1"/>
    <col min="7252" max="7252" width="51.2857142857143" style="5" customWidth="1"/>
    <col min="7253" max="7253" width="14.8571428571429" style="5" customWidth="1"/>
    <col min="7254" max="7254" width="25" style="5" customWidth="1"/>
    <col min="7255" max="7256" width="12.2857142857143" style="5" customWidth="1"/>
    <col min="7257" max="7257" width="24.7142857142857" style="5" customWidth="1"/>
    <col min="7258" max="7258" width="15" style="5" customWidth="1"/>
    <col min="7259" max="7503" width="9.14285714285714" style="5"/>
    <col min="7504" max="7504" width="6.42857142857143" style="5" customWidth="1"/>
    <col min="7505" max="7505" width="32" style="5" customWidth="1"/>
    <col min="7506" max="7506" width="14.5714285714286" style="5" customWidth="1"/>
    <col min="7507" max="7507" width="12.4285714285714" style="5" customWidth="1"/>
    <col min="7508" max="7508" width="51.2857142857143" style="5" customWidth="1"/>
    <col min="7509" max="7509" width="14.8571428571429" style="5" customWidth="1"/>
    <col min="7510" max="7510" width="25" style="5" customWidth="1"/>
    <col min="7511" max="7512" width="12.2857142857143" style="5" customWidth="1"/>
    <col min="7513" max="7513" width="24.7142857142857" style="5" customWidth="1"/>
    <col min="7514" max="7514" width="15" style="5" customWidth="1"/>
    <col min="7515" max="7759" width="9.14285714285714" style="5"/>
    <col min="7760" max="7760" width="6.42857142857143" style="5" customWidth="1"/>
    <col min="7761" max="7761" width="32" style="5" customWidth="1"/>
    <col min="7762" max="7762" width="14.5714285714286" style="5" customWidth="1"/>
    <col min="7763" max="7763" width="12.4285714285714" style="5" customWidth="1"/>
    <col min="7764" max="7764" width="51.2857142857143" style="5" customWidth="1"/>
    <col min="7765" max="7765" width="14.8571428571429" style="5" customWidth="1"/>
    <col min="7766" max="7766" width="25" style="5" customWidth="1"/>
    <col min="7767" max="7768" width="12.2857142857143" style="5" customWidth="1"/>
    <col min="7769" max="7769" width="24.7142857142857" style="5" customWidth="1"/>
    <col min="7770" max="7770" width="15" style="5" customWidth="1"/>
    <col min="7771" max="8015" width="9.14285714285714" style="5"/>
    <col min="8016" max="8016" width="6.42857142857143" style="5" customWidth="1"/>
    <col min="8017" max="8017" width="32" style="5" customWidth="1"/>
    <col min="8018" max="8018" width="14.5714285714286" style="5" customWidth="1"/>
    <col min="8019" max="8019" width="12.4285714285714" style="5" customWidth="1"/>
    <col min="8020" max="8020" width="51.2857142857143" style="5" customWidth="1"/>
    <col min="8021" max="8021" width="14.8571428571429" style="5" customWidth="1"/>
    <col min="8022" max="8022" width="25" style="5" customWidth="1"/>
    <col min="8023" max="8024" width="12.2857142857143" style="5" customWidth="1"/>
    <col min="8025" max="8025" width="24.7142857142857" style="5" customWidth="1"/>
    <col min="8026" max="8026" width="15" style="5" customWidth="1"/>
    <col min="8027" max="8271" width="9.14285714285714" style="5"/>
    <col min="8272" max="8272" width="6.42857142857143" style="5" customWidth="1"/>
    <col min="8273" max="8273" width="32" style="5" customWidth="1"/>
    <col min="8274" max="8274" width="14.5714285714286" style="5" customWidth="1"/>
    <col min="8275" max="8275" width="12.4285714285714" style="5" customWidth="1"/>
    <col min="8276" max="8276" width="51.2857142857143" style="5" customWidth="1"/>
    <col min="8277" max="8277" width="14.8571428571429" style="5" customWidth="1"/>
    <col min="8278" max="8278" width="25" style="5" customWidth="1"/>
    <col min="8279" max="8280" width="12.2857142857143" style="5" customWidth="1"/>
    <col min="8281" max="8281" width="24.7142857142857" style="5" customWidth="1"/>
    <col min="8282" max="8282" width="15" style="5" customWidth="1"/>
    <col min="8283" max="8527" width="9.14285714285714" style="5"/>
    <col min="8528" max="8528" width="6.42857142857143" style="5" customWidth="1"/>
    <col min="8529" max="8529" width="32" style="5" customWidth="1"/>
    <col min="8530" max="8530" width="14.5714285714286" style="5" customWidth="1"/>
    <col min="8531" max="8531" width="12.4285714285714" style="5" customWidth="1"/>
    <col min="8532" max="8532" width="51.2857142857143" style="5" customWidth="1"/>
    <col min="8533" max="8533" width="14.8571428571429" style="5" customWidth="1"/>
    <col min="8534" max="8534" width="25" style="5" customWidth="1"/>
    <col min="8535" max="8536" width="12.2857142857143" style="5" customWidth="1"/>
    <col min="8537" max="8537" width="24.7142857142857" style="5" customWidth="1"/>
    <col min="8538" max="8538" width="15" style="5" customWidth="1"/>
    <col min="8539" max="8783" width="9.14285714285714" style="5"/>
    <col min="8784" max="8784" width="6.42857142857143" style="5" customWidth="1"/>
    <col min="8785" max="8785" width="32" style="5" customWidth="1"/>
    <col min="8786" max="8786" width="14.5714285714286" style="5" customWidth="1"/>
    <col min="8787" max="8787" width="12.4285714285714" style="5" customWidth="1"/>
    <col min="8788" max="8788" width="51.2857142857143" style="5" customWidth="1"/>
    <col min="8789" max="8789" width="14.8571428571429" style="5" customWidth="1"/>
    <col min="8790" max="8790" width="25" style="5" customWidth="1"/>
    <col min="8791" max="8792" width="12.2857142857143" style="5" customWidth="1"/>
    <col min="8793" max="8793" width="24.7142857142857" style="5" customWidth="1"/>
    <col min="8794" max="8794" width="15" style="5" customWidth="1"/>
    <col min="8795" max="9039" width="9.14285714285714" style="5"/>
    <col min="9040" max="9040" width="6.42857142857143" style="5" customWidth="1"/>
    <col min="9041" max="9041" width="32" style="5" customWidth="1"/>
    <col min="9042" max="9042" width="14.5714285714286" style="5" customWidth="1"/>
    <col min="9043" max="9043" width="12.4285714285714" style="5" customWidth="1"/>
    <col min="9044" max="9044" width="51.2857142857143" style="5" customWidth="1"/>
    <col min="9045" max="9045" width="14.8571428571429" style="5" customWidth="1"/>
    <col min="9046" max="9046" width="25" style="5" customWidth="1"/>
    <col min="9047" max="9048" width="12.2857142857143" style="5" customWidth="1"/>
    <col min="9049" max="9049" width="24.7142857142857" style="5" customWidth="1"/>
    <col min="9050" max="9050" width="15" style="5" customWidth="1"/>
    <col min="9051" max="9295" width="9.14285714285714" style="5"/>
    <col min="9296" max="9296" width="6.42857142857143" style="5" customWidth="1"/>
    <col min="9297" max="9297" width="32" style="5" customWidth="1"/>
    <col min="9298" max="9298" width="14.5714285714286" style="5" customWidth="1"/>
    <col min="9299" max="9299" width="12.4285714285714" style="5" customWidth="1"/>
    <col min="9300" max="9300" width="51.2857142857143" style="5" customWidth="1"/>
    <col min="9301" max="9301" width="14.8571428571429" style="5" customWidth="1"/>
    <col min="9302" max="9302" width="25" style="5" customWidth="1"/>
    <col min="9303" max="9304" width="12.2857142857143" style="5" customWidth="1"/>
    <col min="9305" max="9305" width="24.7142857142857" style="5" customWidth="1"/>
    <col min="9306" max="9306" width="15" style="5" customWidth="1"/>
    <col min="9307" max="9551" width="9.14285714285714" style="5"/>
    <col min="9552" max="9552" width="6.42857142857143" style="5" customWidth="1"/>
    <col min="9553" max="9553" width="32" style="5" customWidth="1"/>
    <col min="9554" max="9554" width="14.5714285714286" style="5" customWidth="1"/>
    <col min="9555" max="9555" width="12.4285714285714" style="5" customWidth="1"/>
    <col min="9556" max="9556" width="51.2857142857143" style="5" customWidth="1"/>
    <col min="9557" max="9557" width="14.8571428571429" style="5" customWidth="1"/>
    <col min="9558" max="9558" width="25" style="5" customWidth="1"/>
    <col min="9559" max="9560" width="12.2857142857143" style="5" customWidth="1"/>
    <col min="9561" max="9561" width="24.7142857142857" style="5" customWidth="1"/>
    <col min="9562" max="9562" width="15" style="5" customWidth="1"/>
    <col min="9563" max="9807" width="9.14285714285714" style="5"/>
    <col min="9808" max="9808" width="6.42857142857143" style="5" customWidth="1"/>
    <col min="9809" max="9809" width="32" style="5" customWidth="1"/>
    <col min="9810" max="9810" width="14.5714285714286" style="5" customWidth="1"/>
    <col min="9811" max="9811" width="12.4285714285714" style="5" customWidth="1"/>
    <col min="9812" max="9812" width="51.2857142857143" style="5" customWidth="1"/>
    <col min="9813" max="9813" width="14.8571428571429" style="5" customWidth="1"/>
    <col min="9814" max="9814" width="25" style="5" customWidth="1"/>
    <col min="9815" max="9816" width="12.2857142857143" style="5" customWidth="1"/>
    <col min="9817" max="9817" width="24.7142857142857" style="5" customWidth="1"/>
    <col min="9818" max="9818" width="15" style="5" customWidth="1"/>
    <col min="9819" max="10063" width="9.14285714285714" style="5"/>
    <col min="10064" max="10064" width="6.42857142857143" style="5" customWidth="1"/>
    <col min="10065" max="10065" width="32" style="5" customWidth="1"/>
    <col min="10066" max="10066" width="14.5714285714286" style="5" customWidth="1"/>
    <col min="10067" max="10067" width="12.4285714285714" style="5" customWidth="1"/>
    <col min="10068" max="10068" width="51.2857142857143" style="5" customWidth="1"/>
    <col min="10069" max="10069" width="14.8571428571429" style="5" customWidth="1"/>
    <col min="10070" max="10070" width="25" style="5" customWidth="1"/>
    <col min="10071" max="10072" width="12.2857142857143" style="5" customWidth="1"/>
    <col min="10073" max="10073" width="24.7142857142857" style="5" customWidth="1"/>
    <col min="10074" max="10074" width="15" style="5" customWidth="1"/>
    <col min="10075" max="10319" width="9.14285714285714" style="5"/>
    <col min="10320" max="10320" width="6.42857142857143" style="5" customWidth="1"/>
    <col min="10321" max="10321" width="32" style="5" customWidth="1"/>
    <col min="10322" max="10322" width="14.5714285714286" style="5" customWidth="1"/>
    <col min="10323" max="10323" width="12.4285714285714" style="5" customWidth="1"/>
    <col min="10324" max="10324" width="51.2857142857143" style="5" customWidth="1"/>
    <col min="10325" max="10325" width="14.8571428571429" style="5" customWidth="1"/>
    <col min="10326" max="10326" width="25" style="5" customWidth="1"/>
    <col min="10327" max="10328" width="12.2857142857143" style="5" customWidth="1"/>
    <col min="10329" max="10329" width="24.7142857142857" style="5" customWidth="1"/>
    <col min="10330" max="10330" width="15" style="5" customWidth="1"/>
    <col min="10331" max="10575" width="9.14285714285714" style="5"/>
    <col min="10576" max="10576" width="6.42857142857143" style="5" customWidth="1"/>
    <col min="10577" max="10577" width="32" style="5" customWidth="1"/>
    <col min="10578" max="10578" width="14.5714285714286" style="5" customWidth="1"/>
    <col min="10579" max="10579" width="12.4285714285714" style="5" customWidth="1"/>
    <col min="10580" max="10580" width="51.2857142857143" style="5" customWidth="1"/>
    <col min="10581" max="10581" width="14.8571428571429" style="5" customWidth="1"/>
    <col min="10582" max="10582" width="25" style="5" customWidth="1"/>
    <col min="10583" max="10584" width="12.2857142857143" style="5" customWidth="1"/>
    <col min="10585" max="10585" width="24.7142857142857" style="5" customWidth="1"/>
    <col min="10586" max="10586" width="15" style="5" customWidth="1"/>
    <col min="10587" max="10831" width="9.14285714285714" style="5"/>
    <col min="10832" max="10832" width="6.42857142857143" style="5" customWidth="1"/>
    <col min="10833" max="10833" width="32" style="5" customWidth="1"/>
    <col min="10834" max="10834" width="14.5714285714286" style="5" customWidth="1"/>
    <col min="10835" max="10835" width="12.4285714285714" style="5" customWidth="1"/>
    <col min="10836" max="10836" width="51.2857142857143" style="5" customWidth="1"/>
    <col min="10837" max="10837" width="14.8571428571429" style="5" customWidth="1"/>
    <col min="10838" max="10838" width="25" style="5" customWidth="1"/>
    <col min="10839" max="10840" width="12.2857142857143" style="5" customWidth="1"/>
    <col min="10841" max="10841" width="24.7142857142857" style="5" customWidth="1"/>
    <col min="10842" max="10842" width="15" style="5" customWidth="1"/>
    <col min="10843" max="11087" width="9.14285714285714" style="5"/>
    <col min="11088" max="11088" width="6.42857142857143" style="5" customWidth="1"/>
    <col min="11089" max="11089" width="32" style="5" customWidth="1"/>
    <col min="11090" max="11090" width="14.5714285714286" style="5" customWidth="1"/>
    <col min="11091" max="11091" width="12.4285714285714" style="5" customWidth="1"/>
    <col min="11092" max="11092" width="51.2857142857143" style="5" customWidth="1"/>
    <col min="11093" max="11093" width="14.8571428571429" style="5" customWidth="1"/>
    <col min="11094" max="11094" width="25" style="5" customWidth="1"/>
    <col min="11095" max="11096" width="12.2857142857143" style="5" customWidth="1"/>
    <col min="11097" max="11097" width="24.7142857142857" style="5" customWidth="1"/>
    <col min="11098" max="11098" width="15" style="5" customWidth="1"/>
    <col min="11099" max="11343" width="9.14285714285714" style="5"/>
    <col min="11344" max="11344" width="6.42857142857143" style="5" customWidth="1"/>
    <col min="11345" max="11345" width="32" style="5" customWidth="1"/>
    <col min="11346" max="11346" width="14.5714285714286" style="5" customWidth="1"/>
    <col min="11347" max="11347" width="12.4285714285714" style="5" customWidth="1"/>
    <col min="11348" max="11348" width="51.2857142857143" style="5" customWidth="1"/>
    <col min="11349" max="11349" width="14.8571428571429" style="5" customWidth="1"/>
    <col min="11350" max="11350" width="25" style="5" customWidth="1"/>
    <col min="11351" max="11352" width="12.2857142857143" style="5" customWidth="1"/>
    <col min="11353" max="11353" width="24.7142857142857" style="5" customWidth="1"/>
    <col min="11354" max="11354" width="15" style="5" customWidth="1"/>
    <col min="11355" max="11599" width="9.14285714285714" style="5"/>
    <col min="11600" max="11600" width="6.42857142857143" style="5" customWidth="1"/>
    <col min="11601" max="11601" width="32" style="5" customWidth="1"/>
    <col min="11602" max="11602" width="14.5714285714286" style="5" customWidth="1"/>
    <col min="11603" max="11603" width="12.4285714285714" style="5" customWidth="1"/>
    <col min="11604" max="11604" width="51.2857142857143" style="5" customWidth="1"/>
    <col min="11605" max="11605" width="14.8571428571429" style="5" customWidth="1"/>
    <col min="11606" max="11606" width="25" style="5" customWidth="1"/>
    <col min="11607" max="11608" width="12.2857142857143" style="5" customWidth="1"/>
    <col min="11609" max="11609" width="24.7142857142857" style="5" customWidth="1"/>
    <col min="11610" max="11610" width="15" style="5" customWidth="1"/>
    <col min="11611" max="11855" width="9.14285714285714" style="5"/>
    <col min="11856" max="11856" width="6.42857142857143" style="5" customWidth="1"/>
    <col min="11857" max="11857" width="32" style="5" customWidth="1"/>
    <col min="11858" max="11858" width="14.5714285714286" style="5" customWidth="1"/>
    <col min="11859" max="11859" width="12.4285714285714" style="5" customWidth="1"/>
    <col min="11860" max="11860" width="51.2857142857143" style="5" customWidth="1"/>
    <col min="11861" max="11861" width="14.8571428571429" style="5" customWidth="1"/>
    <col min="11862" max="11862" width="25" style="5" customWidth="1"/>
    <col min="11863" max="11864" width="12.2857142857143" style="5" customWidth="1"/>
    <col min="11865" max="11865" width="24.7142857142857" style="5" customWidth="1"/>
    <col min="11866" max="11866" width="15" style="5" customWidth="1"/>
    <col min="11867" max="12111" width="9.14285714285714" style="5"/>
    <col min="12112" max="12112" width="6.42857142857143" style="5" customWidth="1"/>
    <col min="12113" max="12113" width="32" style="5" customWidth="1"/>
    <col min="12114" max="12114" width="14.5714285714286" style="5" customWidth="1"/>
    <col min="12115" max="12115" width="12.4285714285714" style="5" customWidth="1"/>
    <col min="12116" max="12116" width="51.2857142857143" style="5" customWidth="1"/>
    <col min="12117" max="12117" width="14.8571428571429" style="5" customWidth="1"/>
    <col min="12118" max="12118" width="25" style="5" customWidth="1"/>
    <col min="12119" max="12120" width="12.2857142857143" style="5" customWidth="1"/>
    <col min="12121" max="12121" width="24.7142857142857" style="5" customWidth="1"/>
    <col min="12122" max="12122" width="15" style="5" customWidth="1"/>
    <col min="12123" max="12367" width="9.14285714285714" style="5"/>
    <col min="12368" max="12368" width="6.42857142857143" style="5" customWidth="1"/>
    <col min="12369" max="12369" width="32" style="5" customWidth="1"/>
    <col min="12370" max="12370" width="14.5714285714286" style="5" customWidth="1"/>
    <col min="12371" max="12371" width="12.4285714285714" style="5" customWidth="1"/>
    <col min="12372" max="12372" width="51.2857142857143" style="5" customWidth="1"/>
    <col min="12373" max="12373" width="14.8571428571429" style="5" customWidth="1"/>
    <col min="12374" max="12374" width="25" style="5" customWidth="1"/>
    <col min="12375" max="12376" width="12.2857142857143" style="5" customWidth="1"/>
    <col min="12377" max="12377" width="24.7142857142857" style="5" customWidth="1"/>
    <col min="12378" max="12378" width="15" style="5" customWidth="1"/>
    <col min="12379" max="12623" width="9.14285714285714" style="5"/>
    <col min="12624" max="12624" width="6.42857142857143" style="5" customWidth="1"/>
    <col min="12625" max="12625" width="32" style="5" customWidth="1"/>
    <col min="12626" max="12626" width="14.5714285714286" style="5" customWidth="1"/>
    <col min="12627" max="12627" width="12.4285714285714" style="5" customWidth="1"/>
    <col min="12628" max="12628" width="51.2857142857143" style="5" customWidth="1"/>
    <col min="12629" max="12629" width="14.8571428571429" style="5" customWidth="1"/>
    <col min="12630" max="12630" width="25" style="5" customWidth="1"/>
    <col min="12631" max="12632" width="12.2857142857143" style="5" customWidth="1"/>
    <col min="12633" max="12633" width="24.7142857142857" style="5" customWidth="1"/>
    <col min="12634" max="12634" width="15" style="5" customWidth="1"/>
    <col min="12635" max="12879" width="9.14285714285714" style="5"/>
    <col min="12880" max="12880" width="6.42857142857143" style="5" customWidth="1"/>
    <col min="12881" max="12881" width="32" style="5" customWidth="1"/>
    <col min="12882" max="12882" width="14.5714285714286" style="5" customWidth="1"/>
    <col min="12883" max="12883" width="12.4285714285714" style="5" customWidth="1"/>
    <col min="12884" max="12884" width="51.2857142857143" style="5" customWidth="1"/>
    <col min="12885" max="12885" width="14.8571428571429" style="5" customWidth="1"/>
    <col min="12886" max="12886" width="25" style="5" customWidth="1"/>
    <col min="12887" max="12888" width="12.2857142857143" style="5" customWidth="1"/>
    <col min="12889" max="12889" width="24.7142857142857" style="5" customWidth="1"/>
    <col min="12890" max="12890" width="15" style="5" customWidth="1"/>
    <col min="12891" max="13135" width="9.14285714285714" style="5"/>
    <col min="13136" max="13136" width="6.42857142857143" style="5" customWidth="1"/>
    <col min="13137" max="13137" width="32" style="5" customWidth="1"/>
    <col min="13138" max="13138" width="14.5714285714286" style="5" customWidth="1"/>
    <col min="13139" max="13139" width="12.4285714285714" style="5" customWidth="1"/>
    <col min="13140" max="13140" width="51.2857142857143" style="5" customWidth="1"/>
    <col min="13141" max="13141" width="14.8571428571429" style="5" customWidth="1"/>
    <col min="13142" max="13142" width="25" style="5" customWidth="1"/>
    <col min="13143" max="13144" width="12.2857142857143" style="5" customWidth="1"/>
    <col min="13145" max="13145" width="24.7142857142857" style="5" customWidth="1"/>
    <col min="13146" max="13146" width="15" style="5" customWidth="1"/>
    <col min="13147" max="13391" width="9.14285714285714" style="5"/>
    <col min="13392" max="13392" width="6.42857142857143" style="5" customWidth="1"/>
    <col min="13393" max="13393" width="32" style="5" customWidth="1"/>
    <col min="13394" max="13394" width="14.5714285714286" style="5" customWidth="1"/>
    <col min="13395" max="13395" width="12.4285714285714" style="5" customWidth="1"/>
    <col min="13396" max="13396" width="51.2857142857143" style="5" customWidth="1"/>
    <col min="13397" max="13397" width="14.8571428571429" style="5" customWidth="1"/>
    <col min="13398" max="13398" width="25" style="5" customWidth="1"/>
    <col min="13399" max="13400" width="12.2857142857143" style="5" customWidth="1"/>
    <col min="13401" max="13401" width="24.7142857142857" style="5" customWidth="1"/>
    <col min="13402" max="13402" width="15" style="5" customWidth="1"/>
    <col min="13403" max="13647" width="9.14285714285714" style="5"/>
    <col min="13648" max="13648" width="6.42857142857143" style="5" customWidth="1"/>
    <col min="13649" max="13649" width="32" style="5" customWidth="1"/>
    <col min="13650" max="13650" width="14.5714285714286" style="5" customWidth="1"/>
    <col min="13651" max="13651" width="12.4285714285714" style="5" customWidth="1"/>
    <col min="13652" max="13652" width="51.2857142857143" style="5" customWidth="1"/>
    <col min="13653" max="13653" width="14.8571428571429" style="5" customWidth="1"/>
    <col min="13654" max="13654" width="25" style="5" customWidth="1"/>
    <col min="13655" max="13656" width="12.2857142857143" style="5" customWidth="1"/>
    <col min="13657" max="13657" width="24.7142857142857" style="5" customWidth="1"/>
    <col min="13658" max="13658" width="15" style="5" customWidth="1"/>
    <col min="13659" max="13903" width="9.14285714285714" style="5"/>
    <col min="13904" max="13904" width="6.42857142857143" style="5" customWidth="1"/>
    <col min="13905" max="13905" width="32" style="5" customWidth="1"/>
    <col min="13906" max="13906" width="14.5714285714286" style="5" customWidth="1"/>
    <col min="13907" max="13907" width="12.4285714285714" style="5" customWidth="1"/>
    <col min="13908" max="13908" width="51.2857142857143" style="5" customWidth="1"/>
    <col min="13909" max="13909" width="14.8571428571429" style="5" customWidth="1"/>
    <col min="13910" max="13910" width="25" style="5" customWidth="1"/>
    <col min="13911" max="13912" width="12.2857142857143" style="5" customWidth="1"/>
    <col min="13913" max="13913" width="24.7142857142857" style="5" customWidth="1"/>
    <col min="13914" max="13914" width="15" style="5" customWidth="1"/>
    <col min="13915" max="14159" width="9.14285714285714" style="5"/>
    <col min="14160" max="14160" width="6.42857142857143" style="5" customWidth="1"/>
    <col min="14161" max="14161" width="32" style="5" customWidth="1"/>
    <col min="14162" max="14162" width="14.5714285714286" style="5" customWidth="1"/>
    <col min="14163" max="14163" width="12.4285714285714" style="5" customWidth="1"/>
    <col min="14164" max="14164" width="51.2857142857143" style="5" customWidth="1"/>
    <col min="14165" max="14165" width="14.8571428571429" style="5" customWidth="1"/>
    <col min="14166" max="14166" width="25" style="5" customWidth="1"/>
    <col min="14167" max="14168" width="12.2857142857143" style="5" customWidth="1"/>
    <col min="14169" max="14169" width="24.7142857142857" style="5" customWidth="1"/>
    <col min="14170" max="14170" width="15" style="5" customWidth="1"/>
    <col min="14171" max="14415" width="9.14285714285714" style="5"/>
    <col min="14416" max="14416" width="6.42857142857143" style="5" customWidth="1"/>
    <col min="14417" max="14417" width="32" style="5" customWidth="1"/>
    <col min="14418" max="14418" width="14.5714285714286" style="5" customWidth="1"/>
    <col min="14419" max="14419" width="12.4285714285714" style="5" customWidth="1"/>
    <col min="14420" max="14420" width="51.2857142857143" style="5" customWidth="1"/>
    <col min="14421" max="14421" width="14.8571428571429" style="5" customWidth="1"/>
    <col min="14422" max="14422" width="25" style="5" customWidth="1"/>
    <col min="14423" max="14424" width="12.2857142857143" style="5" customWidth="1"/>
    <col min="14425" max="14425" width="24.7142857142857" style="5" customWidth="1"/>
    <col min="14426" max="14426" width="15" style="5" customWidth="1"/>
    <col min="14427" max="14671" width="9.14285714285714" style="5"/>
    <col min="14672" max="14672" width="6.42857142857143" style="5" customWidth="1"/>
    <col min="14673" max="14673" width="32" style="5" customWidth="1"/>
    <col min="14674" max="14674" width="14.5714285714286" style="5" customWidth="1"/>
    <col min="14675" max="14675" width="12.4285714285714" style="5" customWidth="1"/>
    <col min="14676" max="14676" width="51.2857142857143" style="5" customWidth="1"/>
    <col min="14677" max="14677" width="14.8571428571429" style="5" customWidth="1"/>
    <col min="14678" max="14678" width="25" style="5" customWidth="1"/>
    <col min="14679" max="14680" width="12.2857142857143" style="5" customWidth="1"/>
    <col min="14681" max="14681" width="24.7142857142857" style="5" customWidth="1"/>
    <col min="14682" max="14682" width="15" style="5" customWidth="1"/>
    <col min="14683" max="14927" width="9.14285714285714" style="5"/>
    <col min="14928" max="14928" width="6.42857142857143" style="5" customWidth="1"/>
    <col min="14929" max="14929" width="32" style="5" customWidth="1"/>
    <col min="14930" max="14930" width="14.5714285714286" style="5" customWidth="1"/>
    <col min="14931" max="14931" width="12.4285714285714" style="5" customWidth="1"/>
    <col min="14932" max="14932" width="51.2857142857143" style="5" customWidth="1"/>
    <col min="14933" max="14933" width="14.8571428571429" style="5" customWidth="1"/>
    <col min="14934" max="14934" width="25" style="5" customWidth="1"/>
    <col min="14935" max="14936" width="12.2857142857143" style="5" customWidth="1"/>
    <col min="14937" max="14937" width="24.7142857142857" style="5" customWidth="1"/>
    <col min="14938" max="14938" width="15" style="5" customWidth="1"/>
    <col min="14939" max="15183" width="9.14285714285714" style="5"/>
    <col min="15184" max="15184" width="6.42857142857143" style="5" customWidth="1"/>
    <col min="15185" max="15185" width="32" style="5" customWidth="1"/>
    <col min="15186" max="15186" width="14.5714285714286" style="5" customWidth="1"/>
    <col min="15187" max="15187" width="12.4285714285714" style="5" customWidth="1"/>
    <col min="15188" max="15188" width="51.2857142857143" style="5" customWidth="1"/>
    <col min="15189" max="15189" width="14.8571428571429" style="5" customWidth="1"/>
    <col min="15190" max="15190" width="25" style="5" customWidth="1"/>
    <col min="15191" max="15192" width="12.2857142857143" style="5" customWidth="1"/>
    <col min="15193" max="15193" width="24.7142857142857" style="5" customWidth="1"/>
    <col min="15194" max="15194" width="15" style="5" customWidth="1"/>
    <col min="15195" max="15439" width="9.14285714285714" style="5"/>
    <col min="15440" max="15440" width="6.42857142857143" style="5" customWidth="1"/>
    <col min="15441" max="15441" width="32" style="5" customWidth="1"/>
    <col min="15442" max="15442" width="14.5714285714286" style="5" customWidth="1"/>
    <col min="15443" max="15443" width="12.4285714285714" style="5" customWidth="1"/>
    <col min="15444" max="15444" width="51.2857142857143" style="5" customWidth="1"/>
    <col min="15445" max="15445" width="14.8571428571429" style="5" customWidth="1"/>
    <col min="15446" max="15446" width="25" style="5" customWidth="1"/>
    <col min="15447" max="15448" width="12.2857142857143" style="5" customWidth="1"/>
    <col min="15449" max="15449" width="24.7142857142857" style="5" customWidth="1"/>
    <col min="15450" max="15450" width="15" style="5" customWidth="1"/>
    <col min="15451" max="15695" width="9.14285714285714" style="5"/>
    <col min="15696" max="15696" width="6.42857142857143" style="5" customWidth="1"/>
    <col min="15697" max="15697" width="32" style="5" customWidth="1"/>
    <col min="15698" max="15698" width="14.5714285714286" style="5" customWidth="1"/>
    <col min="15699" max="15699" width="12.4285714285714" style="5" customWidth="1"/>
    <col min="15700" max="15700" width="51.2857142857143" style="5" customWidth="1"/>
    <col min="15701" max="15701" width="14.8571428571429" style="5" customWidth="1"/>
    <col min="15702" max="15702" width="25" style="5" customWidth="1"/>
    <col min="15703" max="15704" width="12.2857142857143" style="5" customWidth="1"/>
    <col min="15705" max="15705" width="24.7142857142857" style="5" customWidth="1"/>
    <col min="15706" max="15706" width="15" style="5" customWidth="1"/>
    <col min="15707" max="15951" width="9.14285714285714" style="5"/>
    <col min="15952" max="15952" width="6.42857142857143" style="5" customWidth="1"/>
    <col min="15953" max="15953" width="32" style="5" customWidth="1"/>
    <col min="15954" max="15954" width="14.5714285714286" style="5" customWidth="1"/>
    <col min="15955" max="15955" width="12.4285714285714" style="5" customWidth="1"/>
    <col min="15956" max="15956" width="51.2857142857143" style="5" customWidth="1"/>
    <col min="15957" max="15957" width="14.8571428571429" style="5" customWidth="1"/>
    <col min="15958" max="15958" width="25" style="5" customWidth="1"/>
    <col min="15959" max="15960" width="12.2857142857143" style="5" customWidth="1"/>
    <col min="15961" max="15961" width="24.7142857142857" style="5" customWidth="1"/>
    <col min="15962" max="15962" width="15" style="5" customWidth="1"/>
    <col min="15963" max="16384" width="9.14285714285714" style="5"/>
  </cols>
  <sheetData>
    <row r="1" s="1" customFormat="1" ht="23.25" spans="1:13">
      <c r="A1" s="12" t="s">
        <v>152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="1" customFormat="1" ht="23.25" spans="1:13">
      <c r="A2" s="12" t="s">
        <v>153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="1" customFormat="1" ht="23.25" spans="1:13">
      <c r="A3" s="13" t="str">
        <f>+งบรายจ่ายอื่น!A4</f>
        <v>ตั้งแต่วันที่ 1  ตุลาคม 2564 ถึงวันที่ 30 เมษายน 2565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="2" customFormat="1" spans="1:13">
      <c r="A4" s="14" t="s">
        <v>155</v>
      </c>
      <c r="B4" s="14" t="s">
        <v>156</v>
      </c>
      <c r="C4" s="15" t="s">
        <v>157</v>
      </c>
      <c r="D4" s="15" t="s">
        <v>158</v>
      </c>
      <c r="E4" s="16" t="s">
        <v>159</v>
      </c>
      <c r="F4" s="15" t="s">
        <v>160</v>
      </c>
      <c r="G4" s="17" t="s">
        <v>161</v>
      </c>
      <c r="H4" s="14" t="s">
        <v>117</v>
      </c>
      <c r="I4" s="14" t="s">
        <v>26</v>
      </c>
      <c r="J4" s="39" t="s">
        <v>162</v>
      </c>
      <c r="K4" s="14" t="s">
        <v>163</v>
      </c>
      <c r="L4" s="17" t="s">
        <v>164</v>
      </c>
      <c r="M4" s="40" t="s">
        <v>165</v>
      </c>
    </row>
    <row r="5" s="2" customFormat="1" spans="1:13">
      <c r="A5" s="18" t="s">
        <v>105</v>
      </c>
      <c r="B5" s="18"/>
      <c r="C5" s="19"/>
      <c r="D5" s="19"/>
      <c r="E5" s="20"/>
      <c r="F5" s="19"/>
      <c r="G5" s="21"/>
      <c r="H5" s="18"/>
      <c r="I5" s="18" t="s">
        <v>166</v>
      </c>
      <c r="J5" s="41"/>
      <c r="K5" s="18" t="s">
        <v>118</v>
      </c>
      <c r="L5" s="21"/>
      <c r="M5" s="40"/>
    </row>
    <row r="6" ht="40.5" customHeight="1" spans="1:13">
      <c r="A6" s="22">
        <v>1</v>
      </c>
      <c r="B6" s="23" t="s">
        <v>167</v>
      </c>
      <c r="C6" s="24">
        <v>1600600001</v>
      </c>
      <c r="D6" s="24">
        <v>6411220</v>
      </c>
      <c r="E6" s="25" t="s">
        <v>413</v>
      </c>
      <c r="F6" s="26">
        <v>7015339724</v>
      </c>
      <c r="G6" s="27" t="s">
        <v>414</v>
      </c>
      <c r="H6" s="28">
        <v>5000</v>
      </c>
      <c r="I6" s="42">
        <v>5000</v>
      </c>
      <c r="J6" s="42">
        <f t="shared" ref="J6:J61" si="0">+H6-I6</f>
        <v>0</v>
      </c>
      <c r="K6" s="43">
        <f t="shared" ref="K6:K65" si="1">+I6*100/H6</f>
        <v>100</v>
      </c>
      <c r="L6" s="44" t="s">
        <v>203</v>
      </c>
      <c r="M6" s="46"/>
    </row>
    <row r="7" ht="40.5" customHeight="1" spans="1:13">
      <c r="A7" s="22">
        <v>2</v>
      </c>
      <c r="B7" s="23" t="s">
        <v>167</v>
      </c>
      <c r="C7" s="24">
        <v>1600600001</v>
      </c>
      <c r="D7" s="24">
        <v>6411220</v>
      </c>
      <c r="E7" s="25" t="s">
        <v>413</v>
      </c>
      <c r="F7" s="26">
        <v>7015357622</v>
      </c>
      <c r="G7" s="27" t="s">
        <v>415</v>
      </c>
      <c r="H7" s="28">
        <v>2000</v>
      </c>
      <c r="I7" s="42">
        <v>2000</v>
      </c>
      <c r="J7" s="42">
        <f t="shared" si="0"/>
        <v>0</v>
      </c>
      <c r="K7" s="43">
        <f t="shared" si="1"/>
        <v>100</v>
      </c>
      <c r="L7" s="44" t="s">
        <v>203</v>
      </c>
      <c r="M7" s="46"/>
    </row>
    <row r="8" ht="40.5" customHeight="1" spans="1:13">
      <c r="A8" s="22">
        <v>3</v>
      </c>
      <c r="B8" s="23" t="s">
        <v>167</v>
      </c>
      <c r="C8" s="24">
        <v>1600600001</v>
      </c>
      <c r="D8" s="24">
        <v>6411220</v>
      </c>
      <c r="E8" s="25" t="s">
        <v>416</v>
      </c>
      <c r="F8" s="26">
        <v>7015387887</v>
      </c>
      <c r="G8" s="27" t="s">
        <v>417</v>
      </c>
      <c r="H8" s="28">
        <v>1471200</v>
      </c>
      <c r="I8" s="42">
        <v>1471200</v>
      </c>
      <c r="J8" s="42">
        <f t="shared" si="0"/>
        <v>0</v>
      </c>
      <c r="K8" s="43">
        <f t="shared" si="1"/>
        <v>100</v>
      </c>
      <c r="L8" s="44" t="s">
        <v>418</v>
      </c>
      <c r="M8" s="45"/>
    </row>
    <row r="9" ht="40.5" customHeight="1" spans="1:13">
      <c r="A9" s="22">
        <v>4</v>
      </c>
      <c r="B9" s="23" t="s">
        <v>167</v>
      </c>
      <c r="C9" s="24">
        <v>1600600001</v>
      </c>
      <c r="D9" s="24">
        <v>6411220</v>
      </c>
      <c r="E9" s="25" t="s">
        <v>413</v>
      </c>
      <c r="F9" s="26">
        <v>7016230039</v>
      </c>
      <c r="G9" s="27" t="s">
        <v>419</v>
      </c>
      <c r="H9" s="28">
        <v>499904</v>
      </c>
      <c r="I9" s="42">
        <v>499904</v>
      </c>
      <c r="J9" s="42">
        <f t="shared" si="0"/>
        <v>0</v>
      </c>
      <c r="K9" s="43">
        <f t="shared" si="1"/>
        <v>100</v>
      </c>
      <c r="L9" s="44" t="s">
        <v>420</v>
      </c>
      <c r="M9" s="46"/>
    </row>
    <row r="10" ht="40.5" customHeight="1" spans="1:13">
      <c r="A10" s="22">
        <v>5</v>
      </c>
      <c r="B10" s="23" t="s">
        <v>167</v>
      </c>
      <c r="C10" s="24">
        <v>1600600001</v>
      </c>
      <c r="D10" s="24">
        <v>6411220</v>
      </c>
      <c r="E10" s="25" t="s">
        <v>413</v>
      </c>
      <c r="F10" s="26">
        <v>7016308766</v>
      </c>
      <c r="G10" s="27" t="s">
        <v>421</v>
      </c>
      <c r="H10" s="28">
        <v>490000</v>
      </c>
      <c r="I10" s="42">
        <v>490000</v>
      </c>
      <c r="J10" s="42">
        <f t="shared" si="0"/>
        <v>0</v>
      </c>
      <c r="K10" s="43">
        <f t="shared" si="1"/>
        <v>100</v>
      </c>
      <c r="L10" s="44" t="s">
        <v>422</v>
      </c>
      <c r="M10" s="46"/>
    </row>
    <row r="11" ht="40.5" customHeight="1" spans="1:13">
      <c r="A11" s="22">
        <v>6</v>
      </c>
      <c r="B11" s="23" t="s">
        <v>167</v>
      </c>
      <c r="C11" s="24">
        <v>1600600001</v>
      </c>
      <c r="D11" s="24">
        <v>6411220</v>
      </c>
      <c r="E11" s="25" t="s">
        <v>416</v>
      </c>
      <c r="F11" s="26">
        <v>7016478163</v>
      </c>
      <c r="G11" s="27" t="s">
        <v>423</v>
      </c>
      <c r="H11" s="28">
        <v>2163700.5</v>
      </c>
      <c r="I11" s="42">
        <v>2163700.5</v>
      </c>
      <c r="J11" s="42">
        <f t="shared" si="0"/>
        <v>0</v>
      </c>
      <c r="K11" s="43">
        <f t="shared" si="1"/>
        <v>100</v>
      </c>
      <c r="L11" s="44" t="s">
        <v>424</v>
      </c>
      <c r="M11" s="46"/>
    </row>
    <row r="12" ht="40.5" customHeight="1" spans="1:13">
      <c r="A12" s="22">
        <v>7</v>
      </c>
      <c r="B12" s="23" t="s">
        <v>167</v>
      </c>
      <c r="C12" s="24">
        <v>1600600001</v>
      </c>
      <c r="D12" s="24">
        <v>6411220</v>
      </c>
      <c r="E12" s="25" t="s">
        <v>413</v>
      </c>
      <c r="F12" s="26">
        <v>7016531079</v>
      </c>
      <c r="G12" s="27" t="s">
        <v>425</v>
      </c>
      <c r="H12" s="28">
        <v>98975</v>
      </c>
      <c r="I12" s="42">
        <v>98975</v>
      </c>
      <c r="J12" s="42">
        <f t="shared" si="0"/>
        <v>0</v>
      </c>
      <c r="K12" s="43">
        <f t="shared" si="1"/>
        <v>100</v>
      </c>
      <c r="L12" s="44" t="s">
        <v>426</v>
      </c>
      <c r="M12" s="46"/>
    </row>
    <row r="13" ht="40.5" customHeight="1" spans="1:13">
      <c r="A13" s="22">
        <v>8</v>
      </c>
      <c r="B13" s="23" t="s">
        <v>167</v>
      </c>
      <c r="C13" s="24">
        <v>1600600001</v>
      </c>
      <c r="D13" s="24">
        <v>6411220</v>
      </c>
      <c r="E13" s="25" t="s">
        <v>413</v>
      </c>
      <c r="F13" s="26">
        <v>7016714610</v>
      </c>
      <c r="G13" s="27" t="s">
        <v>427</v>
      </c>
      <c r="H13" s="28">
        <v>460000</v>
      </c>
      <c r="I13" s="42">
        <v>460000</v>
      </c>
      <c r="J13" s="42">
        <f t="shared" si="0"/>
        <v>0</v>
      </c>
      <c r="K13" s="43">
        <f t="shared" si="1"/>
        <v>100</v>
      </c>
      <c r="L13" s="44" t="s">
        <v>428</v>
      </c>
      <c r="M13" s="46"/>
    </row>
    <row r="14" ht="42" spans="1:13">
      <c r="A14" s="22">
        <v>9</v>
      </c>
      <c r="B14" s="23" t="s">
        <v>167</v>
      </c>
      <c r="C14" s="24">
        <v>1600600001</v>
      </c>
      <c r="D14" s="24">
        <v>6411220</v>
      </c>
      <c r="E14" s="25" t="s">
        <v>413</v>
      </c>
      <c r="F14" s="26">
        <v>7016974568</v>
      </c>
      <c r="G14" s="777" t="s">
        <v>429</v>
      </c>
      <c r="H14" s="778">
        <v>140000</v>
      </c>
      <c r="I14" s="795">
        <v>0</v>
      </c>
      <c r="J14" s="795">
        <f t="shared" si="0"/>
        <v>140000</v>
      </c>
      <c r="K14" s="43">
        <f t="shared" si="1"/>
        <v>0</v>
      </c>
      <c r="L14" s="44" t="s">
        <v>430</v>
      </c>
      <c r="M14" s="45" t="s">
        <v>431</v>
      </c>
    </row>
    <row r="15" ht="42" spans="1:13">
      <c r="A15" s="22">
        <v>10</v>
      </c>
      <c r="B15" s="23" t="s">
        <v>167</v>
      </c>
      <c r="C15" s="24">
        <v>1600600001</v>
      </c>
      <c r="D15" s="24">
        <v>6411220</v>
      </c>
      <c r="E15" s="25" t="s">
        <v>413</v>
      </c>
      <c r="F15" s="26">
        <v>7016979517</v>
      </c>
      <c r="G15" s="777" t="s">
        <v>432</v>
      </c>
      <c r="H15" s="778">
        <v>498620</v>
      </c>
      <c r="I15" s="795">
        <v>0</v>
      </c>
      <c r="J15" s="795">
        <f t="shared" si="0"/>
        <v>498620</v>
      </c>
      <c r="K15" s="43">
        <f t="shared" si="1"/>
        <v>0</v>
      </c>
      <c r="L15" s="44" t="s">
        <v>430</v>
      </c>
      <c r="M15" s="45" t="s">
        <v>431</v>
      </c>
    </row>
    <row r="16" ht="43.5" customHeight="1" spans="1:13">
      <c r="A16" s="22">
        <v>11</v>
      </c>
      <c r="B16" s="23" t="s">
        <v>433</v>
      </c>
      <c r="C16" s="24">
        <v>1600600520</v>
      </c>
      <c r="D16" s="24">
        <v>6411220</v>
      </c>
      <c r="E16" s="25" t="s">
        <v>416</v>
      </c>
      <c r="F16" s="26">
        <v>7016982739</v>
      </c>
      <c r="G16" s="27" t="s">
        <v>434</v>
      </c>
      <c r="H16" s="28">
        <v>27100</v>
      </c>
      <c r="I16" s="42">
        <v>27100</v>
      </c>
      <c r="J16" s="42">
        <f t="shared" si="0"/>
        <v>0</v>
      </c>
      <c r="K16" s="43">
        <f t="shared" si="1"/>
        <v>100</v>
      </c>
      <c r="L16" s="44" t="s">
        <v>435</v>
      </c>
      <c r="M16" s="796"/>
    </row>
    <row r="17" ht="43.5" customHeight="1" spans="1:13">
      <c r="A17" s="22">
        <v>12</v>
      </c>
      <c r="B17" s="23" t="s">
        <v>167</v>
      </c>
      <c r="C17" s="24">
        <v>1600600001</v>
      </c>
      <c r="D17" s="24">
        <v>6411230</v>
      </c>
      <c r="E17" s="25" t="s">
        <v>436</v>
      </c>
      <c r="F17" s="26">
        <v>7016662308</v>
      </c>
      <c r="G17" s="27" t="s">
        <v>437</v>
      </c>
      <c r="H17" s="28">
        <v>122000</v>
      </c>
      <c r="I17" s="42">
        <v>122000</v>
      </c>
      <c r="J17" s="42">
        <f t="shared" si="0"/>
        <v>0</v>
      </c>
      <c r="K17" s="43">
        <f t="shared" si="1"/>
        <v>100</v>
      </c>
      <c r="L17" s="44" t="s">
        <v>203</v>
      </c>
      <c r="M17" s="46"/>
    </row>
    <row r="18" ht="43.5" customHeight="1" spans="1:13">
      <c r="A18" s="22">
        <v>13</v>
      </c>
      <c r="B18" s="23" t="s">
        <v>167</v>
      </c>
      <c r="C18" s="24">
        <v>1600600001</v>
      </c>
      <c r="D18" s="24">
        <v>6411230</v>
      </c>
      <c r="E18" s="25" t="s">
        <v>436</v>
      </c>
      <c r="F18" s="26">
        <v>7016822238</v>
      </c>
      <c r="G18" s="27" t="s">
        <v>438</v>
      </c>
      <c r="H18" s="28">
        <v>24984.5</v>
      </c>
      <c r="I18" s="42">
        <v>24984.5</v>
      </c>
      <c r="J18" s="42">
        <f t="shared" si="0"/>
        <v>0</v>
      </c>
      <c r="K18" s="43">
        <f t="shared" si="1"/>
        <v>100</v>
      </c>
      <c r="L18" s="44" t="s">
        <v>426</v>
      </c>
      <c r="M18" s="46"/>
    </row>
    <row r="19" spans="1:13">
      <c r="A19" s="22">
        <v>14</v>
      </c>
      <c r="B19" s="23" t="s">
        <v>167</v>
      </c>
      <c r="C19" s="24">
        <v>1600600001</v>
      </c>
      <c r="D19" s="24">
        <v>6411230</v>
      </c>
      <c r="E19" s="25" t="s">
        <v>416</v>
      </c>
      <c r="F19" s="26">
        <v>7016970257</v>
      </c>
      <c r="G19" s="27" t="s">
        <v>439</v>
      </c>
      <c r="H19" s="28">
        <v>2986406</v>
      </c>
      <c r="I19" s="28">
        <v>2986406</v>
      </c>
      <c r="J19" s="42">
        <f t="shared" si="0"/>
        <v>0</v>
      </c>
      <c r="K19" s="43">
        <f t="shared" si="1"/>
        <v>100</v>
      </c>
      <c r="L19" s="44" t="s">
        <v>430</v>
      </c>
      <c r="M19" s="45"/>
    </row>
    <row r="20" ht="47.25" customHeight="1" spans="1:13">
      <c r="A20" s="22">
        <v>15</v>
      </c>
      <c r="B20" s="23" t="s">
        <v>200</v>
      </c>
      <c r="C20" s="24">
        <v>1600600204</v>
      </c>
      <c r="D20" s="24">
        <v>6411230</v>
      </c>
      <c r="E20" s="25" t="s">
        <v>416</v>
      </c>
      <c r="F20" s="26">
        <v>7016957818</v>
      </c>
      <c r="G20" s="27" t="s">
        <v>440</v>
      </c>
      <c r="H20" s="28">
        <v>32500</v>
      </c>
      <c r="I20" s="42">
        <v>32500</v>
      </c>
      <c r="J20" s="42">
        <f t="shared" si="0"/>
        <v>0</v>
      </c>
      <c r="K20" s="43">
        <f t="shared" si="1"/>
        <v>100</v>
      </c>
      <c r="L20" s="44" t="s">
        <v>441</v>
      </c>
      <c r="M20" s="46"/>
    </row>
    <row r="21" ht="47.25" customHeight="1" spans="1:13">
      <c r="A21" s="22">
        <v>16</v>
      </c>
      <c r="B21" s="23" t="s">
        <v>167</v>
      </c>
      <c r="C21" s="24">
        <v>1600600001</v>
      </c>
      <c r="D21" s="24">
        <v>6411240</v>
      </c>
      <c r="E21" s="25" t="s">
        <v>416</v>
      </c>
      <c r="F21" s="26">
        <v>7015636698</v>
      </c>
      <c r="G21" s="27" t="s">
        <v>442</v>
      </c>
      <c r="H21" s="28">
        <v>218000</v>
      </c>
      <c r="I21" s="42">
        <v>218000</v>
      </c>
      <c r="J21" s="42">
        <f t="shared" si="0"/>
        <v>0</v>
      </c>
      <c r="K21" s="43">
        <f t="shared" si="1"/>
        <v>100</v>
      </c>
      <c r="L21" s="44" t="s">
        <v>203</v>
      </c>
      <c r="M21" s="46"/>
    </row>
    <row r="22" s="136" customFormat="1" ht="35.25" customHeight="1" spans="1:13">
      <c r="A22" s="779" t="s">
        <v>443</v>
      </c>
      <c r="B22" s="779"/>
      <c r="C22" s="779"/>
      <c r="D22" s="779"/>
      <c r="E22" s="779"/>
      <c r="F22" s="779"/>
      <c r="G22" s="779"/>
      <c r="H22" s="316">
        <f>SUM(H6:H21)</f>
        <v>9240390</v>
      </c>
      <c r="I22" s="169">
        <f t="shared" ref="I22:J22" si="2">SUM(I6:I21)</f>
        <v>8601770</v>
      </c>
      <c r="J22" s="316">
        <f t="shared" si="2"/>
        <v>638620</v>
      </c>
      <c r="K22" s="169"/>
      <c r="L22" s="342"/>
      <c r="M22" s="168"/>
    </row>
    <row r="23" ht="63" spans="1:13">
      <c r="A23" s="22">
        <v>17</v>
      </c>
      <c r="B23" s="309" t="s">
        <v>167</v>
      </c>
      <c r="C23" s="24">
        <v>1600600001</v>
      </c>
      <c r="D23" s="24">
        <v>6411310</v>
      </c>
      <c r="E23" s="780" t="s">
        <v>444</v>
      </c>
      <c r="F23" s="26">
        <v>7015844305</v>
      </c>
      <c r="G23" s="31" t="s">
        <v>445</v>
      </c>
      <c r="H23" s="28">
        <v>640000</v>
      </c>
      <c r="I23" s="42">
        <v>640000</v>
      </c>
      <c r="J23" s="42">
        <f t="shared" si="0"/>
        <v>0</v>
      </c>
      <c r="K23" s="43">
        <f t="shared" si="1"/>
        <v>100</v>
      </c>
      <c r="L23" s="44" t="s">
        <v>446</v>
      </c>
      <c r="M23" s="46"/>
    </row>
    <row r="24" ht="42" spans="1:13">
      <c r="A24" s="22">
        <v>18</v>
      </c>
      <c r="B24" s="309" t="s">
        <v>167</v>
      </c>
      <c r="C24" s="24">
        <v>1600600001</v>
      </c>
      <c r="D24" s="24">
        <v>6411310</v>
      </c>
      <c r="E24" s="25" t="s">
        <v>447</v>
      </c>
      <c r="F24" s="26">
        <v>7015930579</v>
      </c>
      <c r="G24" s="31" t="s">
        <v>448</v>
      </c>
      <c r="H24" s="28">
        <v>74632.5</v>
      </c>
      <c r="I24" s="42">
        <v>74632.5</v>
      </c>
      <c r="J24" s="42">
        <f t="shared" si="0"/>
        <v>0</v>
      </c>
      <c r="K24" s="43">
        <f t="shared" si="1"/>
        <v>100</v>
      </c>
      <c r="L24" s="44" t="s">
        <v>449</v>
      </c>
      <c r="M24" s="46"/>
    </row>
    <row r="25" ht="42" spans="1:13">
      <c r="A25" s="22">
        <v>19</v>
      </c>
      <c r="B25" s="309" t="s">
        <v>167</v>
      </c>
      <c r="C25" s="24">
        <v>1600600001</v>
      </c>
      <c r="D25" s="24">
        <v>6411310</v>
      </c>
      <c r="E25" s="29" t="s">
        <v>450</v>
      </c>
      <c r="F25" s="26">
        <v>7016660216</v>
      </c>
      <c r="G25" s="781" t="s">
        <v>451</v>
      </c>
      <c r="H25" s="28">
        <v>93000</v>
      </c>
      <c r="I25" s="42">
        <v>93000</v>
      </c>
      <c r="J25" s="42">
        <f t="shared" si="0"/>
        <v>0</v>
      </c>
      <c r="K25" s="43">
        <f t="shared" si="1"/>
        <v>100</v>
      </c>
      <c r="L25" s="44" t="s">
        <v>452</v>
      </c>
      <c r="M25" s="46"/>
    </row>
    <row r="26" ht="63" spans="1:13">
      <c r="A26" s="22">
        <v>20</v>
      </c>
      <c r="B26" s="309" t="s">
        <v>167</v>
      </c>
      <c r="C26" s="24">
        <v>1600600001</v>
      </c>
      <c r="D26" s="24">
        <v>6411310</v>
      </c>
      <c r="E26" s="29" t="s">
        <v>453</v>
      </c>
      <c r="F26" s="26">
        <v>7016796065</v>
      </c>
      <c r="G26" s="30" t="s">
        <v>454</v>
      </c>
      <c r="H26" s="28">
        <v>477090</v>
      </c>
      <c r="I26" s="42">
        <v>477090</v>
      </c>
      <c r="J26" s="42">
        <f t="shared" si="0"/>
        <v>0</v>
      </c>
      <c r="K26" s="43">
        <f t="shared" si="1"/>
        <v>100</v>
      </c>
      <c r="L26" s="44" t="s">
        <v>455</v>
      </c>
      <c r="M26" s="46"/>
    </row>
    <row r="27" ht="63" spans="1:13">
      <c r="A27" s="22">
        <v>21</v>
      </c>
      <c r="B27" s="309" t="s">
        <v>167</v>
      </c>
      <c r="C27" s="24">
        <v>1600600001</v>
      </c>
      <c r="D27" s="24">
        <v>6411310</v>
      </c>
      <c r="E27" s="29" t="s">
        <v>456</v>
      </c>
      <c r="F27" s="26">
        <v>7016870530</v>
      </c>
      <c r="G27" s="30" t="s">
        <v>457</v>
      </c>
      <c r="H27" s="28">
        <v>498000</v>
      </c>
      <c r="I27" s="42">
        <v>498000</v>
      </c>
      <c r="J27" s="42">
        <f t="shared" si="0"/>
        <v>0</v>
      </c>
      <c r="K27" s="43">
        <f t="shared" si="1"/>
        <v>100</v>
      </c>
      <c r="L27" s="44" t="s">
        <v>458</v>
      </c>
      <c r="M27" s="45" t="s">
        <v>431</v>
      </c>
    </row>
    <row r="28" ht="42" spans="1:13">
      <c r="A28" s="22">
        <v>22</v>
      </c>
      <c r="B28" s="309" t="s">
        <v>167</v>
      </c>
      <c r="C28" s="24">
        <v>1600600001</v>
      </c>
      <c r="D28" s="24">
        <v>6411310</v>
      </c>
      <c r="E28" s="29" t="s">
        <v>459</v>
      </c>
      <c r="F28" s="26">
        <v>7016872205</v>
      </c>
      <c r="G28" s="30" t="s">
        <v>460</v>
      </c>
      <c r="H28" s="28">
        <v>481500</v>
      </c>
      <c r="I28" s="42">
        <v>481500</v>
      </c>
      <c r="J28" s="42">
        <f t="shared" si="0"/>
        <v>0</v>
      </c>
      <c r="K28" s="43">
        <f t="shared" si="1"/>
        <v>100</v>
      </c>
      <c r="L28" s="44" t="s">
        <v>461</v>
      </c>
      <c r="M28" s="45" t="s">
        <v>431</v>
      </c>
    </row>
    <row r="29" ht="90.75" customHeight="1" spans="1:13">
      <c r="A29" s="22">
        <v>23</v>
      </c>
      <c r="B29" s="309" t="s">
        <v>167</v>
      </c>
      <c r="C29" s="24">
        <v>1600600001</v>
      </c>
      <c r="D29" s="24">
        <v>6411310</v>
      </c>
      <c r="E29" s="29" t="s">
        <v>462</v>
      </c>
      <c r="F29" s="26">
        <v>7016901578</v>
      </c>
      <c r="G29" s="782" t="s">
        <v>463</v>
      </c>
      <c r="H29" s="778">
        <v>492200</v>
      </c>
      <c r="I29" s="795">
        <f>+H29-418370</f>
        <v>73830</v>
      </c>
      <c r="J29" s="795">
        <f t="shared" si="0"/>
        <v>418370</v>
      </c>
      <c r="K29" s="43">
        <f t="shared" si="1"/>
        <v>15</v>
      </c>
      <c r="L29" s="44" t="s">
        <v>464</v>
      </c>
      <c r="M29" s="45" t="s">
        <v>431</v>
      </c>
    </row>
    <row r="30" ht="84" spans="1:13">
      <c r="A30" s="22">
        <v>24</v>
      </c>
      <c r="B30" s="309" t="s">
        <v>167</v>
      </c>
      <c r="C30" s="24">
        <v>1600600001</v>
      </c>
      <c r="D30" s="24">
        <v>6411310</v>
      </c>
      <c r="E30" s="29" t="s">
        <v>453</v>
      </c>
      <c r="F30" s="26">
        <v>7016936892</v>
      </c>
      <c r="G30" s="782" t="s">
        <v>465</v>
      </c>
      <c r="H30" s="778">
        <v>486850</v>
      </c>
      <c r="I30" s="795">
        <f>486850-73027.5</f>
        <v>413822.5</v>
      </c>
      <c r="J30" s="795">
        <f t="shared" si="0"/>
        <v>73027.5</v>
      </c>
      <c r="K30" s="43">
        <f t="shared" si="1"/>
        <v>85</v>
      </c>
      <c r="L30" s="44" t="s">
        <v>464</v>
      </c>
      <c r="M30" s="45" t="s">
        <v>431</v>
      </c>
    </row>
    <row r="31" ht="42" spans="1:13">
      <c r="A31" s="22">
        <v>25</v>
      </c>
      <c r="B31" s="309" t="s">
        <v>167</v>
      </c>
      <c r="C31" s="24">
        <v>1600600001</v>
      </c>
      <c r="D31" s="24">
        <v>6411310</v>
      </c>
      <c r="E31" s="25" t="s">
        <v>466</v>
      </c>
      <c r="F31" s="26">
        <v>7016974167</v>
      </c>
      <c r="G31" s="783" t="s">
        <v>467</v>
      </c>
      <c r="H31" s="778">
        <v>385200</v>
      </c>
      <c r="I31" s="795">
        <v>0</v>
      </c>
      <c r="J31" s="795">
        <f t="shared" si="0"/>
        <v>385200</v>
      </c>
      <c r="K31" s="43">
        <f t="shared" si="1"/>
        <v>0</v>
      </c>
      <c r="L31" s="44" t="s">
        <v>468</v>
      </c>
      <c r="M31" s="45" t="s">
        <v>431</v>
      </c>
    </row>
    <row r="32" ht="84" spans="1:13">
      <c r="A32" s="22">
        <v>26</v>
      </c>
      <c r="B32" s="309" t="s">
        <v>469</v>
      </c>
      <c r="C32" s="24">
        <v>1600600021</v>
      </c>
      <c r="D32" s="24">
        <v>6411310</v>
      </c>
      <c r="E32" s="25" t="s">
        <v>470</v>
      </c>
      <c r="F32" s="26">
        <v>7016688441</v>
      </c>
      <c r="G32" s="784" t="s">
        <v>471</v>
      </c>
      <c r="H32" s="28">
        <v>34450</v>
      </c>
      <c r="I32" s="42">
        <v>34450</v>
      </c>
      <c r="J32" s="42">
        <f t="shared" si="0"/>
        <v>0</v>
      </c>
      <c r="K32" s="43">
        <f t="shared" si="1"/>
        <v>100</v>
      </c>
      <c r="L32" s="44" t="s">
        <v>472</v>
      </c>
      <c r="M32" s="46"/>
    </row>
    <row r="33" ht="37.5" customHeight="1" spans="1:13">
      <c r="A33" s="22">
        <v>27</v>
      </c>
      <c r="B33" s="309" t="s">
        <v>184</v>
      </c>
      <c r="C33" s="24">
        <v>1600600052</v>
      </c>
      <c r="D33" s="24">
        <v>6411310</v>
      </c>
      <c r="E33" s="29" t="s">
        <v>473</v>
      </c>
      <c r="F33" s="26">
        <v>7016717630</v>
      </c>
      <c r="G33" s="784" t="s">
        <v>474</v>
      </c>
      <c r="H33" s="28">
        <v>15180</v>
      </c>
      <c r="I33" s="42">
        <v>15180</v>
      </c>
      <c r="J33" s="42">
        <f t="shared" si="0"/>
        <v>0</v>
      </c>
      <c r="K33" s="43">
        <f t="shared" si="1"/>
        <v>100</v>
      </c>
      <c r="L33" s="44" t="s">
        <v>203</v>
      </c>
      <c r="M33" s="46"/>
    </row>
    <row r="34" ht="54" customHeight="1" spans="1:13">
      <c r="A34" s="22">
        <v>28</v>
      </c>
      <c r="B34" s="309" t="s">
        <v>167</v>
      </c>
      <c r="C34" s="24">
        <v>1600600001</v>
      </c>
      <c r="D34" s="24">
        <v>6411320</v>
      </c>
      <c r="E34" s="25" t="s">
        <v>168</v>
      </c>
      <c r="F34" s="26">
        <v>2000536758</v>
      </c>
      <c r="G34" s="785" t="s">
        <v>169</v>
      </c>
      <c r="H34" s="778">
        <v>5141555</v>
      </c>
      <c r="I34" s="795">
        <f>+H34-3487465.73</f>
        <v>1654089.27</v>
      </c>
      <c r="J34" s="795">
        <f t="shared" si="0"/>
        <v>3487465.73</v>
      </c>
      <c r="K34" s="43">
        <f t="shared" si="1"/>
        <v>32.170992433223</v>
      </c>
      <c r="L34" s="40" t="s">
        <v>170</v>
      </c>
      <c r="M34" s="45" t="s">
        <v>431</v>
      </c>
    </row>
    <row r="35" ht="84" spans="1:13">
      <c r="A35" s="22">
        <v>29</v>
      </c>
      <c r="B35" s="309" t="s">
        <v>167</v>
      </c>
      <c r="C35" s="24">
        <v>1600600001</v>
      </c>
      <c r="D35" s="24">
        <v>6411320</v>
      </c>
      <c r="E35" s="25" t="s">
        <v>171</v>
      </c>
      <c r="F35" s="26">
        <v>2000544930</v>
      </c>
      <c r="G35" s="785" t="s">
        <v>172</v>
      </c>
      <c r="H35" s="778">
        <v>14508000</v>
      </c>
      <c r="I35" s="795">
        <f>14508000-10466085.6</f>
        <v>4041914.4</v>
      </c>
      <c r="J35" s="795">
        <f t="shared" si="0"/>
        <v>10466085.6</v>
      </c>
      <c r="K35" s="43">
        <f t="shared" si="1"/>
        <v>27.8599007444169</v>
      </c>
      <c r="L35" s="40" t="s">
        <v>173</v>
      </c>
      <c r="M35" s="45" t="s">
        <v>431</v>
      </c>
    </row>
    <row r="36" ht="42" spans="1:13">
      <c r="A36" s="22">
        <v>30</v>
      </c>
      <c r="B36" s="309" t="s">
        <v>167</v>
      </c>
      <c r="C36" s="24">
        <v>1600600001</v>
      </c>
      <c r="D36" s="24">
        <v>6411320</v>
      </c>
      <c r="E36" s="25" t="s">
        <v>174</v>
      </c>
      <c r="F36" s="26">
        <v>2000544933</v>
      </c>
      <c r="G36" s="785" t="s">
        <v>175</v>
      </c>
      <c r="H36" s="778">
        <v>27525700</v>
      </c>
      <c r="I36" s="795">
        <f>+H36-15735700</f>
        <v>11790000</v>
      </c>
      <c r="J36" s="795">
        <f t="shared" si="0"/>
        <v>15735700</v>
      </c>
      <c r="K36" s="43">
        <f t="shared" si="1"/>
        <v>42.8326981693472</v>
      </c>
      <c r="L36" s="44" t="s">
        <v>176</v>
      </c>
      <c r="M36" s="45" t="s">
        <v>431</v>
      </c>
    </row>
    <row r="37" ht="52.5" customHeight="1" spans="1:13">
      <c r="A37" s="22">
        <v>31</v>
      </c>
      <c r="B37" s="309" t="s">
        <v>167</v>
      </c>
      <c r="C37" s="24">
        <v>1600600001</v>
      </c>
      <c r="D37" s="24">
        <v>6411320</v>
      </c>
      <c r="E37" s="25" t="s">
        <v>177</v>
      </c>
      <c r="F37" s="26">
        <v>2000544935</v>
      </c>
      <c r="G37" s="785" t="s">
        <v>178</v>
      </c>
      <c r="H37" s="778">
        <v>35709073</v>
      </c>
      <c r="I37" s="795">
        <f>35709073-30758211</f>
        <v>4950862</v>
      </c>
      <c r="J37" s="795">
        <f t="shared" si="0"/>
        <v>30758211</v>
      </c>
      <c r="K37" s="43">
        <f t="shared" si="1"/>
        <v>13.8644371977956</v>
      </c>
      <c r="L37" s="44" t="s">
        <v>179</v>
      </c>
      <c r="M37" s="45" t="s">
        <v>431</v>
      </c>
    </row>
    <row r="38" ht="51.75" customHeight="1" spans="1:13">
      <c r="A38" s="22">
        <v>32</v>
      </c>
      <c r="B38" s="309" t="s">
        <v>167</v>
      </c>
      <c r="C38" s="24">
        <v>1600600001</v>
      </c>
      <c r="D38" s="24">
        <v>6411320</v>
      </c>
      <c r="E38" s="25" t="s">
        <v>180</v>
      </c>
      <c r="F38" s="26">
        <v>2000545217</v>
      </c>
      <c r="G38" s="32" t="s">
        <v>181</v>
      </c>
      <c r="H38" s="28">
        <v>10872000</v>
      </c>
      <c r="I38" s="42">
        <v>10872000</v>
      </c>
      <c r="J38" s="42">
        <f t="shared" si="0"/>
        <v>0</v>
      </c>
      <c r="K38" s="43">
        <f t="shared" si="1"/>
        <v>100</v>
      </c>
      <c r="L38" s="44" t="s">
        <v>182</v>
      </c>
      <c r="M38" s="46"/>
    </row>
    <row r="39" ht="63" spans="1:13">
      <c r="A39" s="22" t="s">
        <v>475</v>
      </c>
      <c r="B39" s="309" t="s">
        <v>184</v>
      </c>
      <c r="C39" s="24">
        <v>1600600052</v>
      </c>
      <c r="D39" s="24">
        <v>6411320</v>
      </c>
      <c r="E39" s="25" t="s">
        <v>185</v>
      </c>
      <c r="F39" s="26">
        <v>7015551847</v>
      </c>
      <c r="G39" s="785" t="s">
        <v>186</v>
      </c>
      <c r="H39" s="778">
        <v>869050</v>
      </c>
      <c r="I39" s="795">
        <f>+H39-401100</f>
        <v>467950</v>
      </c>
      <c r="J39" s="795">
        <f t="shared" si="0"/>
        <v>401100</v>
      </c>
      <c r="K39" s="43">
        <f t="shared" si="1"/>
        <v>53.8461538461538</v>
      </c>
      <c r="L39" s="44" t="s">
        <v>187</v>
      </c>
      <c r="M39" s="45" t="s">
        <v>431</v>
      </c>
    </row>
    <row r="40" ht="82.5" customHeight="1" spans="1:13">
      <c r="A40" s="22">
        <v>34</v>
      </c>
      <c r="B40" s="309" t="s">
        <v>188</v>
      </c>
      <c r="C40" s="24">
        <v>1600600094</v>
      </c>
      <c r="D40" s="24">
        <v>6411320</v>
      </c>
      <c r="E40" s="25" t="s">
        <v>189</v>
      </c>
      <c r="F40" s="26">
        <v>2000488807</v>
      </c>
      <c r="G40" s="32" t="s">
        <v>190</v>
      </c>
      <c r="H40" s="28">
        <v>1157091.2</v>
      </c>
      <c r="I40" s="42">
        <v>1157091.2</v>
      </c>
      <c r="J40" s="42">
        <f t="shared" si="0"/>
        <v>0</v>
      </c>
      <c r="K40" s="43">
        <f t="shared" si="1"/>
        <v>100</v>
      </c>
      <c r="L40" s="44" t="s">
        <v>191</v>
      </c>
      <c r="M40" s="46"/>
    </row>
    <row r="41" ht="84.75" customHeight="1" spans="1:13">
      <c r="A41" s="22">
        <v>35</v>
      </c>
      <c r="B41" s="309" t="s">
        <v>188</v>
      </c>
      <c r="C41" s="24">
        <v>1600600094</v>
      </c>
      <c r="D41" s="24">
        <v>6411320</v>
      </c>
      <c r="E41" s="25" t="s">
        <v>189</v>
      </c>
      <c r="F41" s="26">
        <v>2000523379</v>
      </c>
      <c r="G41" s="32" t="s">
        <v>190</v>
      </c>
      <c r="H41" s="28">
        <v>1891891.2</v>
      </c>
      <c r="I41" s="42">
        <f>+H41</f>
        <v>1891891.2</v>
      </c>
      <c r="J41" s="42">
        <f t="shared" si="0"/>
        <v>0</v>
      </c>
      <c r="K41" s="43">
        <f t="shared" si="1"/>
        <v>100</v>
      </c>
      <c r="L41" s="44" t="s">
        <v>191</v>
      </c>
      <c r="M41" s="46"/>
    </row>
    <row r="42" ht="90" customHeight="1" spans="1:13">
      <c r="A42" s="22">
        <v>36</v>
      </c>
      <c r="B42" s="309" t="s">
        <v>188</v>
      </c>
      <c r="C42" s="24">
        <v>1600600094</v>
      </c>
      <c r="D42" s="24">
        <v>6411320</v>
      </c>
      <c r="E42" s="25" t="s">
        <v>189</v>
      </c>
      <c r="F42" s="26">
        <v>2000545471</v>
      </c>
      <c r="G42" s="32" t="s">
        <v>190</v>
      </c>
      <c r="H42" s="28">
        <v>4000000</v>
      </c>
      <c r="I42" s="42">
        <f>+H42</f>
        <v>4000000</v>
      </c>
      <c r="J42" s="42">
        <f t="shared" si="0"/>
        <v>0</v>
      </c>
      <c r="K42" s="43">
        <f t="shared" si="1"/>
        <v>100</v>
      </c>
      <c r="L42" s="44" t="s">
        <v>191</v>
      </c>
      <c r="M42" s="46"/>
    </row>
    <row r="43" ht="90" customHeight="1" spans="1:13">
      <c r="A43" s="22">
        <v>37</v>
      </c>
      <c r="B43" s="309" t="s">
        <v>188</v>
      </c>
      <c r="C43" s="24">
        <v>1600600094</v>
      </c>
      <c r="D43" s="24">
        <v>6411320</v>
      </c>
      <c r="E43" s="25" t="s">
        <v>189</v>
      </c>
      <c r="F43" s="26">
        <v>2000545475</v>
      </c>
      <c r="G43" s="785" t="s">
        <v>190</v>
      </c>
      <c r="H43" s="778">
        <v>8000000</v>
      </c>
      <c r="I43" s="795">
        <f>+H43-3981411.2</f>
        <v>4018588.8</v>
      </c>
      <c r="J43" s="795">
        <f t="shared" si="0"/>
        <v>3981411.2</v>
      </c>
      <c r="K43" s="43">
        <f t="shared" si="1"/>
        <v>50.23236</v>
      </c>
      <c r="L43" s="44" t="s">
        <v>191</v>
      </c>
      <c r="M43" s="45" t="s">
        <v>431</v>
      </c>
    </row>
    <row r="44" ht="101.25" customHeight="1" spans="1:13">
      <c r="A44" s="22">
        <v>38</v>
      </c>
      <c r="B44" s="309" t="s">
        <v>192</v>
      </c>
      <c r="C44" s="24">
        <v>1600600100</v>
      </c>
      <c r="D44" s="24">
        <v>6411320</v>
      </c>
      <c r="E44" s="25" t="s">
        <v>193</v>
      </c>
      <c r="F44" s="26">
        <v>7015519780</v>
      </c>
      <c r="G44" s="785" t="s">
        <v>194</v>
      </c>
      <c r="H44" s="778">
        <v>5123000</v>
      </c>
      <c r="I44" s="795">
        <f>5123000-2398000</f>
        <v>2725000</v>
      </c>
      <c r="J44" s="795">
        <f t="shared" si="0"/>
        <v>2398000</v>
      </c>
      <c r="K44" s="43">
        <f t="shared" si="1"/>
        <v>53.1914893617021</v>
      </c>
      <c r="L44" s="44" t="s">
        <v>195</v>
      </c>
      <c r="M44" s="45" t="s">
        <v>431</v>
      </c>
    </row>
    <row r="45" ht="54" customHeight="1" spans="1:13">
      <c r="A45" s="22">
        <v>39</v>
      </c>
      <c r="B45" s="309" t="s">
        <v>196</v>
      </c>
      <c r="C45" s="24">
        <v>1600600108</v>
      </c>
      <c r="D45" s="24">
        <v>6411320</v>
      </c>
      <c r="E45" s="25" t="s">
        <v>197</v>
      </c>
      <c r="F45" s="26">
        <v>7016565486</v>
      </c>
      <c r="G45" s="786" t="s">
        <v>198</v>
      </c>
      <c r="H45" s="28">
        <v>499000</v>
      </c>
      <c r="I45" s="42">
        <v>499000</v>
      </c>
      <c r="J45" s="42">
        <f t="shared" si="0"/>
        <v>0</v>
      </c>
      <c r="K45" s="43">
        <f t="shared" si="1"/>
        <v>100</v>
      </c>
      <c r="L45" s="44" t="s">
        <v>199</v>
      </c>
      <c r="M45" s="46"/>
    </row>
    <row r="46" ht="51" customHeight="1" spans="1:13">
      <c r="A46" s="22">
        <v>40</v>
      </c>
      <c r="B46" s="309" t="s">
        <v>200</v>
      </c>
      <c r="C46" s="24">
        <v>1600600204</v>
      </c>
      <c r="D46" s="24">
        <v>6411320</v>
      </c>
      <c r="E46" s="29" t="s">
        <v>201</v>
      </c>
      <c r="F46" s="26">
        <v>7016760124</v>
      </c>
      <c r="G46" s="787" t="s">
        <v>202</v>
      </c>
      <c r="H46" s="28">
        <v>197393</v>
      </c>
      <c r="I46" s="42">
        <v>197393</v>
      </c>
      <c r="J46" s="42">
        <f t="shared" si="0"/>
        <v>0</v>
      </c>
      <c r="K46" s="43">
        <f t="shared" si="1"/>
        <v>100</v>
      </c>
      <c r="L46" s="44" t="s">
        <v>203</v>
      </c>
      <c r="M46" s="46"/>
    </row>
    <row r="47" ht="61.5" customHeight="1" spans="1:13">
      <c r="A47" s="22">
        <v>41</v>
      </c>
      <c r="B47" s="309" t="s">
        <v>200</v>
      </c>
      <c r="C47" s="24">
        <v>1600600204</v>
      </c>
      <c r="D47" s="24">
        <v>6411320</v>
      </c>
      <c r="E47" s="29" t="s">
        <v>204</v>
      </c>
      <c r="F47" s="26">
        <v>7016957441</v>
      </c>
      <c r="G47" s="787" t="s">
        <v>205</v>
      </c>
      <c r="H47" s="28">
        <v>158161.69</v>
      </c>
      <c r="I47" s="42">
        <v>158161.69</v>
      </c>
      <c r="J47" s="42">
        <f t="shared" si="0"/>
        <v>0</v>
      </c>
      <c r="K47" s="43">
        <f t="shared" si="1"/>
        <v>100</v>
      </c>
      <c r="L47" s="44" t="s">
        <v>206</v>
      </c>
      <c r="M47" s="46"/>
    </row>
    <row r="48" ht="61.5" customHeight="1" spans="1:13">
      <c r="A48" s="22">
        <v>42</v>
      </c>
      <c r="B48" s="23" t="s">
        <v>207</v>
      </c>
      <c r="C48" s="24">
        <v>1600600528</v>
      </c>
      <c r="D48" s="24">
        <v>6411320</v>
      </c>
      <c r="E48" s="29" t="s">
        <v>208</v>
      </c>
      <c r="F48" s="26">
        <v>7016838303</v>
      </c>
      <c r="G48" s="787" t="s">
        <v>209</v>
      </c>
      <c r="H48" s="28">
        <v>251500</v>
      </c>
      <c r="I48" s="42">
        <v>251500</v>
      </c>
      <c r="J48" s="42">
        <f t="shared" si="0"/>
        <v>0</v>
      </c>
      <c r="K48" s="43">
        <f t="shared" si="1"/>
        <v>100</v>
      </c>
      <c r="L48" s="44" t="s">
        <v>210</v>
      </c>
      <c r="M48" s="46"/>
    </row>
    <row r="49" ht="61.5" customHeight="1" spans="1:13">
      <c r="A49" s="22">
        <v>43</v>
      </c>
      <c r="B49" s="23" t="s">
        <v>211</v>
      </c>
      <c r="C49" s="24">
        <v>1600600717</v>
      </c>
      <c r="D49" s="24">
        <v>6411320</v>
      </c>
      <c r="E49" s="29" t="s">
        <v>212</v>
      </c>
      <c r="F49" s="26">
        <v>7016897990</v>
      </c>
      <c r="G49" s="788" t="s">
        <v>213</v>
      </c>
      <c r="H49" s="28">
        <v>498125.23</v>
      </c>
      <c r="I49" s="42">
        <v>498125.23</v>
      </c>
      <c r="J49" s="42">
        <f t="shared" si="0"/>
        <v>0</v>
      </c>
      <c r="K49" s="43">
        <f t="shared" si="1"/>
        <v>100</v>
      </c>
      <c r="L49" s="44" t="s">
        <v>214</v>
      </c>
      <c r="M49" s="46"/>
    </row>
    <row r="50" ht="40.5" customHeight="1" spans="1:13">
      <c r="A50" s="22">
        <v>44</v>
      </c>
      <c r="B50" s="23" t="s">
        <v>211</v>
      </c>
      <c r="C50" s="24">
        <v>1600600717</v>
      </c>
      <c r="D50" s="24">
        <v>6411320</v>
      </c>
      <c r="E50" s="29" t="s">
        <v>215</v>
      </c>
      <c r="F50" s="26">
        <v>7016930846</v>
      </c>
      <c r="G50" s="784" t="s">
        <v>216</v>
      </c>
      <c r="H50" s="28">
        <v>497832.5</v>
      </c>
      <c r="I50" s="42">
        <v>497832.5</v>
      </c>
      <c r="J50" s="42">
        <f t="shared" si="0"/>
        <v>0</v>
      </c>
      <c r="K50" s="43">
        <f t="shared" si="1"/>
        <v>100</v>
      </c>
      <c r="L50" s="44" t="s">
        <v>217</v>
      </c>
      <c r="M50" s="46"/>
    </row>
    <row r="51" ht="54.75" customHeight="1" spans="1:13">
      <c r="A51" s="22">
        <v>45</v>
      </c>
      <c r="B51" s="23" t="s">
        <v>211</v>
      </c>
      <c r="C51" s="24">
        <v>1600600717</v>
      </c>
      <c r="D51" s="24">
        <v>6411320</v>
      </c>
      <c r="E51" s="29" t="s">
        <v>218</v>
      </c>
      <c r="F51" s="26">
        <v>7016956119</v>
      </c>
      <c r="G51" s="788" t="s">
        <v>219</v>
      </c>
      <c r="H51" s="28">
        <v>498000</v>
      </c>
      <c r="I51" s="42">
        <v>498000</v>
      </c>
      <c r="J51" s="42">
        <f t="shared" si="0"/>
        <v>0</v>
      </c>
      <c r="K51" s="43">
        <f t="shared" si="1"/>
        <v>100</v>
      </c>
      <c r="L51" s="44" t="s">
        <v>206</v>
      </c>
      <c r="M51" s="46"/>
    </row>
    <row r="52" s="136" customFormat="1" ht="36" customHeight="1" spans="1:13">
      <c r="A52" s="779" t="s">
        <v>221</v>
      </c>
      <c r="B52" s="779"/>
      <c r="C52" s="779"/>
      <c r="D52" s="779"/>
      <c r="E52" s="779"/>
      <c r="F52" s="779"/>
      <c r="G52" s="779"/>
      <c r="H52" s="316">
        <f>SUM(H23:H51)</f>
        <v>121075475.32</v>
      </c>
      <c r="I52" s="169">
        <f t="shared" ref="I52:J52" si="3">SUM(I23:I51)</f>
        <v>52970904.29</v>
      </c>
      <c r="J52" s="316">
        <f t="shared" si="3"/>
        <v>68104571.03</v>
      </c>
      <c r="K52" s="169">
        <f t="shared" si="1"/>
        <v>43.750317023327</v>
      </c>
      <c r="L52" s="342"/>
      <c r="M52" s="168"/>
    </row>
    <row r="53" ht="100.5" customHeight="1" spans="1:13">
      <c r="A53" s="22">
        <v>46</v>
      </c>
      <c r="B53" s="23" t="s">
        <v>167</v>
      </c>
      <c r="C53" s="24">
        <v>1600600001</v>
      </c>
      <c r="D53" s="24">
        <v>6411500</v>
      </c>
      <c r="E53" s="29" t="s">
        <v>476</v>
      </c>
      <c r="F53" s="26">
        <v>7015989843</v>
      </c>
      <c r="G53" s="31" t="s">
        <v>477</v>
      </c>
      <c r="H53" s="28">
        <v>342195</v>
      </c>
      <c r="I53" s="42">
        <v>342195</v>
      </c>
      <c r="J53" s="42">
        <f t="shared" si="0"/>
        <v>0</v>
      </c>
      <c r="K53" s="43">
        <f t="shared" si="1"/>
        <v>100</v>
      </c>
      <c r="L53" s="44" t="s">
        <v>478</v>
      </c>
      <c r="M53" s="46"/>
    </row>
    <row r="54" spans="1:13">
      <c r="A54" s="22">
        <v>47</v>
      </c>
      <c r="B54" s="23" t="s">
        <v>167</v>
      </c>
      <c r="C54" s="24">
        <v>1600600001</v>
      </c>
      <c r="D54" s="24">
        <v>6411500</v>
      </c>
      <c r="E54" s="29" t="s">
        <v>397</v>
      </c>
      <c r="F54" s="26">
        <v>7016607297</v>
      </c>
      <c r="G54" s="31" t="s">
        <v>479</v>
      </c>
      <c r="H54" s="28">
        <v>450000</v>
      </c>
      <c r="I54" s="42">
        <v>450000</v>
      </c>
      <c r="J54" s="42">
        <f t="shared" si="0"/>
        <v>0</v>
      </c>
      <c r="K54" s="43">
        <f t="shared" si="1"/>
        <v>100</v>
      </c>
      <c r="L54" s="44" t="s">
        <v>480</v>
      </c>
      <c r="M54" s="46"/>
    </row>
    <row r="55" spans="1:13">
      <c r="A55" s="22">
        <v>48</v>
      </c>
      <c r="B55" s="23" t="s">
        <v>167</v>
      </c>
      <c r="C55" s="24">
        <v>1600600001</v>
      </c>
      <c r="D55" s="24">
        <v>6411500</v>
      </c>
      <c r="E55" s="29" t="s">
        <v>372</v>
      </c>
      <c r="F55" s="26">
        <v>7016608009</v>
      </c>
      <c r="G55" s="31" t="s">
        <v>481</v>
      </c>
      <c r="H55" s="28">
        <v>163700</v>
      </c>
      <c r="I55" s="42">
        <v>163700</v>
      </c>
      <c r="J55" s="42">
        <f t="shared" si="0"/>
        <v>0</v>
      </c>
      <c r="K55" s="43">
        <f t="shared" si="1"/>
        <v>100</v>
      </c>
      <c r="L55" s="44" t="s">
        <v>480</v>
      </c>
      <c r="M55" s="46"/>
    </row>
    <row r="56" spans="1:13">
      <c r="A56" s="22">
        <v>49</v>
      </c>
      <c r="B56" s="23" t="s">
        <v>167</v>
      </c>
      <c r="C56" s="24">
        <v>1600600001</v>
      </c>
      <c r="D56" s="24">
        <v>6411500</v>
      </c>
      <c r="E56" s="29" t="s">
        <v>482</v>
      </c>
      <c r="F56" s="26">
        <v>7016658976</v>
      </c>
      <c r="G56" s="31" t="s">
        <v>483</v>
      </c>
      <c r="H56" s="28">
        <v>256800</v>
      </c>
      <c r="I56" s="42">
        <v>256800</v>
      </c>
      <c r="J56" s="42">
        <f t="shared" si="0"/>
        <v>0</v>
      </c>
      <c r="K56" s="43">
        <f t="shared" si="1"/>
        <v>100</v>
      </c>
      <c r="L56" s="44" t="s">
        <v>484</v>
      </c>
      <c r="M56" s="46"/>
    </row>
    <row r="57" spans="1:13">
      <c r="A57" s="22">
        <v>50</v>
      </c>
      <c r="B57" s="23" t="s">
        <v>167</v>
      </c>
      <c r="C57" s="24">
        <v>1600600001</v>
      </c>
      <c r="D57" s="24">
        <v>6411500</v>
      </c>
      <c r="E57" s="29" t="s">
        <v>374</v>
      </c>
      <c r="F57" s="26">
        <v>7016690460</v>
      </c>
      <c r="G57" s="31" t="s">
        <v>485</v>
      </c>
      <c r="H57" s="28">
        <v>500000</v>
      </c>
      <c r="I57" s="42">
        <v>500000</v>
      </c>
      <c r="J57" s="42">
        <f t="shared" si="0"/>
        <v>0</v>
      </c>
      <c r="K57" s="43">
        <f t="shared" si="1"/>
        <v>100</v>
      </c>
      <c r="L57" s="44" t="s">
        <v>210</v>
      </c>
      <c r="M57" s="46"/>
    </row>
    <row r="58" spans="1:13">
      <c r="A58" s="22">
        <v>51</v>
      </c>
      <c r="B58" s="23" t="s">
        <v>167</v>
      </c>
      <c r="C58" s="24">
        <v>1600600001</v>
      </c>
      <c r="D58" s="24">
        <v>6411500</v>
      </c>
      <c r="E58" s="29" t="s">
        <v>394</v>
      </c>
      <c r="F58" s="26">
        <v>7016741548</v>
      </c>
      <c r="G58" s="31" t="s">
        <v>486</v>
      </c>
      <c r="H58" s="28">
        <v>224700</v>
      </c>
      <c r="I58" s="42">
        <v>224700</v>
      </c>
      <c r="J58" s="42">
        <f t="shared" si="0"/>
        <v>0</v>
      </c>
      <c r="K58" s="43">
        <f t="shared" si="1"/>
        <v>100</v>
      </c>
      <c r="L58" s="44" t="s">
        <v>487</v>
      </c>
      <c r="M58" s="46"/>
    </row>
    <row r="59" spans="1:13">
      <c r="A59" s="22">
        <v>52</v>
      </c>
      <c r="B59" s="23" t="s">
        <v>167</v>
      </c>
      <c r="C59" s="24">
        <v>1600600001</v>
      </c>
      <c r="D59" s="24">
        <v>6411500</v>
      </c>
      <c r="E59" s="29" t="s">
        <v>397</v>
      </c>
      <c r="F59" s="26">
        <v>7016802740</v>
      </c>
      <c r="G59" s="31" t="s">
        <v>488</v>
      </c>
      <c r="H59" s="28">
        <v>65612.4</v>
      </c>
      <c r="I59" s="42">
        <v>65612.4</v>
      </c>
      <c r="J59" s="42">
        <f t="shared" si="0"/>
        <v>0</v>
      </c>
      <c r="K59" s="43">
        <f t="shared" si="1"/>
        <v>100</v>
      </c>
      <c r="L59" s="44" t="s">
        <v>478</v>
      </c>
      <c r="M59" s="46"/>
    </row>
    <row r="60" spans="1:13">
      <c r="A60" s="22">
        <v>53</v>
      </c>
      <c r="B60" s="23" t="s">
        <v>167</v>
      </c>
      <c r="C60" s="24">
        <v>1600600001</v>
      </c>
      <c r="D60" s="24">
        <v>6411500</v>
      </c>
      <c r="E60" s="29" t="s">
        <v>397</v>
      </c>
      <c r="F60" s="26">
        <v>7016803004</v>
      </c>
      <c r="G60" s="31" t="s">
        <v>489</v>
      </c>
      <c r="H60" s="28">
        <v>104000</v>
      </c>
      <c r="I60" s="42">
        <v>104000</v>
      </c>
      <c r="J60" s="42">
        <f t="shared" si="0"/>
        <v>0</v>
      </c>
      <c r="K60" s="43">
        <f t="shared" si="1"/>
        <v>100</v>
      </c>
      <c r="L60" s="44" t="s">
        <v>478</v>
      </c>
      <c r="M60" s="46"/>
    </row>
    <row r="61" ht="99" customHeight="1" spans="1:13">
      <c r="A61" s="22">
        <v>54</v>
      </c>
      <c r="B61" s="23" t="s">
        <v>167</v>
      </c>
      <c r="C61" s="24">
        <v>1600600001</v>
      </c>
      <c r="D61" s="24">
        <v>6411500</v>
      </c>
      <c r="E61" s="29" t="s">
        <v>490</v>
      </c>
      <c r="F61" s="26">
        <v>7016960871</v>
      </c>
      <c r="G61" s="783" t="s">
        <v>491</v>
      </c>
      <c r="H61" s="778">
        <v>4022000</v>
      </c>
      <c r="I61" s="795">
        <v>1206600</v>
      </c>
      <c r="J61" s="795">
        <f t="shared" si="0"/>
        <v>2815400</v>
      </c>
      <c r="K61" s="43">
        <f t="shared" si="1"/>
        <v>30</v>
      </c>
      <c r="L61" s="44" t="s">
        <v>492</v>
      </c>
      <c r="M61" s="45" t="s">
        <v>431</v>
      </c>
    </row>
    <row r="62" s="776" customFormat="1" ht="30.75" hidden="1" customHeight="1" spans="1:13">
      <c r="A62" s="789" t="s">
        <v>493</v>
      </c>
      <c r="B62" s="789"/>
      <c r="C62" s="789"/>
      <c r="D62" s="789"/>
      <c r="E62" s="789"/>
      <c r="F62" s="789"/>
      <c r="G62" s="789"/>
      <c r="H62" s="790">
        <f>SUM(H53:H61)</f>
        <v>6129007.4</v>
      </c>
      <c r="I62" s="797">
        <f t="shared" ref="I62:J62" si="4">SUM(I53:I61)</f>
        <v>3313607.4</v>
      </c>
      <c r="J62" s="790">
        <f t="shared" si="4"/>
        <v>2815400</v>
      </c>
      <c r="K62" s="43">
        <f t="shared" si="1"/>
        <v>54.0643400104232</v>
      </c>
      <c r="L62" s="798"/>
      <c r="M62" s="40"/>
    </row>
    <row r="63" s="4" customFormat="1" ht="42" spans="1:13">
      <c r="A63" s="22">
        <v>55</v>
      </c>
      <c r="B63" s="791" t="s">
        <v>494</v>
      </c>
      <c r="C63" s="792"/>
      <c r="D63" s="792"/>
      <c r="E63" s="792"/>
      <c r="F63" s="793"/>
      <c r="G63" s="781" t="s">
        <v>495</v>
      </c>
      <c r="H63" s="794">
        <v>5000000</v>
      </c>
      <c r="I63" s="799">
        <v>5000000</v>
      </c>
      <c r="J63" s="799">
        <f>+H63-I63</f>
        <v>0</v>
      </c>
      <c r="K63" s="43"/>
      <c r="L63" s="800" t="s">
        <v>496</v>
      </c>
      <c r="M63" s="801"/>
    </row>
    <row r="64" s="135" customFormat="1" ht="30.75" customHeight="1" spans="1:13">
      <c r="A64" s="779" t="s">
        <v>497</v>
      </c>
      <c r="B64" s="779"/>
      <c r="C64" s="779"/>
      <c r="D64" s="779"/>
      <c r="E64" s="779"/>
      <c r="F64" s="779"/>
      <c r="G64" s="779"/>
      <c r="H64" s="340">
        <f>+H62+H63</f>
        <v>11129007.4</v>
      </c>
      <c r="I64" s="802">
        <f t="shared" ref="I64:J64" si="5">+I62+I63</f>
        <v>8313607.4</v>
      </c>
      <c r="J64" s="340">
        <f t="shared" si="5"/>
        <v>2815400</v>
      </c>
      <c r="K64" s="169">
        <f t="shared" ref="K64" si="6">+I64*100/H64</f>
        <v>74.7021463926783</v>
      </c>
      <c r="L64" s="342"/>
      <c r="M64" s="163"/>
    </row>
    <row r="65" s="3" customFormat="1" ht="36" customHeight="1" spans="1:13">
      <c r="A65" s="34" t="s">
        <v>350</v>
      </c>
      <c r="B65" s="34"/>
      <c r="C65" s="34"/>
      <c r="D65" s="34"/>
      <c r="E65" s="34"/>
      <c r="F65" s="34"/>
      <c r="G65" s="34"/>
      <c r="H65" s="35">
        <f>+H22+H52+H64</f>
        <v>141444872.72</v>
      </c>
      <c r="I65" s="35">
        <f t="shared" ref="I65:J65" si="7">+I22+I52+I64</f>
        <v>69886281.69</v>
      </c>
      <c r="J65" s="35">
        <f t="shared" si="7"/>
        <v>71558591.03</v>
      </c>
      <c r="K65" s="47">
        <f t="shared" si="1"/>
        <v>49.4088476634602</v>
      </c>
      <c r="L65" s="48"/>
      <c r="M65" s="49"/>
    </row>
    <row r="66" hidden="1" spans="1:12">
      <c r="A66" s="22"/>
      <c r="B66" s="23"/>
      <c r="C66" s="36"/>
      <c r="D66" s="36"/>
      <c r="E66" s="29"/>
      <c r="F66" s="36"/>
      <c r="G66" s="33" t="s">
        <v>15</v>
      </c>
      <c r="H66" s="37">
        <f>+H23+H24+H25+H26+H27+H28+H29+H30+H31+H32+H33</f>
        <v>3678102.5</v>
      </c>
      <c r="I66" s="37">
        <f t="shared" ref="I66:J66" si="8">+I23+I24+I25+I26+I27+I28+I29+I30+I31+I32+I33</f>
        <v>2801505</v>
      </c>
      <c r="J66" s="37">
        <f t="shared" si="8"/>
        <v>876597.5</v>
      </c>
      <c r="K66" s="46"/>
      <c r="L66" s="50">
        <f>+I66/1000000</f>
        <v>2.801505</v>
      </c>
    </row>
    <row r="67" hidden="1" spans="1:12">
      <c r="A67" s="22"/>
      <c r="B67" s="23"/>
      <c r="C67" s="36"/>
      <c r="D67" s="36"/>
      <c r="E67" s="29"/>
      <c r="F67" s="36"/>
      <c r="G67" s="33" t="s">
        <v>222</v>
      </c>
      <c r="H67" s="38">
        <f>+H34+H35+H36+H37+H38+H39+H40+H41+H42+H43+H44+H45+H46+H47+H48+H49+H50+H51</f>
        <v>117397372.82</v>
      </c>
      <c r="I67" s="38">
        <f t="shared" ref="I67:J67" si="9">+I34+I35+I36+I37+I38+I39+I40+I41+I42+I43+I44+I45+I46+I47+I48+I49+I50+I51</f>
        <v>50169399.29</v>
      </c>
      <c r="J67" s="38">
        <f t="shared" si="9"/>
        <v>67227973.53</v>
      </c>
      <c r="K67" s="46"/>
      <c r="L67" s="50">
        <f t="shared" ref="L67:L68" si="10">+I67/1000000</f>
        <v>50.16939929</v>
      </c>
    </row>
    <row r="68" hidden="1" spans="1:12">
      <c r="A68" s="22"/>
      <c r="B68" s="23"/>
      <c r="C68" s="36"/>
      <c r="D68" s="36"/>
      <c r="E68" s="29"/>
      <c r="F68" s="36"/>
      <c r="G68" s="33" t="s">
        <v>221</v>
      </c>
      <c r="H68" s="37">
        <f>SUM(H66:H67)</f>
        <v>121075475.32</v>
      </c>
      <c r="I68" s="37">
        <f t="shared" ref="I68:J68" si="11">SUM(I66:I67)</f>
        <v>52970904.29</v>
      </c>
      <c r="J68" s="37">
        <f t="shared" si="11"/>
        <v>68104571.03</v>
      </c>
      <c r="K68" s="46"/>
      <c r="L68" s="50">
        <f t="shared" si="10"/>
        <v>52.97090429</v>
      </c>
    </row>
    <row r="69" hidden="1" spans="12:12">
      <c r="L69" s="50"/>
    </row>
    <row r="70" hidden="1"/>
    <row r="71" hidden="1"/>
  </sheetData>
  <mergeCells count="19">
    <mergeCell ref="A1:M1"/>
    <mergeCell ref="A2:M2"/>
    <mergeCell ref="A3:M3"/>
    <mergeCell ref="A22:G22"/>
    <mergeCell ref="A52:G52"/>
    <mergeCell ref="A62:G62"/>
    <mergeCell ref="B63:F63"/>
    <mergeCell ref="A64:G64"/>
    <mergeCell ref="A65:G65"/>
    <mergeCell ref="B4:B5"/>
    <mergeCell ref="C4:C5"/>
    <mergeCell ref="D4:D5"/>
    <mergeCell ref="E4:E5"/>
    <mergeCell ref="F4:F5"/>
    <mergeCell ref="G4:G5"/>
    <mergeCell ref="H4:H5"/>
    <mergeCell ref="J4:J5"/>
    <mergeCell ref="L4:L5"/>
    <mergeCell ref="M4:M5"/>
  </mergeCells>
  <printOptions horizontalCentered="1"/>
  <pageMargins left="0.433070866141732" right="0" top="0.748031496062992" bottom="0.748031496062992" header="0.31496062992126" footer="0.31496062992126"/>
  <pageSetup paperSize="9" scale="61" orientation="landscape"/>
  <headerFooter>
    <oddFooter>&amp;Cหน้าที่ &amp;P จาก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2060"/>
  </sheetPr>
  <dimension ref="A1:N122"/>
  <sheetViews>
    <sheetView topLeftCell="A6" workbookViewId="0">
      <pane ySplit="1455" topLeftCell="A100" activePane="bottomLeft"/>
      <selection/>
      <selection pane="bottomLeft" activeCell="E122" sqref="E122"/>
    </sheetView>
  </sheetViews>
  <sheetFormatPr defaultColWidth="9.14285714285714" defaultRowHeight="21.75"/>
  <cols>
    <col min="1" max="1" width="6.42857142857143" style="351" customWidth="1"/>
    <col min="2" max="2" width="15.4285714285714" style="351" customWidth="1"/>
    <col min="3" max="3" width="16.1428571428571" style="726" customWidth="1"/>
    <col min="4" max="4" width="16.1428571428571" style="726" hidden="1" customWidth="1"/>
    <col min="5" max="7" width="18.8571428571429" style="728" customWidth="1"/>
    <col min="8" max="8" width="15.1428571428571" style="351" hidden="1" customWidth="1"/>
    <col min="9" max="9" width="12.7142857142857" style="351" hidden="1" customWidth="1"/>
    <col min="10" max="10" width="14.5714285714286" style="351" hidden="1" customWidth="1"/>
    <col min="11" max="11" width="15.1428571428571" style="351" hidden="1" customWidth="1"/>
    <col min="12" max="12" width="14.5714285714286" style="351" hidden="1" customWidth="1"/>
    <col min="13" max="13" width="14.5714285714286" style="729" hidden="1" customWidth="1"/>
    <col min="14" max="14" width="16.8571428571429" style="730" customWidth="1"/>
    <col min="15" max="15" width="9.14285714285714" style="351"/>
    <col min="16" max="16" width="9.14285714285714" style="351" customWidth="1"/>
    <col min="17" max="16384" width="9.14285714285714" style="351"/>
  </cols>
  <sheetData>
    <row r="1" ht="23.25" spans="1:14">
      <c r="A1" s="731" t="s">
        <v>0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</row>
    <row r="2" ht="23.25" spans="1:14">
      <c r="A2" s="732" t="s">
        <v>498</v>
      </c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</row>
    <row r="3" ht="23.25" spans="1:14">
      <c r="A3" s="732" t="s">
        <v>499</v>
      </c>
      <c r="B3" s="732"/>
      <c r="C3" s="732"/>
      <c r="D3" s="732"/>
      <c r="E3" s="732"/>
      <c r="F3" s="732"/>
      <c r="G3" s="732"/>
      <c r="H3" s="732"/>
      <c r="I3" s="732"/>
      <c r="J3" s="732"/>
      <c r="K3" s="732"/>
      <c r="L3" s="732"/>
      <c r="M3" s="732"/>
      <c r="N3" s="732"/>
    </row>
    <row r="4" ht="23.25" spans="1:14">
      <c r="A4" s="733" t="str">
        <f>+งบรายจ่ายอื่น!A4:K4</f>
        <v>ตั้งแต่วันที่ 1  ตุลาคม 2564 ถึงวันที่ 30 เมษายน 2565</v>
      </c>
      <c r="B4" s="732"/>
      <c r="C4" s="732"/>
      <c r="D4" s="732"/>
      <c r="E4" s="732"/>
      <c r="F4" s="732"/>
      <c r="G4" s="732"/>
      <c r="H4" s="732"/>
      <c r="I4" s="732"/>
      <c r="J4" s="732"/>
      <c r="K4" s="732"/>
      <c r="L4" s="732"/>
      <c r="M4" s="732"/>
      <c r="N4" s="732"/>
    </row>
    <row r="5" s="724" customFormat="1" ht="23.25" spans="1:14">
      <c r="A5" s="734" t="s">
        <v>155</v>
      </c>
      <c r="B5" s="734" t="s">
        <v>500</v>
      </c>
      <c r="C5" s="734"/>
      <c r="D5" s="735"/>
      <c r="E5" s="736" t="s">
        <v>501</v>
      </c>
      <c r="F5" s="736"/>
      <c r="G5" s="736"/>
      <c r="H5" s="736" t="s">
        <v>502</v>
      </c>
      <c r="I5" s="736"/>
      <c r="J5" s="736"/>
      <c r="K5" s="736" t="s">
        <v>503</v>
      </c>
      <c r="L5" s="736"/>
      <c r="M5" s="736"/>
      <c r="N5" s="745" t="s">
        <v>504</v>
      </c>
    </row>
    <row r="6" s="724" customFormat="1" ht="23.25" spans="1:14">
      <c r="A6" s="734"/>
      <c r="B6" s="734"/>
      <c r="C6" s="734"/>
      <c r="D6" s="737"/>
      <c r="E6" s="738" t="s">
        <v>79</v>
      </c>
      <c r="F6" s="738" t="s">
        <v>26</v>
      </c>
      <c r="G6" s="738" t="s">
        <v>111</v>
      </c>
      <c r="H6" s="738" t="s">
        <v>79</v>
      </c>
      <c r="I6" s="738" t="s">
        <v>26</v>
      </c>
      <c r="J6" s="738" t="s">
        <v>111</v>
      </c>
      <c r="K6" s="746" t="s">
        <v>79</v>
      </c>
      <c r="L6" s="746" t="s">
        <v>26</v>
      </c>
      <c r="M6" s="746" t="s">
        <v>111</v>
      </c>
      <c r="N6" s="747" t="s">
        <v>505</v>
      </c>
    </row>
    <row r="7" spans="1:14">
      <c r="A7" s="739">
        <v>1</v>
      </c>
      <c r="B7" s="740" t="s">
        <v>506</v>
      </c>
      <c r="C7" s="741"/>
      <c r="D7" s="742">
        <v>1600600001</v>
      </c>
      <c r="E7" s="743">
        <v>1336965</v>
      </c>
      <c r="F7" s="743">
        <v>6600</v>
      </c>
      <c r="G7" s="744">
        <f>+E7-F7</f>
        <v>1330365</v>
      </c>
      <c r="H7" s="744">
        <v>0</v>
      </c>
      <c r="I7" s="743">
        <v>0</v>
      </c>
      <c r="J7" s="743">
        <f>+H7-I7</f>
        <v>0</v>
      </c>
      <c r="K7" s="743">
        <f>+E7+H7</f>
        <v>1336965</v>
      </c>
      <c r="L7" s="743">
        <f>+F7+I7</f>
        <v>6600</v>
      </c>
      <c r="M7" s="748">
        <f>+K7-L7</f>
        <v>1330365</v>
      </c>
      <c r="N7" s="749">
        <f>+L7*100/K7</f>
        <v>0.493655406087669</v>
      </c>
    </row>
    <row r="8" spans="1:14">
      <c r="A8" s="739">
        <v>2</v>
      </c>
      <c r="B8" s="740" t="s">
        <v>507</v>
      </c>
      <c r="C8" s="741" t="s">
        <v>508</v>
      </c>
      <c r="D8" s="742">
        <v>1600600013</v>
      </c>
      <c r="E8" s="743">
        <v>0</v>
      </c>
      <c r="F8" s="743">
        <v>0</v>
      </c>
      <c r="G8" s="744">
        <f t="shared" ref="G8:G71" si="0">+E8-F8</f>
        <v>0</v>
      </c>
      <c r="H8" s="744">
        <v>0</v>
      </c>
      <c r="I8" s="743">
        <v>0</v>
      </c>
      <c r="J8" s="743">
        <f t="shared" ref="J8:J71" si="1">+H8-I8</f>
        <v>0</v>
      </c>
      <c r="K8" s="743">
        <f t="shared" ref="K8:K71" si="2">+E8+H8</f>
        <v>0</v>
      </c>
      <c r="L8" s="743">
        <f t="shared" ref="L8:L71" si="3">+F8+I8</f>
        <v>0</v>
      </c>
      <c r="M8" s="748">
        <f t="shared" ref="M8:M71" si="4">+K8-L8</f>
        <v>0</v>
      </c>
      <c r="N8" s="750" t="e">
        <f t="shared" ref="N8:N71" si="5">+L8*100/K8</f>
        <v>#DIV/0!</v>
      </c>
    </row>
    <row r="9" spans="1:14">
      <c r="A9" s="739">
        <v>3</v>
      </c>
      <c r="B9" s="740" t="s">
        <v>509</v>
      </c>
      <c r="C9" s="741" t="s">
        <v>510</v>
      </c>
      <c r="D9" s="742">
        <v>1600600021</v>
      </c>
      <c r="E9" s="743">
        <v>0</v>
      </c>
      <c r="F9" s="743">
        <v>0</v>
      </c>
      <c r="G9" s="744">
        <f t="shared" si="0"/>
        <v>0</v>
      </c>
      <c r="H9" s="744">
        <v>0</v>
      </c>
      <c r="I9" s="743">
        <v>0</v>
      </c>
      <c r="J9" s="743">
        <f t="shared" si="1"/>
        <v>0</v>
      </c>
      <c r="K9" s="743">
        <f t="shared" si="2"/>
        <v>0</v>
      </c>
      <c r="L9" s="743">
        <f t="shared" si="3"/>
        <v>0</v>
      </c>
      <c r="M9" s="748">
        <f t="shared" si="4"/>
        <v>0</v>
      </c>
      <c r="N9" s="750" t="e">
        <f t="shared" si="5"/>
        <v>#DIV/0!</v>
      </c>
    </row>
    <row r="10" spans="1:14">
      <c r="A10" s="739">
        <v>4</v>
      </c>
      <c r="B10" s="740" t="s">
        <v>509</v>
      </c>
      <c r="C10" s="741" t="s">
        <v>511</v>
      </c>
      <c r="D10" s="742">
        <v>1600600026</v>
      </c>
      <c r="E10" s="743">
        <v>0</v>
      </c>
      <c r="F10" s="743">
        <v>0</v>
      </c>
      <c r="G10" s="744">
        <f t="shared" si="0"/>
        <v>0</v>
      </c>
      <c r="H10" s="744">
        <v>0</v>
      </c>
      <c r="I10" s="743">
        <v>0</v>
      </c>
      <c r="J10" s="743">
        <f t="shared" si="1"/>
        <v>0</v>
      </c>
      <c r="K10" s="743">
        <f t="shared" si="2"/>
        <v>0</v>
      </c>
      <c r="L10" s="743">
        <f t="shared" si="3"/>
        <v>0</v>
      </c>
      <c r="M10" s="748">
        <f t="shared" si="4"/>
        <v>0</v>
      </c>
      <c r="N10" s="750" t="e">
        <f t="shared" si="5"/>
        <v>#DIV/0!</v>
      </c>
    </row>
    <row r="11" spans="1:14">
      <c r="A11" s="739">
        <v>5</v>
      </c>
      <c r="B11" s="740" t="s">
        <v>509</v>
      </c>
      <c r="C11" s="741" t="s">
        <v>512</v>
      </c>
      <c r="D11" s="742">
        <v>1600600031</v>
      </c>
      <c r="E11" s="743">
        <v>0</v>
      </c>
      <c r="F11" s="743">
        <v>0</v>
      </c>
      <c r="G11" s="744">
        <f t="shared" si="0"/>
        <v>0</v>
      </c>
      <c r="H11" s="744">
        <v>0</v>
      </c>
      <c r="I11" s="743">
        <v>0</v>
      </c>
      <c r="J11" s="743">
        <f t="shared" si="1"/>
        <v>0</v>
      </c>
      <c r="K11" s="743">
        <f t="shared" si="2"/>
        <v>0</v>
      </c>
      <c r="L11" s="743">
        <f t="shared" si="3"/>
        <v>0</v>
      </c>
      <c r="M11" s="748">
        <f t="shared" si="4"/>
        <v>0</v>
      </c>
      <c r="N11" s="750" t="e">
        <f t="shared" si="5"/>
        <v>#DIV/0!</v>
      </c>
    </row>
    <row r="12" spans="1:14">
      <c r="A12" s="739">
        <v>6</v>
      </c>
      <c r="B12" s="740" t="s">
        <v>509</v>
      </c>
      <c r="C12" s="741" t="s">
        <v>513</v>
      </c>
      <c r="D12" s="742">
        <v>1600600036</v>
      </c>
      <c r="E12" s="743">
        <v>144000</v>
      </c>
      <c r="F12" s="743">
        <v>139800</v>
      </c>
      <c r="G12" s="744">
        <f t="shared" si="0"/>
        <v>4200</v>
      </c>
      <c r="H12" s="744">
        <v>0</v>
      </c>
      <c r="I12" s="743">
        <v>0</v>
      </c>
      <c r="J12" s="743">
        <f t="shared" si="1"/>
        <v>0</v>
      </c>
      <c r="K12" s="743">
        <f t="shared" si="2"/>
        <v>144000</v>
      </c>
      <c r="L12" s="743">
        <f t="shared" si="3"/>
        <v>139800</v>
      </c>
      <c r="M12" s="748">
        <f t="shared" si="4"/>
        <v>4200</v>
      </c>
      <c r="N12" s="749">
        <f t="shared" si="5"/>
        <v>97.0833333333333</v>
      </c>
    </row>
    <row r="13" spans="1:14">
      <c r="A13" s="739">
        <v>7</v>
      </c>
      <c r="B13" s="740" t="s">
        <v>509</v>
      </c>
      <c r="C13" s="741" t="s">
        <v>514</v>
      </c>
      <c r="D13" s="742">
        <v>1600600041</v>
      </c>
      <c r="E13" s="743">
        <v>0</v>
      </c>
      <c r="F13" s="743">
        <v>0</v>
      </c>
      <c r="G13" s="744">
        <f t="shared" si="0"/>
        <v>0</v>
      </c>
      <c r="H13" s="744">
        <v>0</v>
      </c>
      <c r="I13" s="743">
        <v>0</v>
      </c>
      <c r="J13" s="743">
        <f t="shared" si="1"/>
        <v>0</v>
      </c>
      <c r="K13" s="743">
        <f t="shared" si="2"/>
        <v>0</v>
      </c>
      <c r="L13" s="743">
        <f t="shared" si="3"/>
        <v>0</v>
      </c>
      <c r="M13" s="748">
        <f t="shared" si="4"/>
        <v>0</v>
      </c>
      <c r="N13" s="750" t="e">
        <f t="shared" si="5"/>
        <v>#DIV/0!</v>
      </c>
    </row>
    <row r="14" spans="1:14">
      <c r="A14" s="739">
        <v>8</v>
      </c>
      <c r="B14" s="740" t="s">
        <v>515</v>
      </c>
      <c r="C14" s="741"/>
      <c r="D14" s="742">
        <v>1600600046</v>
      </c>
      <c r="E14" s="743">
        <v>0</v>
      </c>
      <c r="F14" s="743">
        <v>0</v>
      </c>
      <c r="G14" s="744">
        <f t="shared" si="0"/>
        <v>0</v>
      </c>
      <c r="H14" s="744">
        <v>0</v>
      </c>
      <c r="I14" s="743">
        <v>0</v>
      </c>
      <c r="J14" s="743">
        <f t="shared" si="1"/>
        <v>0</v>
      </c>
      <c r="K14" s="743">
        <f t="shared" si="2"/>
        <v>0</v>
      </c>
      <c r="L14" s="743">
        <f t="shared" si="3"/>
        <v>0</v>
      </c>
      <c r="M14" s="748">
        <f t="shared" si="4"/>
        <v>0</v>
      </c>
      <c r="N14" s="750" t="e">
        <f t="shared" si="5"/>
        <v>#DIV/0!</v>
      </c>
    </row>
    <row r="15" spans="1:14">
      <c r="A15" s="739">
        <v>9</v>
      </c>
      <c r="B15" s="740" t="s">
        <v>516</v>
      </c>
      <c r="C15" s="741"/>
      <c r="D15" s="742">
        <v>1600600052</v>
      </c>
      <c r="E15" s="743">
        <v>0</v>
      </c>
      <c r="F15" s="743">
        <v>0</v>
      </c>
      <c r="G15" s="744">
        <f t="shared" si="0"/>
        <v>0</v>
      </c>
      <c r="H15" s="744">
        <v>0</v>
      </c>
      <c r="I15" s="743">
        <v>0</v>
      </c>
      <c r="J15" s="743">
        <f t="shared" si="1"/>
        <v>0</v>
      </c>
      <c r="K15" s="743">
        <f t="shared" si="2"/>
        <v>0</v>
      </c>
      <c r="L15" s="743">
        <f t="shared" si="3"/>
        <v>0</v>
      </c>
      <c r="M15" s="748">
        <f t="shared" si="4"/>
        <v>0</v>
      </c>
      <c r="N15" s="750" t="e">
        <f t="shared" si="5"/>
        <v>#DIV/0!</v>
      </c>
    </row>
    <row r="16" spans="1:14">
      <c r="A16" s="739">
        <v>10</v>
      </c>
      <c r="B16" s="740" t="s">
        <v>517</v>
      </c>
      <c r="C16" s="741"/>
      <c r="D16" s="742">
        <v>1600600058</v>
      </c>
      <c r="E16" s="743">
        <v>0</v>
      </c>
      <c r="F16" s="743">
        <v>0</v>
      </c>
      <c r="G16" s="744">
        <f t="shared" si="0"/>
        <v>0</v>
      </c>
      <c r="H16" s="744">
        <v>0</v>
      </c>
      <c r="I16" s="743">
        <v>0</v>
      </c>
      <c r="J16" s="743">
        <f t="shared" si="1"/>
        <v>0</v>
      </c>
      <c r="K16" s="743">
        <f t="shared" si="2"/>
        <v>0</v>
      </c>
      <c r="L16" s="743">
        <f t="shared" si="3"/>
        <v>0</v>
      </c>
      <c r="M16" s="748">
        <f t="shared" si="4"/>
        <v>0</v>
      </c>
      <c r="N16" s="750" t="e">
        <f t="shared" si="5"/>
        <v>#DIV/0!</v>
      </c>
    </row>
    <row r="17" spans="1:14">
      <c r="A17" s="739">
        <v>11</v>
      </c>
      <c r="B17" s="740" t="s">
        <v>518</v>
      </c>
      <c r="C17" s="741"/>
      <c r="D17" s="742">
        <v>1600600064</v>
      </c>
      <c r="E17" s="743">
        <v>36000</v>
      </c>
      <c r="F17" s="743">
        <v>36000</v>
      </c>
      <c r="G17" s="744">
        <f t="shared" si="0"/>
        <v>0</v>
      </c>
      <c r="H17" s="744">
        <v>0</v>
      </c>
      <c r="I17" s="743">
        <v>0</v>
      </c>
      <c r="J17" s="743">
        <f t="shared" si="1"/>
        <v>0</v>
      </c>
      <c r="K17" s="743">
        <f t="shared" si="2"/>
        <v>36000</v>
      </c>
      <c r="L17" s="743">
        <f t="shared" si="3"/>
        <v>36000</v>
      </c>
      <c r="M17" s="748">
        <f t="shared" si="4"/>
        <v>0</v>
      </c>
      <c r="N17" s="749">
        <f t="shared" si="5"/>
        <v>100</v>
      </c>
    </row>
    <row r="18" spans="1:14">
      <c r="A18" s="739">
        <v>12</v>
      </c>
      <c r="B18" s="740" t="s">
        <v>519</v>
      </c>
      <c r="C18" s="741"/>
      <c r="D18" s="742">
        <v>1600600070</v>
      </c>
      <c r="E18" s="743">
        <v>126000</v>
      </c>
      <c r="F18" s="743">
        <v>91180.6</v>
      </c>
      <c r="G18" s="744">
        <f t="shared" si="0"/>
        <v>34819.4</v>
      </c>
      <c r="H18" s="744">
        <v>0</v>
      </c>
      <c r="I18" s="743">
        <v>0</v>
      </c>
      <c r="J18" s="743">
        <f t="shared" si="1"/>
        <v>0</v>
      </c>
      <c r="K18" s="743">
        <f t="shared" si="2"/>
        <v>126000</v>
      </c>
      <c r="L18" s="743">
        <f t="shared" si="3"/>
        <v>91180.6</v>
      </c>
      <c r="M18" s="748">
        <f t="shared" si="4"/>
        <v>34819.4</v>
      </c>
      <c r="N18" s="749">
        <f t="shared" si="5"/>
        <v>72.3655555555556</v>
      </c>
    </row>
    <row r="19" spans="1:14">
      <c r="A19" s="739">
        <v>13</v>
      </c>
      <c r="B19" s="740" t="s">
        <v>520</v>
      </c>
      <c r="C19" s="741"/>
      <c r="D19" s="742">
        <v>1600600076</v>
      </c>
      <c r="E19" s="743">
        <v>0</v>
      </c>
      <c r="F19" s="743">
        <v>0</v>
      </c>
      <c r="G19" s="744">
        <f t="shared" si="0"/>
        <v>0</v>
      </c>
      <c r="H19" s="744">
        <v>0</v>
      </c>
      <c r="I19" s="743">
        <v>0</v>
      </c>
      <c r="J19" s="743">
        <f t="shared" si="1"/>
        <v>0</v>
      </c>
      <c r="K19" s="743">
        <f t="shared" si="2"/>
        <v>0</v>
      </c>
      <c r="L19" s="743">
        <f t="shared" si="3"/>
        <v>0</v>
      </c>
      <c r="M19" s="748">
        <f t="shared" si="4"/>
        <v>0</v>
      </c>
      <c r="N19" s="750" t="e">
        <f t="shared" si="5"/>
        <v>#DIV/0!</v>
      </c>
    </row>
    <row r="20" spans="1:14">
      <c r="A20" s="739">
        <v>14</v>
      </c>
      <c r="B20" s="740" t="s">
        <v>521</v>
      </c>
      <c r="C20" s="741"/>
      <c r="D20" s="742">
        <v>1600600082</v>
      </c>
      <c r="E20" s="743">
        <v>61800</v>
      </c>
      <c r="F20" s="743">
        <v>14598.68</v>
      </c>
      <c r="G20" s="744">
        <f t="shared" si="0"/>
        <v>47201.32</v>
      </c>
      <c r="H20" s="744">
        <v>0</v>
      </c>
      <c r="I20" s="743">
        <v>0</v>
      </c>
      <c r="J20" s="743">
        <f t="shared" si="1"/>
        <v>0</v>
      </c>
      <c r="K20" s="743">
        <f t="shared" si="2"/>
        <v>61800</v>
      </c>
      <c r="L20" s="743">
        <f t="shared" si="3"/>
        <v>14598.68</v>
      </c>
      <c r="M20" s="748">
        <f t="shared" si="4"/>
        <v>47201.32</v>
      </c>
      <c r="N20" s="749">
        <f t="shared" si="5"/>
        <v>23.6224595469256</v>
      </c>
    </row>
    <row r="21" spans="1:14">
      <c r="A21" s="739">
        <v>15</v>
      </c>
      <c r="B21" s="740" t="s">
        <v>522</v>
      </c>
      <c r="C21" s="741"/>
      <c r="D21" s="742">
        <v>1600600088</v>
      </c>
      <c r="E21" s="743">
        <v>92700</v>
      </c>
      <c r="F21" s="743">
        <v>27300</v>
      </c>
      <c r="G21" s="744">
        <f t="shared" si="0"/>
        <v>65400</v>
      </c>
      <c r="H21" s="744">
        <v>0</v>
      </c>
      <c r="I21" s="743">
        <v>0</v>
      </c>
      <c r="J21" s="743">
        <f t="shared" si="1"/>
        <v>0</v>
      </c>
      <c r="K21" s="743">
        <f t="shared" si="2"/>
        <v>92700</v>
      </c>
      <c r="L21" s="743">
        <f t="shared" si="3"/>
        <v>27300</v>
      </c>
      <c r="M21" s="748">
        <f t="shared" si="4"/>
        <v>65400</v>
      </c>
      <c r="N21" s="749">
        <f t="shared" si="5"/>
        <v>29.4498381877023</v>
      </c>
    </row>
    <row r="22" spans="1:14">
      <c r="A22" s="739">
        <v>16</v>
      </c>
      <c r="B22" s="740" t="s">
        <v>523</v>
      </c>
      <c r="C22" s="741"/>
      <c r="D22" s="742">
        <v>1600600094</v>
      </c>
      <c r="E22" s="743">
        <v>0</v>
      </c>
      <c r="F22" s="743">
        <v>0</v>
      </c>
      <c r="G22" s="744">
        <f t="shared" si="0"/>
        <v>0</v>
      </c>
      <c r="H22" s="744">
        <v>0</v>
      </c>
      <c r="I22" s="743">
        <v>0</v>
      </c>
      <c r="J22" s="743">
        <f t="shared" si="1"/>
        <v>0</v>
      </c>
      <c r="K22" s="743">
        <f t="shared" si="2"/>
        <v>0</v>
      </c>
      <c r="L22" s="743">
        <f t="shared" si="3"/>
        <v>0</v>
      </c>
      <c r="M22" s="748">
        <f t="shared" si="4"/>
        <v>0</v>
      </c>
      <c r="N22" s="750" t="e">
        <f t="shared" si="5"/>
        <v>#DIV/0!</v>
      </c>
    </row>
    <row r="23" spans="1:14">
      <c r="A23" s="739">
        <v>17</v>
      </c>
      <c r="B23" s="740" t="s">
        <v>507</v>
      </c>
      <c r="C23" s="741" t="s">
        <v>524</v>
      </c>
      <c r="D23" s="742">
        <v>1600600100</v>
      </c>
      <c r="E23" s="743">
        <v>0</v>
      </c>
      <c r="F23" s="743">
        <v>0</v>
      </c>
      <c r="G23" s="744">
        <f t="shared" si="0"/>
        <v>0</v>
      </c>
      <c r="H23" s="744">
        <v>0</v>
      </c>
      <c r="I23" s="743">
        <v>0</v>
      </c>
      <c r="J23" s="743">
        <f t="shared" si="1"/>
        <v>0</v>
      </c>
      <c r="K23" s="743">
        <f t="shared" si="2"/>
        <v>0</v>
      </c>
      <c r="L23" s="743">
        <f t="shared" si="3"/>
        <v>0</v>
      </c>
      <c r="M23" s="748">
        <f t="shared" si="4"/>
        <v>0</v>
      </c>
      <c r="N23" s="750" t="e">
        <f t="shared" si="5"/>
        <v>#DIV/0!</v>
      </c>
    </row>
    <row r="24" spans="1:14">
      <c r="A24" s="739">
        <v>18</v>
      </c>
      <c r="B24" s="740" t="s">
        <v>507</v>
      </c>
      <c r="C24" s="741" t="s">
        <v>525</v>
      </c>
      <c r="D24" s="742">
        <v>1600600108</v>
      </c>
      <c r="E24" s="743">
        <v>0</v>
      </c>
      <c r="F24" s="743">
        <v>0</v>
      </c>
      <c r="G24" s="744">
        <f t="shared" si="0"/>
        <v>0</v>
      </c>
      <c r="H24" s="744">
        <v>0</v>
      </c>
      <c r="I24" s="743">
        <v>0</v>
      </c>
      <c r="J24" s="743">
        <f t="shared" si="1"/>
        <v>0</v>
      </c>
      <c r="K24" s="743">
        <f t="shared" si="2"/>
        <v>0</v>
      </c>
      <c r="L24" s="743">
        <f t="shared" si="3"/>
        <v>0</v>
      </c>
      <c r="M24" s="748">
        <f t="shared" si="4"/>
        <v>0</v>
      </c>
      <c r="N24" s="750" t="e">
        <f t="shared" si="5"/>
        <v>#DIV/0!</v>
      </c>
    </row>
    <row r="25" spans="1:14">
      <c r="A25" s="739">
        <v>19</v>
      </c>
      <c r="B25" s="740" t="s">
        <v>507</v>
      </c>
      <c r="C25" s="741" t="s">
        <v>526</v>
      </c>
      <c r="D25" s="742">
        <v>1600600116</v>
      </c>
      <c r="E25" s="743">
        <v>0</v>
      </c>
      <c r="F25" s="743">
        <v>0</v>
      </c>
      <c r="G25" s="744">
        <f t="shared" si="0"/>
        <v>0</v>
      </c>
      <c r="H25" s="744">
        <v>0</v>
      </c>
      <c r="I25" s="743">
        <v>0</v>
      </c>
      <c r="J25" s="743">
        <f t="shared" si="1"/>
        <v>0</v>
      </c>
      <c r="K25" s="743">
        <f t="shared" si="2"/>
        <v>0</v>
      </c>
      <c r="L25" s="743">
        <f t="shared" si="3"/>
        <v>0</v>
      </c>
      <c r="M25" s="748">
        <f t="shared" si="4"/>
        <v>0</v>
      </c>
      <c r="N25" s="750" t="e">
        <f t="shared" si="5"/>
        <v>#DIV/0!</v>
      </c>
    </row>
    <row r="26" spans="1:14">
      <c r="A26" s="739">
        <v>20</v>
      </c>
      <c r="B26" s="740" t="s">
        <v>507</v>
      </c>
      <c r="C26" s="741" t="s">
        <v>527</v>
      </c>
      <c r="D26" s="742">
        <v>1600600124</v>
      </c>
      <c r="E26" s="743">
        <v>0</v>
      </c>
      <c r="F26" s="743">
        <v>0</v>
      </c>
      <c r="G26" s="744">
        <f t="shared" si="0"/>
        <v>0</v>
      </c>
      <c r="H26" s="744">
        <v>0</v>
      </c>
      <c r="I26" s="743">
        <v>0</v>
      </c>
      <c r="J26" s="743">
        <f t="shared" si="1"/>
        <v>0</v>
      </c>
      <c r="K26" s="743">
        <f t="shared" si="2"/>
        <v>0</v>
      </c>
      <c r="L26" s="743">
        <f t="shared" si="3"/>
        <v>0</v>
      </c>
      <c r="M26" s="748">
        <f t="shared" si="4"/>
        <v>0</v>
      </c>
      <c r="N26" s="750" t="e">
        <f t="shared" si="5"/>
        <v>#DIV/0!</v>
      </c>
    </row>
    <row r="27" spans="1:14">
      <c r="A27" s="739">
        <v>21</v>
      </c>
      <c r="B27" s="740" t="s">
        <v>507</v>
      </c>
      <c r="C27" s="741" t="s">
        <v>528</v>
      </c>
      <c r="D27" s="742">
        <v>1600600132</v>
      </c>
      <c r="E27" s="743">
        <v>36000</v>
      </c>
      <c r="F27" s="743">
        <v>22200</v>
      </c>
      <c r="G27" s="744">
        <f t="shared" si="0"/>
        <v>13800</v>
      </c>
      <c r="H27" s="744">
        <v>0</v>
      </c>
      <c r="I27" s="743">
        <v>0</v>
      </c>
      <c r="J27" s="743">
        <f t="shared" si="1"/>
        <v>0</v>
      </c>
      <c r="K27" s="743">
        <f t="shared" si="2"/>
        <v>36000</v>
      </c>
      <c r="L27" s="743">
        <f t="shared" si="3"/>
        <v>22200</v>
      </c>
      <c r="M27" s="748">
        <f t="shared" si="4"/>
        <v>13800</v>
      </c>
      <c r="N27" s="749">
        <f t="shared" si="5"/>
        <v>61.6666666666667</v>
      </c>
    </row>
    <row r="28" spans="1:14">
      <c r="A28" s="739">
        <v>22</v>
      </c>
      <c r="B28" s="740" t="s">
        <v>507</v>
      </c>
      <c r="C28" s="741" t="s">
        <v>529</v>
      </c>
      <c r="D28" s="742">
        <v>1600600140</v>
      </c>
      <c r="E28" s="743">
        <v>0</v>
      </c>
      <c r="F28" s="743">
        <v>0</v>
      </c>
      <c r="G28" s="744">
        <f t="shared" si="0"/>
        <v>0</v>
      </c>
      <c r="H28" s="744">
        <v>0</v>
      </c>
      <c r="I28" s="743">
        <v>0</v>
      </c>
      <c r="J28" s="743">
        <f t="shared" si="1"/>
        <v>0</v>
      </c>
      <c r="K28" s="743">
        <f t="shared" si="2"/>
        <v>0</v>
      </c>
      <c r="L28" s="743">
        <f t="shared" si="3"/>
        <v>0</v>
      </c>
      <c r="M28" s="748">
        <f t="shared" si="4"/>
        <v>0</v>
      </c>
      <c r="N28" s="750" t="e">
        <f t="shared" si="5"/>
        <v>#DIV/0!</v>
      </c>
    </row>
    <row r="29" spans="1:14">
      <c r="A29" s="739">
        <v>23</v>
      </c>
      <c r="B29" s="740" t="s">
        <v>507</v>
      </c>
      <c r="C29" s="741" t="s">
        <v>530</v>
      </c>
      <c r="D29" s="742">
        <v>1600600148</v>
      </c>
      <c r="E29" s="743">
        <v>64800</v>
      </c>
      <c r="F29" s="743">
        <v>53100</v>
      </c>
      <c r="G29" s="744">
        <f t="shared" si="0"/>
        <v>11700</v>
      </c>
      <c r="H29" s="744">
        <v>0</v>
      </c>
      <c r="I29" s="743">
        <v>0</v>
      </c>
      <c r="J29" s="743">
        <f t="shared" si="1"/>
        <v>0</v>
      </c>
      <c r="K29" s="743">
        <f t="shared" si="2"/>
        <v>64800</v>
      </c>
      <c r="L29" s="743">
        <f t="shared" si="3"/>
        <v>53100</v>
      </c>
      <c r="M29" s="748">
        <f t="shared" si="4"/>
        <v>11700</v>
      </c>
      <c r="N29" s="749">
        <f t="shared" si="5"/>
        <v>81.9444444444444</v>
      </c>
    </row>
    <row r="30" spans="1:14">
      <c r="A30" s="739">
        <v>24</v>
      </c>
      <c r="B30" s="740" t="s">
        <v>507</v>
      </c>
      <c r="C30" s="741" t="s">
        <v>531</v>
      </c>
      <c r="D30" s="742">
        <v>1600600156</v>
      </c>
      <c r="E30" s="743">
        <v>0</v>
      </c>
      <c r="F30" s="743">
        <v>0</v>
      </c>
      <c r="G30" s="744">
        <f t="shared" si="0"/>
        <v>0</v>
      </c>
      <c r="H30" s="744">
        <v>0</v>
      </c>
      <c r="I30" s="743">
        <v>0</v>
      </c>
      <c r="J30" s="743">
        <f t="shared" si="1"/>
        <v>0</v>
      </c>
      <c r="K30" s="743">
        <f t="shared" si="2"/>
        <v>0</v>
      </c>
      <c r="L30" s="743">
        <f t="shared" si="3"/>
        <v>0</v>
      </c>
      <c r="M30" s="748">
        <f t="shared" si="4"/>
        <v>0</v>
      </c>
      <c r="N30" s="750" t="e">
        <f t="shared" si="5"/>
        <v>#DIV/0!</v>
      </c>
    </row>
    <row r="31" spans="1:14">
      <c r="A31" s="739">
        <v>25</v>
      </c>
      <c r="B31" s="740" t="s">
        <v>507</v>
      </c>
      <c r="C31" s="741" t="s">
        <v>532</v>
      </c>
      <c r="D31" s="742">
        <v>1600600164</v>
      </c>
      <c r="E31" s="743">
        <v>0</v>
      </c>
      <c r="F31" s="743">
        <v>0</v>
      </c>
      <c r="G31" s="744">
        <f t="shared" si="0"/>
        <v>0</v>
      </c>
      <c r="H31" s="744">
        <v>0</v>
      </c>
      <c r="I31" s="743">
        <v>0</v>
      </c>
      <c r="J31" s="743">
        <f t="shared" si="1"/>
        <v>0</v>
      </c>
      <c r="K31" s="743">
        <f t="shared" si="2"/>
        <v>0</v>
      </c>
      <c r="L31" s="743">
        <f t="shared" si="3"/>
        <v>0</v>
      </c>
      <c r="M31" s="748">
        <f t="shared" si="4"/>
        <v>0</v>
      </c>
      <c r="N31" s="750" t="e">
        <f t="shared" si="5"/>
        <v>#DIV/0!</v>
      </c>
    </row>
    <row r="32" spans="1:14">
      <c r="A32" s="739">
        <v>26</v>
      </c>
      <c r="B32" s="740" t="s">
        <v>507</v>
      </c>
      <c r="C32" s="741" t="s">
        <v>533</v>
      </c>
      <c r="D32" s="742">
        <v>1600600172</v>
      </c>
      <c r="E32" s="743">
        <v>0</v>
      </c>
      <c r="F32" s="743">
        <v>0</v>
      </c>
      <c r="G32" s="744">
        <f t="shared" si="0"/>
        <v>0</v>
      </c>
      <c r="H32" s="744">
        <v>0</v>
      </c>
      <c r="I32" s="743">
        <v>0</v>
      </c>
      <c r="J32" s="743">
        <f t="shared" si="1"/>
        <v>0</v>
      </c>
      <c r="K32" s="743">
        <f t="shared" si="2"/>
        <v>0</v>
      </c>
      <c r="L32" s="743">
        <f t="shared" si="3"/>
        <v>0</v>
      </c>
      <c r="M32" s="748">
        <f t="shared" si="4"/>
        <v>0</v>
      </c>
      <c r="N32" s="750" t="e">
        <f t="shared" si="5"/>
        <v>#DIV/0!</v>
      </c>
    </row>
    <row r="33" spans="1:14">
      <c r="A33" s="739">
        <v>27</v>
      </c>
      <c r="B33" s="740" t="s">
        <v>507</v>
      </c>
      <c r="C33" s="741" t="s">
        <v>534</v>
      </c>
      <c r="D33" s="742">
        <v>1600600180</v>
      </c>
      <c r="E33" s="743">
        <v>0</v>
      </c>
      <c r="F33" s="743">
        <v>0</v>
      </c>
      <c r="G33" s="744">
        <f t="shared" si="0"/>
        <v>0</v>
      </c>
      <c r="H33" s="744">
        <v>0</v>
      </c>
      <c r="I33" s="743">
        <v>0</v>
      </c>
      <c r="J33" s="743">
        <f t="shared" si="1"/>
        <v>0</v>
      </c>
      <c r="K33" s="743">
        <f t="shared" si="2"/>
        <v>0</v>
      </c>
      <c r="L33" s="743">
        <f t="shared" si="3"/>
        <v>0</v>
      </c>
      <c r="M33" s="748">
        <f t="shared" si="4"/>
        <v>0</v>
      </c>
      <c r="N33" s="750" t="e">
        <f t="shared" si="5"/>
        <v>#DIV/0!</v>
      </c>
    </row>
    <row r="34" spans="1:14">
      <c r="A34" s="739">
        <v>28</v>
      </c>
      <c r="B34" s="740" t="s">
        <v>507</v>
      </c>
      <c r="C34" s="741" t="s">
        <v>535</v>
      </c>
      <c r="D34" s="742">
        <v>1600600188</v>
      </c>
      <c r="E34" s="743">
        <v>61800</v>
      </c>
      <c r="F34" s="743">
        <v>0</v>
      </c>
      <c r="G34" s="744">
        <f t="shared" si="0"/>
        <v>61800</v>
      </c>
      <c r="H34" s="744">
        <v>0</v>
      </c>
      <c r="I34" s="743">
        <v>0</v>
      </c>
      <c r="J34" s="743">
        <f t="shared" si="1"/>
        <v>0</v>
      </c>
      <c r="K34" s="743">
        <f t="shared" si="2"/>
        <v>61800</v>
      </c>
      <c r="L34" s="743">
        <f t="shared" si="3"/>
        <v>0</v>
      </c>
      <c r="M34" s="748">
        <f t="shared" si="4"/>
        <v>61800</v>
      </c>
      <c r="N34" s="749">
        <f t="shared" si="5"/>
        <v>0</v>
      </c>
    </row>
    <row r="35" spans="1:14">
      <c r="A35" s="739">
        <v>29</v>
      </c>
      <c r="B35" s="740" t="s">
        <v>507</v>
      </c>
      <c r="C35" s="741" t="s">
        <v>536</v>
      </c>
      <c r="D35" s="742">
        <v>1600600196</v>
      </c>
      <c r="E35" s="743">
        <v>57600</v>
      </c>
      <c r="F35" s="743">
        <v>42646.31</v>
      </c>
      <c r="G35" s="744">
        <f t="shared" si="0"/>
        <v>14953.69</v>
      </c>
      <c r="H35" s="744">
        <v>0</v>
      </c>
      <c r="I35" s="743">
        <v>0</v>
      </c>
      <c r="J35" s="743">
        <f t="shared" si="1"/>
        <v>0</v>
      </c>
      <c r="K35" s="743">
        <f t="shared" si="2"/>
        <v>57600</v>
      </c>
      <c r="L35" s="743">
        <f t="shared" si="3"/>
        <v>42646.31</v>
      </c>
      <c r="M35" s="748">
        <f t="shared" si="4"/>
        <v>14953.69</v>
      </c>
      <c r="N35" s="749">
        <f t="shared" si="5"/>
        <v>74.0387326388889</v>
      </c>
    </row>
    <row r="36" spans="1:14">
      <c r="A36" s="739">
        <v>30</v>
      </c>
      <c r="B36" s="740" t="s">
        <v>507</v>
      </c>
      <c r="C36" s="741" t="s">
        <v>537</v>
      </c>
      <c r="D36" s="742">
        <v>1600600204</v>
      </c>
      <c r="E36" s="743">
        <v>0</v>
      </c>
      <c r="F36" s="743">
        <v>0</v>
      </c>
      <c r="G36" s="744">
        <f t="shared" si="0"/>
        <v>0</v>
      </c>
      <c r="H36" s="744">
        <v>0</v>
      </c>
      <c r="I36" s="743">
        <v>0</v>
      </c>
      <c r="J36" s="743">
        <f t="shared" si="1"/>
        <v>0</v>
      </c>
      <c r="K36" s="743">
        <f t="shared" si="2"/>
        <v>0</v>
      </c>
      <c r="L36" s="743">
        <f t="shared" si="3"/>
        <v>0</v>
      </c>
      <c r="M36" s="748">
        <f t="shared" si="4"/>
        <v>0</v>
      </c>
      <c r="N36" s="750" t="e">
        <f t="shared" si="5"/>
        <v>#DIV/0!</v>
      </c>
    </row>
    <row r="37" spans="1:14">
      <c r="A37" s="739">
        <v>31</v>
      </c>
      <c r="B37" s="740" t="s">
        <v>507</v>
      </c>
      <c r="C37" s="741" t="s">
        <v>538</v>
      </c>
      <c r="D37" s="742">
        <v>1600600212</v>
      </c>
      <c r="E37" s="743">
        <v>36000</v>
      </c>
      <c r="F37" s="743">
        <v>32250</v>
      </c>
      <c r="G37" s="744">
        <f t="shared" si="0"/>
        <v>3750</v>
      </c>
      <c r="H37" s="744">
        <v>0</v>
      </c>
      <c r="I37" s="743">
        <v>0</v>
      </c>
      <c r="J37" s="743">
        <f t="shared" si="1"/>
        <v>0</v>
      </c>
      <c r="K37" s="743">
        <f t="shared" si="2"/>
        <v>36000</v>
      </c>
      <c r="L37" s="743">
        <f t="shared" si="3"/>
        <v>32250</v>
      </c>
      <c r="M37" s="748">
        <f t="shared" si="4"/>
        <v>3750</v>
      </c>
      <c r="N37" s="749">
        <f t="shared" si="5"/>
        <v>89.5833333333333</v>
      </c>
    </row>
    <row r="38" spans="1:14">
      <c r="A38" s="739">
        <v>32</v>
      </c>
      <c r="B38" s="740" t="s">
        <v>507</v>
      </c>
      <c r="C38" s="741" t="s">
        <v>539</v>
      </c>
      <c r="D38" s="742">
        <v>1600600220</v>
      </c>
      <c r="E38" s="743">
        <v>108000</v>
      </c>
      <c r="F38" s="743">
        <v>85200</v>
      </c>
      <c r="G38" s="744">
        <f t="shared" si="0"/>
        <v>22800</v>
      </c>
      <c r="H38" s="744">
        <v>0</v>
      </c>
      <c r="I38" s="743">
        <v>0</v>
      </c>
      <c r="J38" s="743">
        <f t="shared" si="1"/>
        <v>0</v>
      </c>
      <c r="K38" s="743">
        <f t="shared" si="2"/>
        <v>108000</v>
      </c>
      <c r="L38" s="743">
        <f t="shared" si="3"/>
        <v>85200</v>
      </c>
      <c r="M38" s="748">
        <f t="shared" si="4"/>
        <v>22800</v>
      </c>
      <c r="N38" s="749">
        <f t="shared" si="5"/>
        <v>78.8888888888889</v>
      </c>
    </row>
    <row r="39" spans="1:14">
      <c r="A39" s="739">
        <v>33</v>
      </c>
      <c r="B39" s="740" t="s">
        <v>507</v>
      </c>
      <c r="C39" s="741" t="s">
        <v>540</v>
      </c>
      <c r="D39" s="742">
        <v>1600600228</v>
      </c>
      <c r="E39" s="743">
        <v>36000</v>
      </c>
      <c r="F39" s="743">
        <v>32700</v>
      </c>
      <c r="G39" s="744">
        <f t="shared" si="0"/>
        <v>3300</v>
      </c>
      <c r="H39" s="744">
        <v>0</v>
      </c>
      <c r="I39" s="743">
        <v>0</v>
      </c>
      <c r="J39" s="743">
        <f t="shared" si="1"/>
        <v>0</v>
      </c>
      <c r="K39" s="743">
        <f t="shared" si="2"/>
        <v>36000</v>
      </c>
      <c r="L39" s="743">
        <f t="shared" si="3"/>
        <v>32700</v>
      </c>
      <c r="M39" s="748">
        <f t="shared" si="4"/>
        <v>3300</v>
      </c>
      <c r="N39" s="749">
        <f t="shared" si="5"/>
        <v>90.8333333333333</v>
      </c>
    </row>
    <row r="40" spans="1:14">
      <c r="A40" s="739">
        <v>34</v>
      </c>
      <c r="B40" s="740" t="s">
        <v>507</v>
      </c>
      <c r="C40" s="741" t="s">
        <v>541</v>
      </c>
      <c r="D40" s="742">
        <v>1600600236</v>
      </c>
      <c r="E40" s="743">
        <v>22800</v>
      </c>
      <c r="F40" s="743">
        <v>0</v>
      </c>
      <c r="G40" s="744">
        <f t="shared" si="0"/>
        <v>22800</v>
      </c>
      <c r="H40" s="744">
        <v>0</v>
      </c>
      <c r="I40" s="743">
        <v>0</v>
      </c>
      <c r="J40" s="743">
        <f t="shared" si="1"/>
        <v>0</v>
      </c>
      <c r="K40" s="743">
        <f t="shared" si="2"/>
        <v>22800</v>
      </c>
      <c r="L40" s="743">
        <f t="shared" si="3"/>
        <v>0</v>
      </c>
      <c r="M40" s="748">
        <f t="shared" si="4"/>
        <v>22800</v>
      </c>
      <c r="N40" s="749">
        <f t="shared" si="5"/>
        <v>0</v>
      </c>
    </row>
    <row r="41" spans="1:14">
      <c r="A41" s="739">
        <v>35</v>
      </c>
      <c r="B41" s="740" t="s">
        <v>507</v>
      </c>
      <c r="C41" s="741" t="s">
        <v>542</v>
      </c>
      <c r="D41" s="742">
        <v>1600600244</v>
      </c>
      <c r="E41" s="743">
        <v>0</v>
      </c>
      <c r="F41" s="743">
        <v>0</v>
      </c>
      <c r="G41" s="744">
        <f t="shared" si="0"/>
        <v>0</v>
      </c>
      <c r="H41" s="744">
        <v>0</v>
      </c>
      <c r="I41" s="743">
        <v>0</v>
      </c>
      <c r="J41" s="743">
        <f t="shared" si="1"/>
        <v>0</v>
      </c>
      <c r="K41" s="743">
        <f t="shared" si="2"/>
        <v>0</v>
      </c>
      <c r="L41" s="743">
        <f t="shared" si="3"/>
        <v>0</v>
      </c>
      <c r="M41" s="748">
        <f t="shared" si="4"/>
        <v>0</v>
      </c>
      <c r="N41" s="750" t="e">
        <f t="shared" si="5"/>
        <v>#DIV/0!</v>
      </c>
    </row>
    <row r="42" spans="1:14">
      <c r="A42" s="739">
        <v>36</v>
      </c>
      <c r="B42" s="740" t="s">
        <v>507</v>
      </c>
      <c r="C42" s="741" t="s">
        <v>543</v>
      </c>
      <c r="D42" s="742">
        <v>1600600252</v>
      </c>
      <c r="E42" s="743">
        <v>0</v>
      </c>
      <c r="F42" s="743">
        <v>0</v>
      </c>
      <c r="G42" s="744">
        <f t="shared" si="0"/>
        <v>0</v>
      </c>
      <c r="H42" s="744">
        <v>0</v>
      </c>
      <c r="I42" s="743">
        <v>0</v>
      </c>
      <c r="J42" s="743">
        <f t="shared" si="1"/>
        <v>0</v>
      </c>
      <c r="K42" s="743">
        <f t="shared" si="2"/>
        <v>0</v>
      </c>
      <c r="L42" s="743">
        <f t="shared" si="3"/>
        <v>0</v>
      </c>
      <c r="M42" s="748">
        <f t="shared" si="4"/>
        <v>0</v>
      </c>
      <c r="N42" s="750" t="e">
        <f t="shared" si="5"/>
        <v>#DIV/0!</v>
      </c>
    </row>
    <row r="43" spans="1:14">
      <c r="A43" s="739">
        <v>37</v>
      </c>
      <c r="B43" s="740" t="s">
        <v>507</v>
      </c>
      <c r="C43" s="741" t="s">
        <v>544</v>
      </c>
      <c r="D43" s="742">
        <v>1600600260</v>
      </c>
      <c r="E43" s="743">
        <v>102900</v>
      </c>
      <c r="F43" s="743">
        <v>47700</v>
      </c>
      <c r="G43" s="744">
        <f t="shared" si="0"/>
        <v>55200</v>
      </c>
      <c r="H43" s="744">
        <v>0</v>
      </c>
      <c r="I43" s="743">
        <v>0</v>
      </c>
      <c r="J43" s="743">
        <f t="shared" si="1"/>
        <v>0</v>
      </c>
      <c r="K43" s="743">
        <f t="shared" si="2"/>
        <v>102900</v>
      </c>
      <c r="L43" s="743">
        <f t="shared" si="3"/>
        <v>47700</v>
      </c>
      <c r="M43" s="748">
        <f t="shared" si="4"/>
        <v>55200</v>
      </c>
      <c r="N43" s="749">
        <f t="shared" si="5"/>
        <v>46.3556851311953</v>
      </c>
    </row>
    <row r="44" spans="1:14">
      <c r="A44" s="739">
        <v>38</v>
      </c>
      <c r="B44" s="740" t="s">
        <v>507</v>
      </c>
      <c r="C44" s="741" t="s">
        <v>545</v>
      </c>
      <c r="D44" s="742">
        <v>1600600268</v>
      </c>
      <c r="E44" s="743">
        <v>36000</v>
      </c>
      <c r="F44" s="743">
        <v>26100</v>
      </c>
      <c r="G44" s="744">
        <f t="shared" si="0"/>
        <v>9900</v>
      </c>
      <c r="H44" s="744">
        <v>0</v>
      </c>
      <c r="I44" s="743">
        <v>0</v>
      </c>
      <c r="J44" s="743">
        <f t="shared" si="1"/>
        <v>0</v>
      </c>
      <c r="K44" s="743">
        <f t="shared" si="2"/>
        <v>36000</v>
      </c>
      <c r="L44" s="743">
        <f t="shared" si="3"/>
        <v>26100</v>
      </c>
      <c r="M44" s="748">
        <f t="shared" si="4"/>
        <v>9900</v>
      </c>
      <c r="N44" s="749">
        <f t="shared" si="5"/>
        <v>72.5</v>
      </c>
    </row>
    <row r="45" spans="1:14">
      <c r="A45" s="739">
        <v>39</v>
      </c>
      <c r="B45" s="740" t="s">
        <v>507</v>
      </c>
      <c r="C45" s="741" t="s">
        <v>546</v>
      </c>
      <c r="D45" s="742">
        <v>1600600276</v>
      </c>
      <c r="E45" s="743">
        <v>0</v>
      </c>
      <c r="F45" s="743">
        <v>0</v>
      </c>
      <c r="G45" s="744">
        <f t="shared" si="0"/>
        <v>0</v>
      </c>
      <c r="H45" s="744">
        <v>0</v>
      </c>
      <c r="I45" s="743">
        <v>0</v>
      </c>
      <c r="J45" s="743">
        <f t="shared" si="1"/>
        <v>0</v>
      </c>
      <c r="K45" s="743">
        <f t="shared" si="2"/>
        <v>0</v>
      </c>
      <c r="L45" s="743">
        <f t="shared" si="3"/>
        <v>0</v>
      </c>
      <c r="M45" s="748">
        <f t="shared" si="4"/>
        <v>0</v>
      </c>
      <c r="N45" s="750" t="e">
        <f t="shared" si="5"/>
        <v>#DIV/0!</v>
      </c>
    </row>
    <row r="46" spans="1:14">
      <c r="A46" s="739">
        <v>40</v>
      </c>
      <c r="B46" s="740" t="s">
        <v>507</v>
      </c>
      <c r="C46" s="741" t="s">
        <v>547</v>
      </c>
      <c r="D46" s="742">
        <v>1600600284</v>
      </c>
      <c r="E46" s="743">
        <v>36000</v>
      </c>
      <c r="F46" s="743">
        <v>43500</v>
      </c>
      <c r="G46" s="744">
        <f t="shared" si="0"/>
        <v>-7500</v>
      </c>
      <c r="H46" s="744">
        <v>0</v>
      </c>
      <c r="I46" s="743">
        <v>0</v>
      </c>
      <c r="J46" s="743">
        <f t="shared" si="1"/>
        <v>0</v>
      </c>
      <c r="K46" s="743">
        <f t="shared" si="2"/>
        <v>36000</v>
      </c>
      <c r="L46" s="743">
        <f t="shared" si="3"/>
        <v>43500</v>
      </c>
      <c r="M46" s="748">
        <f t="shared" si="4"/>
        <v>-7500</v>
      </c>
      <c r="N46" s="749">
        <f t="shared" si="5"/>
        <v>120.833333333333</v>
      </c>
    </row>
    <row r="47" spans="1:14">
      <c r="A47" s="739">
        <v>41</v>
      </c>
      <c r="B47" s="740" t="s">
        <v>507</v>
      </c>
      <c r="C47" s="741" t="s">
        <v>548</v>
      </c>
      <c r="D47" s="742">
        <v>1600600292</v>
      </c>
      <c r="E47" s="743">
        <v>0</v>
      </c>
      <c r="F47" s="743">
        <v>0</v>
      </c>
      <c r="G47" s="744">
        <f t="shared" si="0"/>
        <v>0</v>
      </c>
      <c r="H47" s="744">
        <v>0</v>
      </c>
      <c r="I47" s="743">
        <v>0</v>
      </c>
      <c r="J47" s="743">
        <f t="shared" si="1"/>
        <v>0</v>
      </c>
      <c r="K47" s="743">
        <f t="shared" si="2"/>
        <v>0</v>
      </c>
      <c r="L47" s="743">
        <f t="shared" si="3"/>
        <v>0</v>
      </c>
      <c r="M47" s="748">
        <f t="shared" si="4"/>
        <v>0</v>
      </c>
      <c r="N47" s="750" t="e">
        <f t="shared" si="5"/>
        <v>#DIV/0!</v>
      </c>
    </row>
    <row r="48" spans="1:14">
      <c r="A48" s="739">
        <v>42</v>
      </c>
      <c r="B48" s="740" t="s">
        <v>507</v>
      </c>
      <c r="C48" s="741" t="s">
        <v>549</v>
      </c>
      <c r="D48" s="742">
        <v>1600600300</v>
      </c>
      <c r="E48" s="743">
        <v>22800</v>
      </c>
      <c r="F48" s="743">
        <v>0</v>
      </c>
      <c r="G48" s="744">
        <f t="shared" si="0"/>
        <v>22800</v>
      </c>
      <c r="H48" s="744">
        <v>0</v>
      </c>
      <c r="I48" s="743">
        <v>0</v>
      </c>
      <c r="J48" s="743">
        <f t="shared" si="1"/>
        <v>0</v>
      </c>
      <c r="K48" s="743">
        <f t="shared" si="2"/>
        <v>22800</v>
      </c>
      <c r="L48" s="743">
        <f t="shared" si="3"/>
        <v>0</v>
      </c>
      <c r="M48" s="748">
        <f t="shared" si="4"/>
        <v>22800</v>
      </c>
      <c r="N48" s="749">
        <f t="shared" si="5"/>
        <v>0</v>
      </c>
    </row>
    <row r="49" spans="1:14">
      <c r="A49" s="739">
        <v>43</v>
      </c>
      <c r="B49" s="740" t="s">
        <v>507</v>
      </c>
      <c r="C49" s="741" t="s">
        <v>550</v>
      </c>
      <c r="D49" s="742">
        <v>1600600308</v>
      </c>
      <c r="E49" s="743">
        <v>0</v>
      </c>
      <c r="F49" s="743">
        <v>0</v>
      </c>
      <c r="G49" s="744">
        <f t="shared" si="0"/>
        <v>0</v>
      </c>
      <c r="H49" s="744">
        <v>0</v>
      </c>
      <c r="I49" s="743">
        <v>0</v>
      </c>
      <c r="J49" s="743">
        <f t="shared" si="1"/>
        <v>0</v>
      </c>
      <c r="K49" s="743">
        <f t="shared" si="2"/>
        <v>0</v>
      </c>
      <c r="L49" s="743">
        <f t="shared" si="3"/>
        <v>0</v>
      </c>
      <c r="M49" s="748">
        <f t="shared" si="4"/>
        <v>0</v>
      </c>
      <c r="N49" s="750" t="e">
        <f t="shared" si="5"/>
        <v>#DIV/0!</v>
      </c>
    </row>
    <row r="50" spans="1:14">
      <c r="A50" s="739">
        <v>44</v>
      </c>
      <c r="B50" s="740" t="s">
        <v>507</v>
      </c>
      <c r="C50" s="741" t="s">
        <v>551</v>
      </c>
      <c r="D50" s="742">
        <v>1600600316</v>
      </c>
      <c r="E50" s="743">
        <v>108000</v>
      </c>
      <c r="F50" s="743">
        <v>89100</v>
      </c>
      <c r="G50" s="744">
        <f t="shared" si="0"/>
        <v>18900</v>
      </c>
      <c r="H50" s="744">
        <v>0</v>
      </c>
      <c r="I50" s="743">
        <v>0</v>
      </c>
      <c r="J50" s="743">
        <f t="shared" si="1"/>
        <v>0</v>
      </c>
      <c r="K50" s="743">
        <f t="shared" si="2"/>
        <v>108000</v>
      </c>
      <c r="L50" s="743">
        <f t="shared" si="3"/>
        <v>89100</v>
      </c>
      <c r="M50" s="748">
        <f t="shared" si="4"/>
        <v>18900</v>
      </c>
      <c r="N50" s="749">
        <f t="shared" si="5"/>
        <v>82.5</v>
      </c>
    </row>
    <row r="51" spans="1:14">
      <c r="A51" s="739">
        <v>45</v>
      </c>
      <c r="B51" s="740" t="s">
        <v>507</v>
      </c>
      <c r="C51" s="741" t="s">
        <v>552</v>
      </c>
      <c r="D51" s="742">
        <v>1600600324</v>
      </c>
      <c r="E51" s="743">
        <v>0</v>
      </c>
      <c r="F51" s="743">
        <v>0</v>
      </c>
      <c r="G51" s="744">
        <f t="shared" si="0"/>
        <v>0</v>
      </c>
      <c r="H51" s="744">
        <v>0</v>
      </c>
      <c r="I51" s="743">
        <v>0</v>
      </c>
      <c r="J51" s="743">
        <f t="shared" si="1"/>
        <v>0</v>
      </c>
      <c r="K51" s="743">
        <f t="shared" si="2"/>
        <v>0</v>
      </c>
      <c r="L51" s="743">
        <f t="shared" si="3"/>
        <v>0</v>
      </c>
      <c r="M51" s="748">
        <f t="shared" si="4"/>
        <v>0</v>
      </c>
      <c r="N51" s="750" t="e">
        <f t="shared" si="5"/>
        <v>#DIV/0!</v>
      </c>
    </row>
    <row r="52" spans="1:14">
      <c r="A52" s="739">
        <v>46</v>
      </c>
      <c r="B52" s="740" t="s">
        <v>507</v>
      </c>
      <c r="C52" s="741" t="s">
        <v>553</v>
      </c>
      <c r="D52" s="742">
        <v>1600600332</v>
      </c>
      <c r="E52" s="743">
        <v>0</v>
      </c>
      <c r="F52" s="743">
        <v>0</v>
      </c>
      <c r="G52" s="744">
        <f t="shared" si="0"/>
        <v>0</v>
      </c>
      <c r="H52" s="744">
        <v>0</v>
      </c>
      <c r="I52" s="743">
        <v>0</v>
      </c>
      <c r="J52" s="743">
        <f t="shared" si="1"/>
        <v>0</v>
      </c>
      <c r="K52" s="743">
        <f t="shared" si="2"/>
        <v>0</v>
      </c>
      <c r="L52" s="743">
        <f t="shared" si="3"/>
        <v>0</v>
      </c>
      <c r="M52" s="748">
        <f t="shared" si="4"/>
        <v>0</v>
      </c>
      <c r="N52" s="750" t="e">
        <f t="shared" si="5"/>
        <v>#DIV/0!</v>
      </c>
    </row>
    <row r="53" spans="1:14">
      <c r="A53" s="739">
        <v>47</v>
      </c>
      <c r="B53" s="740" t="s">
        <v>507</v>
      </c>
      <c r="C53" s="741" t="s">
        <v>554</v>
      </c>
      <c r="D53" s="742">
        <v>1600600340</v>
      </c>
      <c r="E53" s="743">
        <v>0</v>
      </c>
      <c r="F53" s="743">
        <v>0</v>
      </c>
      <c r="G53" s="744">
        <f t="shared" si="0"/>
        <v>0</v>
      </c>
      <c r="H53" s="744">
        <v>0</v>
      </c>
      <c r="I53" s="743">
        <v>0</v>
      </c>
      <c r="J53" s="743">
        <f t="shared" si="1"/>
        <v>0</v>
      </c>
      <c r="K53" s="743">
        <f t="shared" si="2"/>
        <v>0</v>
      </c>
      <c r="L53" s="743">
        <f t="shared" si="3"/>
        <v>0</v>
      </c>
      <c r="M53" s="748">
        <f t="shared" si="4"/>
        <v>0</v>
      </c>
      <c r="N53" s="750" t="e">
        <f t="shared" si="5"/>
        <v>#DIV/0!</v>
      </c>
    </row>
    <row r="54" spans="1:14">
      <c r="A54" s="739">
        <v>48</v>
      </c>
      <c r="B54" s="740" t="s">
        <v>507</v>
      </c>
      <c r="C54" s="741" t="s">
        <v>555</v>
      </c>
      <c r="D54" s="742">
        <v>1600600348</v>
      </c>
      <c r="E54" s="743">
        <v>0</v>
      </c>
      <c r="F54" s="743">
        <v>0</v>
      </c>
      <c r="G54" s="744">
        <f t="shared" si="0"/>
        <v>0</v>
      </c>
      <c r="H54" s="744">
        <v>0</v>
      </c>
      <c r="I54" s="743">
        <v>0</v>
      </c>
      <c r="J54" s="743">
        <f t="shared" si="1"/>
        <v>0</v>
      </c>
      <c r="K54" s="743">
        <f t="shared" si="2"/>
        <v>0</v>
      </c>
      <c r="L54" s="743">
        <f t="shared" si="3"/>
        <v>0</v>
      </c>
      <c r="M54" s="748">
        <f t="shared" si="4"/>
        <v>0</v>
      </c>
      <c r="N54" s="750" t="e">
        <f t="shared" si="5"/>
        <v>#DIV/0!</v>
      </c>
    </row>
    <row r="55" spans="1:14">
      <c r="A55" s="739">
        <v>49</v>
      </c>
      <c r="B55" s="740" t="s">
        <v>507</v>
      </c>
      <c r="C55" s="741" t="s">
        <v>556</v>
      </c>
      <c r="D55" s="742">
        <v>1600600356</v>
      </c>
      <c r="E55" s="743">
        <v>36000</v>
      </c>
      <c r="F55" s="743">
        <v>33300</v>
      </c>
      <c r="G55" s="744">
        <f t="shared" si="0"/>
        <v>2700</v>
      </c>
      <c r="H55" s="744">
        <v>0</v>
      </c>
      <c r="I55" s="743">
        <v>0</v>
      </c>
      <c r="J55" s="743">
        <f t="shared" si="1"/>
        <v>0</v>
      </c>
      <c r="K55" s="743">
        <f t="shared" si="2"/>
        <v>36000</v>
      </c>
      <c r="L55" s="743">
        <f t="shared" si="3"/>
        <v>33300</v>
      </c>
      <c r="M55" s="748">
        <f t="shared" si="4"/>
        <v>2700</v>
      </c>
      <c r="N55" s="749">
        <f t="shared" si="5"/>
        <v>92.5</v>
      </c>
    </row>
    <row r="56" spans="1:14">
      <c r="A56" s="739">
        <v>50</v>
      </c>
      <c r="B56" s="740" t="s">
        <v>507</v>
      </c>
      <c r="C56" s="741" t="s">
        <v>557</v>
      </c>
      <c r="D56" s="742">
        <v>1600600364</v>
      </c>
      <c r="E56" s="743">
        <v>0</v>
      </c>
      <c r="F56" s="743">
        <v>0</v>
      </c>
      <c r="G56" s="744">
        <f t="shared" si="0"/>
        <v>0</v>
      </c>
      <c r="H56" s="744">
        <v>0</v>
      </c>
      <c r="I56" s="743">
        <v>0</v>
      </c>
      <c r="J56" s="743">
        <f t="shared" si="1"/>
        <v>0</v>
      </c>
      <c r="K56" s="743">
        <f t="shared" si="2"/>
        <v>0</v>
      </c>
      <c r="L56" s="743">
        <f t="shared" si="3"/>
        <v>0</v>
      </c>
      <c r="M56" s="748">
        <f t="shared" si="4"/>
        <v>0</v>
      </c>
      <c r="N56" s="750" t="e">
        <f t="shared" si="5"/>
        <v>#DIV/0!</v>
      </c>
    </row>
    <row r="57" spans="1:14">
      <c r="A57" s="739">
        <v>51</v>
      </c>
      <c r="B57" s="740" t="s">
        <v>507</v>
      </c>
      <c r="C57" s="741" t="s">
        <v>558</v>
      </c>
      <c r="D57" s="742">
        <v>1600600372</v>
      </c>
      <c r="E57" s="743">
        <v>108000</v>
      </c>
      <c r="F57" s="743">
        <v>55500</v>
      </c>
      <c r="G57" s="744">
        <f t="shared" si="0"/>
        <v>52500</v>
      </c>
      <c r="H57" s="744">
        <v>0</v>
      </c>
      <c r="I57" s="743">
        <v>0</v>
      </c>
      <c r="J57" s="743">
        <f t="shared" si="1"/>
        <v>0</v>
      </c>
      <c r="K57" s="743">
        <f t="shared" si="2"/>
        <v>108000</v>
      </c>
      <c r="L57" s="743">
        <f t="shared" si="3"/>
        <v>55500</v>
      </c>
      <c r="M57" s="748">
        <f t="shared" si="4"/>
        <v>52500</v>
      </c>
      <c r="N57" s="749">
        <f t="shared" si="5"/>
        <v>51.3888888888889</v>
      </c>
    </row>
    <row r="58" spans="1:14">
      <c r="A58" s="739">
        <v>52</v>
      </c>
      <c r="B58" s="740" t="s">
        <v>507</v>
      </c>
      <c r="C58" s="741" t="s">
        <v>559</v>
      </c>
      <c r="D58" s="742">
        <v>1600600380</v>
      </c>
      <c r="E58" s="743">
        <v>0</v>
      </c>
      <c r="F58" s="743">
        <v>0</v>
      </c>
      <c r="G58" s="744">
        <f t="shared" si="0"/>
        <v>0</v>
      </c>
      <c r="H58" s="744">
        <v>0</v>
      </c>
      <c r="I58" s="743">
        <v>0</v>
      </c>
      <c r="J58" s="743">
        <f t="shared" si="1"/>
        <v>0</v>
      </c>
      <c r="K58" s="743">
        <f t="shared" si="2"/>
        <v>0</v>
      </c>
      <c r="L58" s="743">
        <f t="shared" si="3"/>
        <v>0</v>
      </c>
      <c r="M58" s="748">
        <f t="shared" si="4"/>
        <v>0</v>
      </c>
      <c r="N58" s="750" t="e">
        <f t="shared" si="5"/>
        <v>#DIV/0!</v>
      </c>
    </row>
    <row r="59" spans="1:14">
      <c r="A59" s="739">
        <v>53</v>
      </c>
      <c r="B59" s="740" t="s">
        <v>507</v>
      </c>
      <c r="C59" s="741" t="s">
        <v>560</v>
      </c>
      <c r="D59" s="742">
        <v>1600600388</v>
      </c>
      <c r="E59" s="743">
        <v>72000</v>
      </c>
      <c r="F59" s="743">
        <v>37200</v>
      </c>
      <c r="G59" s="744">
        <f t="shared" si="0"/>
        <v>34800</v>
      </c>
      <c r="H59" s="744">
        <v>0</v>
      </c>
      <c r="I59" s="743">
        <v>0</v>
      </c>
      <c r="J59" s="743">
        <f t="shared" si="1"/>
        <v>0</v>
      </c>
      <c r="K59" s="743">
        <f t="shared" si="2"/>
        <v>72000</v>
      </c>
      <c r="L59" s="743">
        <f t="shared" si="3"/>
        <v>37200</v>
      </c>
      <c r="M59" s="748">
        <f t="shared" si="4"/>
        <v>34800</v>
      </c>
      <c r="N59" s="749">
        <f t="shared" si="5"/>
        <v>51.6666666666667</v>
      </c>
    </row>
    <row r="60" spans="1:14">
      <c r="A60" s="739">
        <v>54</v>
      </c>
      <c r="B60" s="740" t="s">
        <v>507</v>
      </c>
      <c r="C60" s="741" t="s">
        <v>561</v>
      </c>
      <c r="D60" s="742">
        <v>1600600396</v>
      </c>
      <c r="E60" s="743">
        <v>72000</v>
      </c>
      <c r="F60" s="743">
        <v>75300</v>
      </c>
      <c r="G60" s="744">
        <f t="shared" si="0"/>
        <v>-3300</v>
      </c>
      <c r="H60" s="744">
        <v>0</v>
      </c>
      <c r="I60" s="743">
        <v>0</v>
      </c>
      <c r="J60" s="743">
        <f t="shared" si="1"/>
        <v>0</v>
      </c>
      <c r="K60" s="743">
        <f t="shared" si="2"/>
        <v>72000</v>
      </c>
      <c r="L60" s="743">
        <f t="shared" si="3"/>
        <v>75300</v>
      </c>
      <c r="M60" s="748">
        <f t="shared" si="4"/>
        <v>-3300</v>
      </c>
      <c r="N60" s="749">
        <f t="shared" si="5"/>
        <v>104.583333333333</v>
      </c>
    </row>
    <row r="61" spans="1:14">
      <c r="A61" s="739">
        <v>55</v>
      </c>
      <c r="B61" s="740" t="s">
        <v>507</v>
      </c>
      <c r="C61" s="741" t="s">
        <v>562</v>
      </c>
      <c r="D61" s="742">
        <v>1600600404</v>
      </c>
      <c r="E61" s="743">
        <v>72000</v>
      </c>
      <c r="F61" s="743">
        <v>68100</v>
      </c>
      <c r="G61" s="744">
        <f t="shared" si="0"/>
        <v>3900</v>
      </c>
      <c r="H61" s="744">
        <v>0</v>
      </c>
      <c r="I61" s="743">
        <v>0</v>
      </c>
      <c r="J61" s="743">
        <f t="shared" si="1"/>
        <v>0</v>
      </c>
      <c r="K61" s="743">
        <f t="shared" si="2"/>
        <v>72000</v>
      </c>
      <c r="L61" s="743">
        <f t="shared" si="3"/>
        <v>68100</v>
      </c>
      <c r="M61" s="748">
        <f t="shared" si="4"/>
        <v>3900</v>
      </c>
      <c r="N61" s="749">
        <f t="shared" si="5"/>
        <v>94.5833333333333</v>
      </c>
    </row>
    <row r="62" spans="1:14">
      <c r="A62" s="739">
        <v>56</v>
      </c>
      <c r="B62" s="740" t="s">
        <v>507</v>
      </c>
      <c r="C62" s="741" t="s">
        <v>563</v>
      </c>
      <c r="D62" s="742">
        <v>1600600412</v>
      </c>
      <c r="E62" s="743">
        <v>72000</v>
      </c>
      <c r="F62" s="743">
        <v>56400</v>
      </c>
      <c r="G62" s="744">
        <f t="shared" si="0"/>
        <v>15600</v>
      </c>
      <c r="H62" s="744">
        <v>0</v>
      </c>
      <c r="I62" s="743">
        <v>0</v>
      </c>
      <c r="J62" s="743">
        <f t="shared" si="1"/>
        <v>0</v>
      </c>
      <c r="K62" s="743">
        <f t="shared" si="2"/>
        <v>72000</v>
      </c>
      <c r="L62" s="743">
        <f t="shared" si="3"/>
        <v>56400</v>
      </c>
      <c r="M62" s="748">
        <f t="shared" si="4"/>
        <v>15600</v>
      </c>
      <c r="N62" s="749">
        <f t="shared" si="5"/>
        <v>78.3333333333333</v>
      </c>
    </row>
    <row r="63" spans="1:14">
      <c r="A63" s="739">
        <v>57</v>
      </c>
      <c r="B63" s="740" t="s">
        <v>507</v>
      </c>
      <c r="C63" s="741" t="s">
        <v>564</v>
      </c>
      <c r="D63" s="742">
        <v>1600600420</v>
      </c>
      <c r="E63" s="743">
        <v>108000</v>
      </c>
      <c r="F63" s="743">
        <v>84000</v>
      </c>
      <c r="G63" s="744">
        <f t="shared" si="0"/>
        <v>24000</v>
      </c>
      <c r="H63" s="744">
        <v>0</v>
      </c>
      <c r="I63" s="743">
        <v>0</v>
      </c>
      <c r="J63" s="743">
        <f t="shared" si="1"/>
        <v>0</v>
      </c>
      <c r="K63" s="743">
        <f t="shared" si="2"/>
        <v>108000</v>
      </c>
      <c r="L63" s="743">
        <f t="shared" si="3"/>
        <v>84000</v>
      </c>
      <c r="M63" s="748">
        <f t="shared" si="4"/>
        <v>24000</v>
      </c>
      <c r="N63" s="749">
        <f t="shared" si="5"/>
        <v>77.7777777777778</v>
      </c>
    </row>
    <row r="64" spans="1:14">
      <c r="A64" s="739">
        <v>58</v>
      </c>
      <c r="B64" s="740" t="s">
        <v>507</v>
      </c>
      <c r="C64" s="741" t="s">
        <v>565</v>
      </c>
      <c r="D64" s="742">
        <v>1600600428</v>
      </c>
      <c r="E64" s="743">
        <v>0</v>
      </c>
      <c r="F64" s="743">
        <v>0</v>
      </c>
      <c r="G64" s="744">
        <f t="shared" si="0"/>
        <v>0</v>
      </c>
      <c r="H64" s="744">
        <v>0</v>
      </c>
      <c r="I64" s="743">
        <v>0</v>
      </c>
      <c r="J64" s="743">
        <f t="shared" si="1"/>
        <v>0</v>
      </c>
      <c r="K64" s="743">
        <f t="shared" si="2"/>
        <v>0</v>
      </c>
      <c r="L64" s="743">
        <f t="shared" si="3"/>
        <v>0</v>
      </c>
      <c r="M64" s="748">
        <f t="shared" si="4"/>
        <v>0</v>
      </c>
      <c r="N64" s="750" t="e">
        <f t="shared" si="5"/>
        <v>#DIV/0!</v>
      </c>
    </row>
    <row r="65" spans="1:14">
      <c r="A65" s="739">
        <v>59</v>
      </c>
      <c r="B65" s="740" t="s">
        <v>507</v>
      </c>
      <c r="C65" s="741" t="s">
        <v>566</v>
      </c>
      <c r="D65" s="742">
        <v>1600600436</v>
      </c>
      <c r="E65" s="743">
        <v>0</v>
      </c>
      <c r="F65" s="743">
        <v>0</v>
      </c>
      <c r="G65" s="744">
        <f t="shared" si="0"/>
        <v>0</v>
      </c>
      <c r="H65" s="744">
        <v>0</v>
      </c>
      <c r="I65" s="743">
        <v>0</v>
      </c>
      <c r="J65" s="743">
        <f t="shared" si="1"/>
        <v>0</v>
      </c>
      <c r="K65" s="743">
        <f t="shared" si="2"/>
        <v>0</v>
      </c>
      <c r="L65" s="743">
        <f t="shared" si="3"/>
        <v>0</v>
      </c>
      <c r="M65" s="748">
        <f t="shared" si="4"/>
        <v>0</v>
      </c>
      <c r="N65" s="750" t="e">
        <f t="shared" si="5"/>
        <v>#DIV/0!</v>
      </c>
    </row>
    <row r="66" spans="1:14">
      <c r="A66" s="739">
        <v>60</v>
      </c>
      <c r="B66" s="740" t="s">
        <v>507</v>
      </c>
      <c r="C66" s="741" t="s">
        <v>567</v>
      </c>
      <c r="D66" s="742">
        <v>1600600444</v>
      </c>
      <c r="E66" s="743">
        <v>0</v>
      </c>
      <c r="F66" s="743">
        <v>0</v>
      </c>
      <c r="G66" s="744">
        <f t="shared" si="0"/>
        <v>0</v>
      </c>
      <c r="H66" s="744">
        <v>0</v>
      </c>
      <c r="I66" s="743">
        <v>0</v>
      </c>
      <c r="J66" s="743">
        <f t="shared" si="1"/>
        <v>0</v>
      </c>
      <c r="K66" s="743">
        <f t="shared" si="2"/>
        <v>0</v>
      </c>
      <c r="L66" s="743">
        <f t="shared" si="3"/>
        <v>0</v>
      </c>
      <c r="M66" s="748">
        <f t="shared" si="4"/>
        <v>0</v>
      </c>
      <c r="N66" s="750" t="e">
        <f t="shared" si="5"/>
        <v>#DIV/0!</v>
      </c>
    </row>
    <row r="67" spans="1:14">
      <c r="A67" s="739">
        <v>61</v>
      </c>
      <c r="B67" s="740" t="s">
        <v>507</v>
      </c>
      <c r="C67" s="741" t="s">
        <v>568</v>
      </c>
      <c r="D67" s="742">
        <v>1600600445</v>
      </c>
      <c r="E67" s="743">
        <v>0</v>
      </c>
      <c r="F67" s="743">
        <v>0</v>
      </c>
      <c r="G67" s="744">
        <f t="shared" si="0"/>
        <v>0</v>
      </c>
      <c r="H67" s="744">
        <v>0</v>
      </c>
      <c r="I67" s="743">
        <v>0</v>
      </c>
      <c r="J67" s="743">
        <f t="shared" si="1"/>
        <v>0</v>
      </c>
      <c r="K67" s="743">
        <f t="shared" si="2"/>
        <v>0</v>
      </c>
      <c r="L67" s="743">
        <f t="shared" si="3"/>
        <v>0</v>
      </c>
      <c r="M67" s="748">
        <f t="shared" si="4"/>
        <v>0</v>
      </c>
      <c r="N67" s="750" t="e">
        <f t="shared" si="5"/>
        <v>#DIV/0!</v>
      </c>
    </row>
    <row r="68" spans="1:14">
      <c r="A68" s="739">
        <v>62</v>
      </c>
      <c r="B68" s="740" t="s">
        <v>507</v>
      </c>
      <c r="C68" s="741" t="s">
        <v>569</v>
      </c>
      <c r="D68" s="742">
        <v>1600600446</v>
      </c>
      <c r="E68" s="743">
        <v>72000</v>
      </c>
      <c r="F68" s="743">
        <v>60300</v>
      </c>
      <c r="G68" s="744">
        <f t="shared" si="0"/>
        <v>11700</v>
      </c>
      <c r="H68" s="744">
        <v>0</v>
      </c>
      <c r="I68" s="743">
        <v>0</v>
      </c>
      <c r="J68" s="743">
        <f t="shared" si="1"/>
        <v>0</v>
      </c>
      <c r="K68" s="743">
        <f t="shared" si="2"/>
        <v>72000</v>
      </c>
      <c r="L68" s="743">
        <f t="shared" si="3"/>
        <v>60300</v>
      </c>
      <c r="M68" s="748">
        <f t="shared" si="4"/>
        <v>11700</v>
      </c>
      <c r="N68" s="749">
        <f t="shared" si="5"/>
        <v>83.75</v>
      </c>
    </row>
    <row r="69" spans="1:14">
      <c r="A69" s="739">
        <v>63</v>
      </c>
      <c r="B69" s="740" t="s">
        <v>507</v>
      </c>
      <c r="C69" s="741" t="s">
        <v>570</v>
      </c>
      <c r="D69" s="742">
        <v>1600600447</v>
      </c>
      <c r="E69" s="743">
        <v>0</v>
      </c>
      <c r="F69" s="743">
        <v>0</v>
      </c>
      <c r="G69" s="744">
        <f t="shared" si="0"/>
        <v>0</v>
      </c>
      <c r="H69" s="744">
        <v>0</v>
      </c>
      <c r="I69" s="743">
        <v>0</v>
      </c>
      <c r="J69" s="743">
        <f t="shared" si="1"/>
        <v>0</v>
      </c>
      <c r="K69" s="743">
        <f t="shared" si="2"/>
        <v>0</v>
      </c>
      <c r="L69" s="743">
        <f t="shared" si="3"/>
        <v>0</v>
      </c>
      <c r="M69" s="748">
        <f t="shared" si="4"/>
        <v>0</v>
      </c>
      <c r="N69" s="750" t="e">
        <f t="shared" si="5"/>
        <v>#DIV/0!</v>
      </c>
    </row>
    <row r="70" spans="1:14">
      <c r="A70" s="739">
        <v>64</v>
      </c>
      <c r="B70" s="740" t="s">
        <v>507</v>
      </c>
      <c r="C70" s="741" t="s">
        <v>571</v>
      </c>
      <c r="D70" s="742">
        <v>1600600448</v>
      </c>
      <c r="E70" s="743">
        <v>72000</v>
      </c>
      <c r="F70" s="743">
        <v>34500</v>
      </c>
      <c r="G70" s="744">
        <f t="shared" si="0"/>
        <v>37500</v>
      </c>
      <c r="H70" s="744">
        <v>0</v>
      </c>
      <c r="I70" s="743">
        <v>0</v>
      </c>
      <c r="J70" s="743">
        <f t="shared" si="1"/>
        <v>0</v>
      </c>
      <c r="K70" s="743">
        <f t="shared" si="2"/>
        <v>72000</v>
      </c>
      <c r="L70" s="743">
        <f t="shared" si="3"/>
        <v>34500</v>
      </c>
      <c r="M70" s="748">
        <f t="shared" si="4"/>
        <v>37500</v>
      </c>
      <c r="N70" s="749">
        <f t="shared" si="5"/>
        <v>47.9166666666667</v>
      </c>
    </row>
    <row r="71" spans="1:14">
      <c r="A71" s="739">
        <v>65</v>
      </c>
      <c r="B71" s="740" t="s">
        <v>507</v>
      </c>
      <c r="C71" s="741" t="s">
        <v>572</v>
      </c>
      <c r="D71" s="742">
        <v>1600600449</v>
      </c>
      <c r="E71" s="743">
        <v>0</v>
      </c>
      <c r="F71" s="743">
        <v>0</v>
      </c>
      <c r="G71" s="744">
        <f t="shared" si="0"/>
        <v>0</v>
      </c>
      <c r="H71" s="744">
        <v>0</v>
      </c>
      <c r="I71" s="743">
        <v>0</v>
      </c>
      <c r="J71" s="743">
        <f t="shared" si="1"/>
        <v>0</v>
      </c>
      <c r="K71" s="743">
        <f t="shared" si="2"/>
        <v>0</v>
      </c>
      <c r="L71" s="743">
        <f t="shared" si="3"/>
        <v>0</v>
      </c>
      <c r="M71" s="748">
        <f t="shared" si="4"/>
        <v>0</v>
      </c>
      <c r="N71" s="750" t="e">
        <f t="shared" si="5"/>
        <v>#DIV/0!</v>
      </c>
    </row>
    <row r="72" spans="1:14">
      <c r="A72" s="739">
        <v>66</v>
      </c>
      <c r="B72" s="740" t="s">
        <v>507</v>
      </c>
      <c r="C72" s="741" t="s">
        <v>573</v>
      </c>
      <c r="D72" s="742">
        <v>1600600450</v>
      </c>
      <c r="E72" s="743">
        <v>0</v>
      </c>
      <c r="F72" s="743">
        <v>0</v>
      </c>
      <c r="G72" s="744">
        <f t="shared" ref="G72:G102" si="6">+E72-F72</f>
        <v>0</v>
      </c>
      <c r="H72" s="744">
        <v>0</v>
      </c>
      <c r="I72" s="743">
        <v>0</v>
      </c>
      <c r="J72" s="743">
        <f t="shared" ref="J72:J102" si="7">+H72-I72</f>
        <v>0</v>
      </c>
      <c r="K72" s="743">
        <f t="shared" ref="K72:K102" si="8">+E72+H72</f>
        <v>0</v>
      </c>
      <c r="L72" s="743">
        <f t="shared" ref="L72:L102" si="9">+F72+I72</f>
        <v>0</v>
      </c>
      <c r="M72" s="748">
        <f t="shared" ref="M72:M102" si="10">+K72-L72</f>
        <v>0</v>
      </c>
      <c r="N72" s="750" t="e">
        <f t="shared" ref="N72:N104" si="11">+L72*100/K72</f>
        <v>#DIV/0!</v>
      </c>
    </row>
    <row r="73" spans="1:14">
      <c r="A73" s="739">
        <v>67</v>
      </c>
      <c r="B73" s="740" t="s">
        <v>507</v>
      </c>
      <c r="C73" s="741" t="s">
        <v>574</v>
      </c>
      <c r="D73" s="742">
        <v>1600600451</v>
      </c>
      <c r="E73" s="743">
        <v>0</v>
      </c>
      <c r="F73" s="743">
        <v>0</v>
      </c>
      <c r="G73" s="744">
        <f t="shared" si="6"/>
        <v>0</v>
      </c>
      <c r="H73" s="744">
        <v>0</v>
      </c>
      <c r="I73" s="743">
        <v>0</v>
      </c>
      <c r="J73" s="743">
        <f t="shared" si="7"/>
        <v>0</v>
      </c>
      <c r="K73" s="743">
        <f t="shared" si="8"/>
        <v>0</v>
      </c>
      <c r="L73" s="743">
        <f t="shared" si="9"/>
        <v>0</v>
      </c>
      <c r="M73" s="748">
        <f t="shared" si="10"/>
        <v>0</v>
      </c>
      <c r="N73" s="750" t="e">
        <f t="shared" si="11"/>
        <v>#DIV/0!</v>
      </c>
    </row>
    <row r="74" spans="1:14">
      <c r="A74" s="739">
        <v>68</v>
      </c>
      <c r="B74" s="740" t="s">
        <v>507</v>
      </c>
      <c r="C74" s="741" t="s">
        <v>575</v>
      </c>
      <c r="D74" s="742">
        <v>1600600453</v>
      </c>
      <c r="E74" s="743">
        <v>0</v>
      </c>
      <c r="F74" s="743">
        <v>0</v>
      </c>
      <c r="G74" s="744">
        <f t="shared" si="6"/>
        <v>0</v>
      </c>
      <c r="H74" s="744">
        <v>0</v>
      </c>
      <c r="I74" s="743">
        <v>0</v>
      </c>
      <c r="J74" s="743">
        <f t="shared" si="7"/>
        <v>0</v>
      </c>
      <c r="K74" s="743">
        <f t="shared" si="8"/>
        <v>0</v>
      </c>
      <c r="L74" s="743">
        <f t="shared" si="9"/>
        <v>0</v>
      </c>
      <c r="M74" s="748">
        <f t="shared" si="10"/>
        <v>0</v>
      </c>
      <c r="N74" s="750" t="e">
        <f t="shared" si="11"/>
        <v>#DIV/0!</v>
      </c>
    </row>
    <row r="75" spans="1:14">
      <c r="A75" s="739">
        <v>69</v>
      </c>
      <c r="B75" s="740" t="s">
        <v>507</v>
      </c>
      <c r="C75" s="741" t="s">
        <v>576</v>
      </c>
      <c r="D75" s="742">
        <v>1600600454</v>
      </c>
      <c r="E75" s="743">
        <v>0</v>
      </c>
      <c r="F75" s="743">
        <v>0</v>
      </c>
      <c r="G75" s="744">
        <f t="shared" si="6"/>
        <v>0</v>
      </c>
      <c r="H75" s="744">
        <v>0</v>
      </c>
      <c r="I75" s="743">
        <v>0</v>
      </c>
      <c r="J75" s="743">
        <f t="shared" si="7"/>
        <v>0</v>
      </c>
      <c r="K75" s="743">
        <f t="shared" si="8"/>
        <v>0</v>
      </c>
      <c r="L75" s="743">
        <f t="shared" si="9"/>
        <v>0</v>
      </c>
      <c r="M75" s="748">
        <f t="shared" si="10"/>
        <v>0</v>
      </c>
      <c r="N75" s="750" t="e">
        <f t="shared" si="11"/>
        <v>#DIV/0!</v>
      </c>
    </row>
    <row r="76" spans="1:14">
      <c r="A76" s="739">
        <v>70</v>
      </c>
      <c r="B76" s="740" t="s">
        <v>507</v>
      </c>
      <c r="C76" s="741" t="s">
        <v>577</v>
      </c>
      <c r="D76" s="742">
        <v>1600600455</v>
      </c>
      <c r="E76" s="743">
        <v>57600</v>
      </c>
      <c r="F76" s="743">
        <v>19800</v>
      </c>
      <c r="G76" s="744">
        <f t="shared" si="6"/>
        <v>37800</v>
      </c>
      <c r="H76" s="744">
        <v>0</v>
      </c>
      <c r="I76" s="743">
        <v>0</v>
      </c>
      <c r="J76" s="743">
        <f t="shared" si="7"/>
        <v>0</v>
      </c>
      <c r="K76" s="743">
        <f t="shared" si="8"/>
        <v>57600</v>
      </c>
      <c r="L76" s="743">
        <f t="shared" si="9"/>
        <v>19800</v>
      </c>
      <c r="M76" s="748">
        <f t="shared" si="10"/>
        <v>37800</v>
      </c>
      <c r="N76" s="749">
        <f t="shared" si="11"/>
        <v>34.375</v>
      </c>
    </row>
    <row r="77" spans="1:14">
      <c r="A77" s="739">
        <v>71</v>
      </c>
      <c r="B77" s="740" t="s">
        <v>507</v>
      </c>
      <c r="C77" s="741" t="s">
        <v>578</v>
      </c>
      <c r="D77" s="742">
        <v>1600600456</v>
      </c>
      <c r="E77" s="743">
        <v>49800</v>
      </c>
      <c r="F77" s="743">
        <v>33200</v>
      </c>
      <c r="G77" s="744">
        <f t="shared" si="6"/>
        <v>16600</v>
      </c>
      <c r="H77" s="744">
        <v>0</v>
      </c>
      <c r="I77" s="743">
        <v>0</v>
      </c>
      <c r="J77" s="743">
        <f t="shared" si="7"/>
        <v>0</v>
      </c>
      <c r="K77" s="743">
        <f t="shared" si="8"/>
        <v>49800</v>
      </c>
      <c r="L77" s="743">
        <f t="shared" si="9"/>
        <v>33200</v>
      </c>
      <c r="M77" s="748">
        <f t="shared" si="10"/>
        <v>16600</v>
      </c>
      <c r="N77" s="750">
        <f t="shared" si="11"/>
        <v>66.6666666666667</v>
      </c>
    </row>
    <row r="78" spans="1:14">
      <c r="A78" s="739">
        <v>72</v>
      </c>
      <c r="B78" s="740" t="s">
        <v>507</v>
      </c>
      <c r="C78" s="741" t="s">
        <v>579</v>
      </c>
      <c r="D78" s="742">
        <v>1600600457</v>
      </c>
      <c r="E78" s="743">
        <v>72000</v>
      </c>
      <c r="F78" s="743">
        <v>84600</v>
      </c>
      <c r="G78" s="744">
        <f t="shared" si="6"/>
        <v>-12600</v>
      </c>
      <c r="H78" s="744">
        <v>0</v>
      </c>
      <c r="I78" s="743">
        <v>0</v>
      </c>
      <c r="J78" s="743">
        <f t="shared" si="7"/>
        <v>0</v>
      </c>
      <c r="K78" s="743">
        <f t="shared" si="8"/>
        <v>72000</v>
      </c>
      <c r="L78" s="743">
        <f t="shared" si="9"/>
        <v>84600</v>
      </c>
      <c r="M78" s="748">
        <f t="shared" si="10"/>
        <v>-12600</v>
      </c>
      <c r="N78" s="749">
        <f t="shared" si="11"/>
        <v>117.5</v>
      </c>
    </row>
    <row r="79" spans="1:14">
      <c r="A79" s="739">
        <v>73</v>
      </c>
      <c r="B79" s="740" t="s">
        <v>507</v>
      </c>
      <c r="C79" s="741" t="s">
        <v>580</v>
      </c>
      <c r="D79" s="742">
        <v>1600600458</v>
      </c>
      <c r="E79" s="743">
        <v>57600</v>
      </c>
      <c r="F79" s="743">
        <v>64500</v>
      </c>
      <c r="G79" s="744">
        <f t="shared" si="6"/>
        <v>-6900</v>
      </c>
      <c r="H79" s="744">
        <v>0</v>
      </c>
      <c r="I79" s="743">
        <v>0</v>
      </c>
      <c r="J79" s="743">
        <f t="shared" si="7"/>
        <v>0</v>
      </c>
      <c r="K79" s="743">
        <f t="shared" si="8"/>
        <v>57600</v>
      </c>
      <c r="L79" s="743">
        <f t="shared" si="9"/>
        <v>64500</v>
      </c>
      <c r="M79" s="748">
        <f t="shared" si="10"/>
        <v>-6900</v>
      </c>
      <c r="N79" s="749">
        <f t="shared" si="11"/>
        <v>111.979166666667</v>
      </c>
    </row>
    <row r="80" spans="1:14">
      <c r="A80" s="739">
        <v>74</v>
      </c>
      <c r="B80" s="740" t="s">
        <v>507</v>
      </c>
      <c r="C80" s="741" t="s">
        <v>581</v>
      </c>
      <c r="D80" s="742">
        <v>1600600459</v>
      </c>
      <c r="E80" s="743">
        <v>72000</v>
      </c>
      <c r="F80" s="743">
        <v>62700</v>
      </c>
      <c r="G80" s="744">
        <f t="shared" si="6"/>
        <v>9300</v>
      </c>
      <c r="H80" s="744">
        <v>0</v>
      </c>
      <c r="I80" s="743">
        <v>0</v>
      </c>
      <c r="J80" s="743">
        <f t="shared" si="7"/>
        <v>0</v>
      </c>
      <c r="K80" s="743">
        <f t="shared" si="8"/>
        <v>72000</v>
      </c>
      <c r="L80" s="743">
        <f t="shared" si="9"/>
        <v>62700</v>
      </c>
      <c r="M80" s="748">
        <f t="shared" si="10"/>
        <v>9300</v>
      </c>
      <c r="N80" s="749">
        <f t="shared" si="11"/>
        <v>87.0833333333333</v>
      </c>
    </row>
    <row r="81" spans="1:14">
      <c r="A81" s="739">
        <v>75</v>
      </c>
      <c r="B81" s="740" t="s">
        <v>507</v>
      </c>
      <c r="C81" s="741" t="s">
        <v>582</v>
      </c>
      <c r="D81" s="742">
        <v>1600600460</v>
      </c>
      <c r="E81" s="743">
        <v>0</v>
      </c>
      <c r="F81" s="743">
        <v>0</v>
      </c>
      <c r="G81" s="744">
        <f t="shared" si="6"/>
        <v>0</v>
      </c>
      <c r="H81" s="744">
        <v>0</v>
      </c>
      <c r="I81" s="743">
        <v>0</v>
      </c>
      <c r="J81" s="743">
        <f t="shared" si="7"/>
        <v>0</v>
      </c>
      <c r="K81" s="743">
        <f t="shared" si="8"/>
        <v>0</v>
      </c>
      <c r="L81" s="743">
        <f t="shared" si="9"/>
        <v>0</v>
      </c>
      <c r="M81" s="748">
        <f t="shared" si="10"/>
        <v>0</v>
      </c>
      <c r="N81" s="750" t="e">
        <f t="shared" si="11"/>
        <v>#DIV/0!</v>
      </c>
    </row>
    <row r="82" spans="1:14">
      <c r="A82" s="739">
        <v>76</v>
      </c>
      <c r="B82" s="740" t="s">
        <v>507</v>
      </c>
      <c r="C82" s="741" t="s">
        <v>583</v>
      </c>
      <c r="D82" s="742">
        <v>1600600461</v>
      </c>
      <c r="E82" s="743">
        <v>0</v>
      </c>
      <c r="F82" s="743">
        <v>0</v>
      </c>
      <c r="G82" s="744">
        <f t="shared" si="6"/>
        <v>0</v>
      </c>
      <c r="H82" s="744">
        <v>0</v>
      </c>
      <c r="I82" s="743">
        <v>0</v>
      </c>
      <c r="J82" s="743">
        <f t="shared" si="7"/>
        <v>0</v>
      </c>
      <c r="K82" s="743">
        <f t="shared" si="8"/>
        <v>0</v>
      </c>
      <c r="L82" s="743">
        <f t="shared" si="9"/>
        <v>0</v>
      </c>
      <c r="M82" s="748">
        <f t="shared" si="10"/>
        <v>0</v>
      </c>
      <c r="N82" s="750" t="e">
        <f t="shared" si="11"/>
        <v>#DIV/0!</v>
      </c>
    </row>
    <row r="83" spans="1:14">
      <c r="A83" s="739">
        <v>77</v>
      </c>
      <c r="B83" s="740" t="s">
        <v>507</v>
      </c>
      <c r="C83" s="741" t="s">
        <v>584</v>
      </c>
      <c r="D83" s="742">
        <v>1600600462</v>
      </c>
      <c r="E83" s="743">
        <v>0</v>
      </c>
      <c r="F83" s="743">
        <v>0</v>
      </c>
      <c r="G83" s="744">
        <f t="shared" si="6"/>
        <v>0</v>
      </c>
      <c r="H83" s="744">
        <v>0</v>
      </c>
      <c r="I83" s="743">
        <v>0</v>
      </c>
      <c r="J83" s="743">
        <f t="shared" si="7"/>
        <v>0</v>
      </c>
      <c r="K83" s="743">
        <f t="shared" si="8"/>
        <v>0</v>
      </c>
      <c r="L83" s="743">
        <f t="shared" si="9"/>
        <v>0</v>
      </c>
      <c r="M83" s="748">
        <f t="shared" si="10"/>
        <v>0</v>
      </c>
      <c r="N83" s="750" t="e">
        <f t="shared" si="11"/>
        <v>#DIV/0!</v>
      </c>
    </row>
    <row r="84" spans="1:14">
      <c r="A84" s="739">
        <v>78</v>
      </c>
      <c r="B84" s="740" t="s">
        <v>507</v>
      </c>
      <c r="C84" s="741" t="s">
        <v>585</v>
      </c>
      <c r="D84" s="742">
        <v>1600600463</v>
      </c>
      <c r="E84" s="743">
        <v>0</v>
      </c>
      <c r="F84" s="743">
        <v>0</v>
      </c>
      <c r="G84" s="744">
        <f t="shared" si="6"/>
        <v>0</v>
      </c>
      <c r="H84" s="744">
        <v>0</v>
      </c>
      <c r="I84" s="743">
        <v>0</v>
      </c>
      <c r="J84" s="743">
        <f t="shared" si="7"/>
        <v>0</v>
      </c>
      <c r="K84" s="743">
        <f t="shared" si="8"/>
        <v>0</v>
      </c>
      <c r="L84" s="743">
        <f t="shared" si="9"/>
        <v>0</v>
      </c>
      <c r="M84" s="748">
        <f t="shared" si="10"/>
        <v>0</v>
      </c>
      <c r="N84" s="750" t="e">
        <f t="shared" si="11"/>
        <v>#DIV/0!</v>
      </c>
    </row>
    <row r="85" spans="1:14">
      <c r="A85" s="739">
        <v>79</v>
      </c>
      <c r="B85" s="740" t="s">
        <v>507</v>
      </c>
      <c r="C85" s="741" t="s">
        <v>586</v>
      </c>
      <c r="D85" s="742">
        <v>1600600464</v>
      </c>
      <c r="E85" s="743">
        <v>0</v>
      </c>
      <c r="F85" s="743">
        <v>0</v>
      </c>
      <c r="G85" s="744">
        <f t="shared" si="6"/>
        <v>0</v>
      </c>
      <c r="H85" s="744">
        <v>0</v>
      </c>
      <c r="I85" s="743">
        <v>0</v>
      </c>
      <c r="J85" s="743">
        <f t="shared" si="7"/>
        <v>0</v>
      </c>
      <c r="K85" s="743">
        <f t="shared" si="8"/>
        <v>0</v>
      </c>
      <c r="L85" s="743">
        <f t="shared" si="9"/>
        <v>0</v>
      </c>
      <c r="M85" s="748">
        <f t="shared" si="10"/>
        <v>0</v>
      </c>
      <c r="N85" s="750" t="e">
        <f t="shared" si="11"/>
        <v>#DIV/0!</v>
      </c>
    </row>
    <row r="86" spans="1:14">
      <c r="A86" s="739">
        <v>80</v>
      </c>
      <c r="B86" s="740" t="s">
        <v>507</v>
      </c>
      <c r="C86" s="741" t="s">
        <v>587</v>
      </c>
      <c r="D86" s="742">
        <v>1600600472</v>
      </c>
      <c r="E86" s="743">
        <v>0</v>
      </c>
      <c r="F86" s="743">
        <v>0</v>
      </c>
      <c r="G86" s="744">
        <f t="shared" si="6"/>
        <v>0</v>
      </c>
      <c r="H86" s="744">
        <v>0</v>
      </c>
      <c r="I86" s="743">
        <v>0</v>
      </c>
      <c r="J86" s="743">
        <f t="shared" si="7"/>
        <v>0</v>
      </c>
      <c r="K86" s="743">
        <f t="shared" si="8"/>
        <v>0</v>
      </c>
      <c r="L86" s="743">
        <f t="shared" si="9"/>
        <v>0</v>
      </c>
      <c r="M86" s="748">
        <f t="shared" si="10"/>
        <v>0</v>
      </c>
      <c r="N86" s="750" t="e">
        <f t="shared" si="11"/>
        <v>#DIV/0!</v>
      </c>
    </row>
    <row r="87" spans="1:14">
      <c r="A87" s="739">
        <v>81</v>
      </c>
      <c r="B87" s="740" t="s">
        <v>507</v>
      </c>
      <c r="C87" s="741" t="s">
        <v>588</v>
      </c>
      <c r="D87" s="742">
        <v>1600600480</v>
      </c>
      <c r="E87" s="743">
        <v>0</v>
      </c>
      <c r="F87" s="743">
        <v>0</v>
      </c>
      <c r="G87" s="744">
        <f t="shared" si="6"/>
        <v>0</v>
      </c>
      <c r="H87" s="744">
        <v>0</v>
      </c>
      <c r="I87" s="743">
        <v>0</v>
      </c>
      <c r="J87" s="743">
        <f t="shared" si="7"/>
        <v>0</v>
      </c>
      <c r="K87" s="743">
        <f t="shared" si="8"/>
        <v>0</v>
      </c>
      <c r="L87" s="743">
        <f t="shared" si="9"/>
        <v>0</v>
      </c>
      <c r="M87" s="748">
        <f t="shared" si="10"/>
        <v>0</v>
      </c>
      <c r="N87" s="750" t="e">
        <f t="shared" si="11"/>
        <v>#DIV/0!</v>
      </c>
    </row>
    <row r="88" spans="1:14">
      <c r="A88" s="739">
        <v>82</v>
      </c>
      <c r="B88" s="740" t="s">
        <v>507</v>
      </c>
      <c r="C88" s="741" t="s">
        <v>589</v>
      </c>
      <c r="D88" s="742">
        <v>1600600488</v>
      </c>
      <c r="E88" s="743">
        <v>0</v>
      </c>
      <c r="F88" s="743">
        <v>0</v>
      </c>
      <c r="G88" s="744">
        <f t="shared" si="6"/>
        <v>0</v>
      </c>
      <c r="H88" s="744">
        <v>0</v>
      </c>
      <c r="I88" s="743">
        <v>0</v>
      </c>
      <c r="J88" s="743">
        <f t="shared" si="7"/>
        <v>0</v>
      </c>
      <c r="K88" s="743">
        <f t="shared" si="8"/>
        <v>0</v>
      </c>
      <c r="L88" s="743">
        <f t="shared" si="9"/>
        <v>0</v>
      </c>
      <c r="M88" s="748">
        <f t="shared" si="10"/>
        <v>0</v>
      </c>
      <c r="N88" s="750" t="e">
        <f t="shared" si="11"/>
        <v>#DIV/0!</v>
      </c>
    </row>
    <row r="89" spans="1:14">
      <c r="A89" s="739">
        <v>83</v>
      </c>
      <c r="B89" s="740" t="s">
        <v>507</v>
      </c>
      <c r="C89" s="741" t="s">
        <v>590</v>
      </c>
      <c r="D89" s="742">
        <v>1600600496</v>
      </c>
      <c r="E89" s="743">
        <v>0</v>
      </c>
      <c r="F89" s="743">
        <v>0</v>
      </c>
      <c r="G89" s="744">
        <f t="shared" si="6"/>
        <v>0</v>
      </c>
      <c r="H89" s="744">
        <v>0</v>
      </c>
      <c r="I89" s="743">
        <v>0</v>
      </c>
      <c r="J89" s="743">
        <f t="shared" si="7"/>
        <v>0</v>
      </c>
      <c r="K89" s="743">
        <f t="shared" si="8"/>
        <v>0</v>
      </c>
      <c r="L89" s="743">
        <f t="shared" si="9"/>
        <v>0</v>
      </c>
      <c r="M89" s="748">
        <f t="shared" si="10"/>
        <v>0</v>
      </c>
      <c r="N89" s="750" t="e">
        <f t="shared" si="11"/>
        <v>#DIV/0!</v>
      </c>
    </row>
    <row r="90" spans="1:14">
      <c r="A90" s="739">
        <v>84</v>
      </c>
      <c r="B90" s="740" t="s">
        <v>507</v>
      </c>
      <c r="C90" s="741" t="s">
        <v>591</v>
      </c>
      <c r="D90" s="742">
        <v>1600600504</v>
      </c>
      <c r="E90" s="743">
        <v>36000</v>
      </c>
      <c r="F90" s="743">
        <v>35678.57</v>
      </c>
      <c r="G90" s="744">
        <f t="shared" si="6"/>
        <v>321.43</v>
      </c>
      <c r="H90" s="744">
        <v>0</v>
      </c>
      <c r="I90" s="743">
        <v>0</v>
      </c>
      <c r="J90" s="743">
        <f t="shared" si="7"/>
        <v>0</v>
      </c>
      <c r="K90" s="743">
        <f t="shared" si="8"/>
        <v>36000</v>
      </c>
      <c r="L90" s="743">
        <f t="shared" si="9"/>
        <v>35678.57</v>
      </c>
      <c r="M90" s="748">
        <f t="shared" si="10"/>
        <v>321.43</v>
      </c>
      <c r="N90" s="749">
        <f t="shared" si="11"/>
        <v>99.1071388888889</v>
      </c>
    </row>
    <row r="91" spans="1:14">
      <c r="A91" s="739">
        <v>85</v>
      </c>
      <c r="B91" s="740" t="s">
        <v>507</v>
      </c>
      <c r="C91" s="741" t="s">
        <v>592</v>
      </c>
      <c r="D91" s="742">
        <v>1600600512</v>
      </c>
      <c r="E91" s="743">
        <v>36000</v>
      </c>
      <c r="F91" s="743">
        <v>31500</v>
      </c>
      <c r="G91" s="744">
        <f t="shared" si="6"/>
        <v>4500</v>
      </c>
      <c r="H91" s="744">
        <v>0</v>
      </c>
      <c r="I91" s="743">
        <v>0</v>
      </c>
      <c r="J91" s="743">
        <f t="shared" si="7"/>
        <v>0</v>
      </c>
      <c r="K91" s="743">
        <f t="shared" si="8"/>
        <v>36000</v>
      </c>
      <c r="L91" s="743">
        <f t="shared" si="9"/>
        <v>31500</v>
      </c>
      <c r="M91" s="748">
        <f t="shared" si="10"/>
        <v>4500</v>
      </c>
      <c r="N91" s="749">
        <f t="shared" si="11"/>
        <v>87.5</v>
      </c>
    </row>
    <row r="92" spans="1:14">
      <c r="A92" s="739">
        <v>86</v>
      </c>
      <c r="B92" s="740" t="s">
        <v>507</v>
      </c>
      <c r="C92" s="741" t="s">
        <v>593</v>
      </c>
      <c r="D92" s="742">
        <v>1600600520</v>
      </c>
      <c r="E92" s="743">
        <v>13200</v>
      </c>
      <c r="F92" s="743">
        <v>5400</v>
      </c>
      <c r="G92" s="744">
        <f t="shared" si="6"/>
        <v>7800</v>
      </c>
      <c r="H92" s="744">
        <v>0</v>
      </c>
      <c r="I92" s="743">
        <v>0</v>
      </c>
      <c r="J92" s="743">
        <f t="shared" si="7"/>
        <v>0</v>
      </c>
      <c r="K92" s="743">
        <f t="shared" si="8"/>
        <v>13200</v>
      </c>
      <c r="L92" s="743">
        <f t="shared" si="9"/>
        <v>5400</v>
      </c>
      <c r="M92" s="748">
        <f t="shared" si="10"/>
        <v>7800</v>
      </c>
      <c r="N92" s="750">
        <f t="shared" si="11"/>
        <v>40.9090909090909</v>
      </c>
    </row>
    <row r="93" spans="1:14">
      <c r="A93" s="739">
        <v>87</v>
      </c>
      <c r="B93" s="740" t="s">
        <v>507</v>
      </c>
      <c r="C93" s="741" t="s">
        <v>594</v>
      </c>
      <c r="D93" s="742">
        <v>1600600528</v>
      </c>
      <c r="E93" s="743">
        <v>0</v>
      </c>
      <c r="F93" s="743">
        <v>0</v>
      </c>
      <c r="G93" s="744">
        <f t="shared" si="6"/>
        <v>0</v>
      </c>
      <c r="H93" s="744">
        <v>0</v>
      </c>
      <c r="I93" s="743">
        <v>0</v>
      </c>
      <c r="J93" s="743">
        <f t="shared" si="7"/>
        <v>0</v>
      </c>
      <c r="K93" s="743">
        <f t="shared" si="8"/>
        <v>0</v>
      </c>
      <c r="L93" s="743">
        <f t="shared" si="9"/>
        <v>0</v>
      </c>
      <c r="M93" s="748">
        <f t="shared" si="10"/>
        <v>0</v>
      </c>
      <c r="N93" s="750" t="e">
        <f t="shared" si="11"/>
        <v>#DIV/0!</v>
      </c>
    </row>
    <row r="94" spans="1:14">
      <c r="A94" s="739">
        <v>88</v>
      </c>
      <c r="B94" s="740" t="s">
        <v>507</v>
      </c>
      <c r="C94" s="741" t="s">
        <v>595</v>
      </c>
      <c r="D94" s="742">
        <v>1600600536</v>
      </c>
      <c r="E94" s="743">
        <v>72000</v>
      </c>
      <c r="F94" s="743">
        <v>71700</v>
      </c>
      <c r="G94" s="744">
        <f t="shared" si="6"/>
        <v>300</v>
      </c>
      <c r="H94" s="744">
        <v>0</v>
      </c>
      <c r="I94" s="743">
        <v>0</v>
      </c>
      <c r="J94" s="743">
        <f t="shared" si="7"/>
        <v>0</v>
      </c>
      <c r="K94" s="743">
        <f t="shared" si="8"/>
        <v>72000</v>
      </c>
      <c r="L94" s="743">
        <f t="shared" si="9"/>
        <v>71700</v>
      </c>
      <c r="M94" s="748">
        <f t="shared" si="10"/>
        <v>300</v>
      </c>
      <c r="N94" s="749">
        <f t="shared" si="11"/>
        <v>99.5833333333333</v>
      </c>
    </row>
    <row r="95" spans="1:14">
      <c r="A95" s="739">
        <v>89</v>
      </c>
      <c r="B95" s="740" t="s">
        <v>507</v>
      </c>
      <c r="C95" s="741" t="s">
        <v>596</v>
      </c>
      <c r="D95" s="742">
        <v>1600600544</v>
      </c>
      <c r="E95" s="743">
        <v>72000</v>
      </c>
      <c r="F95" s="743">
        <v>55350</v>
      </c>
      <c r="G95" s="744">
        <f t="shared" si="6"/>
        <v>16650</v>
      </c>
      <c r="H95" s="744">
        <v>0</v>
      </c>
      <c r="I95" s="743">
        <v>0</v>
      </c>
      <c r="J95" s="743">
        <f t="shared" si="7"/>
        <v>0</v>
      </c>
      <c r="K95" s="743">
        <f t="shared" si="8"/>
        <v>72000</v>
      </c>
      <c r="L95" s="743">
        <f t="shared" si="9"/>
        <v>55350</v>
      </c>
      <c r="M95" s="748">
        <f t="shared" si="10"/>
        <v>16650</v>
      </c>
      <c r="N95" s="749">
        <f t="shared" si="11"/>
        <v>76.875</v>
      </c>
    </row>
    <row r="96" spans="1:14">
      <c r="A96" s="739">
        <v>90</v>
      </c>
      <c r="B96" s="740" t="s">
        <v>507</v>
      </c>
      <c r="C96" s="741" t="s">
        <v>597</v>
      </c>
      <c r="D96" s="742">
        <v>1600600552</v>
      </c>
      <c r="E96" s="743">
        <v>0</v>
      </c>
      <c r="F96" s="743">
        <v>0</v>
      </c>
      <c r="G96" s="744">
        <f t="shared" si="6"/>
        <v>0</v>
      </c>
      <c r="H96" s="744">
        <v>0</v>
      </c>
      <c r="I96" s="743">
        <v>0</v>
      </c>
      <c r="J96" s="743">
        <f t="shared" si="7"/>
        <v>0</v>
      </c>
      <c r="K96" s="743">
        <f t="shared" si="8"/>
        <v>0</v>
      </c>
      <c r="L96" s="743">
        <f t="shared" si="9"/>
        <v>0</v>
      </c>
      <c r="M96" s="748">
        <f t="shared" si="10"/>
        <v>0</v>
      </c>
      <c r="N96" s="750" t="e">
        <f t="shared" si="11"/>
        <v>#DIV/0!</v>
      </c>
    </row>
    <row r="97" spans="1:14">
      <c r="A97" s="739">
        <v>91</v>
      </c>
      <c r="B97" s="740" t="s">
        <v>507</v>
      </c>
      <c r="C97" s="741" t="s">
        <v>598</v>
      </c>
      <c r="D97" s="742">
        <v>1600600560</v>
      </c>
      <c r="E97" s="743">
        <v>27000</v>
      </c>
      <c r="F97" s="743">
        <v>15900</v>
      </c>
      <c r="G97" s="744">
        <f t="shared" si="6"/>
        <v>11100</v>
      </c>
      <c r="H97" s="744">
        <v>0</v>
      </c>
      <c r="I97" s="743">
        <v>0</v>
      </c>
      <c r="J97" s="743">
        <f t="shared" si="7"/>
        <v>0</v>
      </c>
      <c r="K97" s="743">
        <f t="shared" si="8"/>
        <v>27000</v>
      </c>
      <c r="L97" s="743">
        <f t="shared" si="9"/>
        <v>15900</v>
      </c>
      <c r="M97" s="748">
        <f t="shared" si="10"/>
        <v>11100</v>
      </c>
      <c r="N97" s="749">
        <f t="shared" si="11"/>
        <v>58.8888888888889</v>
      </c>
    </row>
    <row r="98" spans="1:14">
      <c r="A98" s="739">
        <v>92</v>
      </c>
      <c r="B98" s="740" t="s">
        <v>509</v>
      </c>
      <c r="C98" s="741" t="s">
        <v>527</v>
      </c>
      <c r="D98" s="742">
        <v>1600600711</v>
      </c>
      <c r="E98" s="743">
        <v>0</v>
      </c>
      <c r="F98" s="743">
        <v>0</v>
      </c>
      <c r="G98" s="744">
        <f t="shared" si="6"/>
        <v>0</v>
      </c>
      <c r="H98" s="744">
        <v>0</v>
      </c>
      <c r="I98" s="743">
        <v>0</v>
      </c>
      <c r="J98" s="743">
        <f t="shared" si="7"/>
        <v>0</v>
      </c>
      <c r="K98" s="743">
        <f t="shared" si="8"/>
        <v>0</v>
      </c>
      <c r="L98" s="743">
        <f t="shared" si="9"/>
        <v>0</v>
      </c>
      <c r="M98" s="748">
        <f t="shared" si="10"/>
        <v>0</v>
      </c>
      <c r="N98" s="750" t="e">
        <f t="shared" si="11"/>
        <v>#DIV/0!</v>
      </c>
    </row>
    <row r="99" spans="1:14">
      <c r="A99" s="739">
        <v>93</v>
      </c>
      <c r="B99" s="740" t="s">
        <v>509</v>
      </c>
      <c r="C99" s="741" t="s">
        <v>599</v>
      </c>
      <c r="D99" s="742">
        <v>1600600717</v>
      </c>
      <c r="E99" s="743">
        <v>108000</v>
      </c>
      <c r="F99" s="743">
        <v>99600</v>
      </c>
      <c r="G99" s="744">
        <f t="shared" si="6"/>
        <v>8400</v>
      </c>
      <c r="H99" s="744">
        <v>0</v>
      </c>
      <c r="I99" s="743">
        <v>0</v>
      </c>
      <c r="J99" s="743">
        <f t="shared" si="7"/>
        <v>0</v>
      </c>
      <c r="K99" s="743">
        <f t="shared" si="8"/>
        <v>108000</v>
      </c>
      <c r="L99" s="743">
        <f t="shared" si="9"/>
        <v>99600</v>
      </c>
      <c r="M99" s="748">
        <f t="shared" si="10"/>
        <v>8400</v>
      </c>
      <c r="N99" s="749">
        <f t="shared" si="11"/>
        <v>92.2222222222222</v>
      </c>
    </row>
    <row r="100" spans="1:14">
      <c r="A100" s="739">
        <v>94</v>
      </c>
      <c r="B100" s="740" t="s">
        <v>507</v>
      </c>
      <c r="C100" s="741" t="s">
        <v>600</v>
      </c>
      <c r="D100" s="742">
        <v>1600600723</v>
      </c>
      <c r="E100" s="743">
        <v>9000</v>
      </c>
      <c r="F100" s="743">
        <v>8400</v>
      </c>
      <c r="G100" s="744">
        <f t="shared" si="6"/>
        <v>600</v>
      </c>
      <c r="H100" s="744">
        <v>0</v>
      </c>
      <c r="I100" s="743">
        <v>0</v>
      </c>
      <c r="J100" s="743">
        <f t="shared" si="7"/>
        <v>0</v>
      </c>
      <c r="K100" s="743">
        <f t="shared" si="8"/>
        <v>9000</v>
      </c>
      <c r="L100" s="743">
        <f t="shared" si="9"/>
        <v>8400</v>
      </c>
      <c r="M100" s="748">
        <f t="shared" si="10"/>
        <v>600</v>
      </c>
      <c r="N100" s="750">
        <f t="shared" si="11"/>
        <v>93.3333333333333</v>
      </c>
    </row>
    <row r="101" spans="1:14">
      <c r="A101" s="739">
        <v>95</v>
      </c>
      <c r="B101" s="740" t="s">
        <v>601</v>
      </c>
      <c r="C101" s="741" t="s">
        <v>573</v>
      </c>
      <c r="D101" s="742">
        <v>1600600724</v>
      </c>
      <c r="E101" s="743">
        <v>0</v>
      </c>
      <c r="F101" s="743">
        <v>0</v>
      </c>
      <c r="G101" s="744">
        <f t="shared" si="6"/>
        <v>0</v>
      </c>
      <c r="H101" s="744">
        <v>0</v>
      </c>
      <c r="I101" s="743">
        <v>0</v>
      </c>
      <c r="J101" s="743">
        <f t="shared" si="7"/>
        <v>0</v>
      </c>
      <c r="K101" s="743">
        <f t="shared" si="8"/>
        <v>0</v>
      </c>
      <c r="L101" s="743">
        <f t="shared" si="9"/>
        <v>0</v>
      </c>
      <c r="M101" s="748">
        <f t="shared" si="10"/>
        <v>0</v>
      </c>
      <c r="N101" s="750" t="e">
        <f t="shared" si="11"/>
        <v>#DIV/0!</v>
      </c>
    </row>
    <row r="102" ht="22.5" spans="1:14">
      <c r="A102" s="739">
        <v>96</v>
      </c>
      <c r="B102" s="740" t="s">
        <v>509</v>
      </c>
      <c r="C102" s="741" t="s">
        <v>602</v>
      </c>
      <c r="D102" s="742">
        <v>1600600725</v>
      </c>
      <c r="E102" s="751">
        <v>50400</v>
      </c>
      <c r="F102" s="743">
        <v>36000</v>
      </c>
      <c r="G102" s="744">
        <f t="shared" si="6"/>
        <v>14400</v>
      </c>
      <c r="H102" s="744">
        <v>0</v>
      </c>
      <c r="I102" s="743">
        <v>0</v>
      </c>
      <c r="J102" s="743">
        <f t="shared" si="7"/>
        <v>0</v>
      </c>
      <c r="K102" s="743">
        <f t="shared" si="8"/>
        <v>50400</v>
      </c>
      <c r="L102" s="743">
        <f t="shared" si="9"/>
        <v>36000</v>
      </c>
      <c r="M102" s="748">
        <f t="shared" si="10"/>
        <v>14400</v>
      </c>
      <c r="N102" s="749">
        <f t="shared" si="11"/>
        <v>71.4285714285714</v>
      </c>
    </row>
    <row r="103" s="725" customFormat="1" ht="30.75" customHeight="1" spans="1:14">
      <c r="A103" s="752" t="s">
        <v>350</v>
      </c>
      <c r="B103" s="753"/>
      <c r="C103" s="754"/>
      <c r="D103" s="754"/>
      <c r="E103" s="755">
        <f>SUM(E7:E102)</f>
        <v>3942765</v>
      </c>
      <c r="F103" s="755">
        <f t="shared" ref="F103:H103" si="12">SUM(F7:F102)</f>
        <v>1918904.16</v>
      </c>
      <c r="G103" s="755">
        <f t="shared" si="12"/>
        <v>2023860.84</v>
      </c>
      <c r="H103" s="755">
        <f t="shared" si="12"/>
        <v>0</v>
      </c>
      <c r="I103" s="755">
        <f t="shared" ref="I103" si="13">SUM(I7:I102)</f>
        <v>0</v>
      </c>
      <c r="J103" s="755">
        <f t="shared" ref="J103:K103" si="14">SUM(J7:J102)</f>
        <v>0</v>
      </c>
      <c r="K103" s="755">
        <f t="shared" si="14"/>
        <v>3942765</v>
      </c>
      <c r="L103" s="755">
        <f t="shared" ref="L103" si="15">SUM(L7:L102)</f>
        <v>1918904.16</v>
      </c>
      <c r="M103" s="755">
        <f t="shared" ref="M103" si="16">SUM(M7:M102)</f>
        <v>2023860.84</v>
      </c>
      <c r="N103" s="767">
        <f t="shared" si="11"/>
        <v>48.6689965037226</v>
      </c>
    </row>
    <row r="104" s="726" customFormat="1" ht="30.75" hidden="1" customHeight="1" spans="1:14">
      <c r="A104" s="756" t="s">
        <v>603</v>
      </c>
      <c r="B104" s="756"/>
      <c r="C104" s="756"/>
      <c r="D104" s="756"/>
      <c r="E104" s="757">
        <f>+E103-E7</f>
        <v>2605800</v>
      </c>
      <c r="F104" s="757">
        <f t="shared" ref="F104:M104" si="17">+F103-F7</f>
        <v>1912304.16</v>
      </c>
      <c r="G104" s="758">
        <f t="shared" si="17"/>
        <v>693495.84</v>
      </c>
      <c r="H104" s="759">
        <f t="shared" si="17"/>
        <v>0</v>
      </c>
      <c r="I104" s="757">
        <f t="shared" si="17"/>
        <v>0</v>
      </c>
      <c r="J104" s="758">
        <f t="shared" si="17"/>
        <v>0</v>
      </c>
      <c r="K104" s="768">
        <f t="shared" si="17"/>
        <v>2605800</v>
      </c>
      <c r="L104" s="757">
        <f t="shared" si="17"/>
        <v>1912304.16</v>
      </c>
      <c r="M104" s="757">
        <f t="shared" si="17"/>
        <v>693495.84</v>
      </c>
      <c r="N104" s="769">
        <f t="shared" si="11"/>
        <v>73.3864517614552</v>
      </c>
    </row>
    <row r="105" s="727" customFormat="1" ht="24" hidden="1" spans="1:14">
      <c r="A105" s="727" t="s">
        <v>604</v>
      </c>
      <c r="C105" s="760"/>
      <c r="D105" s="760"/>
      <c r="E105" s="761"/>
      <c r="F105" s="761"/>
      <c r="G105" s="761"/>
      <c r="K105" s="770"/>
      <c r="N105" s="771"/>
    </row>
    <row r="106" s="727" customFormat="1" ht="23.25" hidden="1" spans="1:14">
      <c r="A106" s="727" t="s">
        <v>605</v>
      </c>
      <c r="C106" s="760"/>
      <c r="D106" s="760"/>
      <c r="E106" s="761"/>
      <c r="F106" s="761"/>
      <c r="G106" s="761"/>
      <c r="H106" s="762"/>
      <c r="K106" s="770"/>
      <c r="N106" s="771"/>
    </row>
    <row r="107" hidden="1"/>
    <row r="108" hidden="1" spans="3:8">
      <c r="C108" s="726" t="s">
        <v>606</v>
      </c>
      <c r="E108" s="728">
        <v>4320000</v>
      </c>
      <c r="H108" s="351">
        <v>619500</v>
      </c>
    </row>
    <row r="109" hidden="1" spans="5:5">
      <c r="E109" s="728">
        <f>+E103-E108</f>
        <v>-377235</v>
      </c>
    </row>
    <row r="110" s="51" customFormat="1" spans="1:14">
      <c r="A110" s="763" t="s">
        <v>607</v>
      </c>
      <c r="B110" s="763"/>
      <c r="C110" s="763"/>
      <c r="D110" s="763"/>
      <c r="E110" s="763"/>
      <c r="F110" s="763"/>
      <c r="G110" s="763"/>
      <c r="H110" s="763"/>
      <c r="I110" s="763"/>
      <c r="J110" s="763"/>
      <c r="K110" s="763"/>
      <c r="L110" s="763"/>
      <c r="M110" s="763"/>
      <c r="N110" s="763"/>
    </row>
    <row r="111" s="51" customFormat="1" ht="21" hidden="1" spans="1:14">
      <c r="A111" s="51" t="s">
        <v>165</v>
      </c>
      <c r="C111" s="764"/>
      <c r="D111" s="764"/>
      <c r="E111" s="764"/>
      <c r="F111" s="764"/>
      <c r="G111" s="764"/>
      <c r="H111" s="764"/>
      <c r="I111" s="764"/>
      <c r="J111" s="764"/>
      <c r="K111" s="764"/>
      <c r="L111" s="764"/>
      <c r="M111" s="764"/>
      <c r="N111" s="764"/>
    </row>
    <row r="112" s="51" customFormat="1" ht="21" hidden="1" spans="3:14">
      <c r="C112" s="764"/>
      <c r="D112" s="764"/>
      <c r="E112" s="764"/>
      <c r="F112" s="764"/>
      <c r="G112" s="764"/>
      <c r="H112" s="764"/>
      <c r="I112" s="764"/>
      <c r="J112" s="764"/>
      <c r="K112" s="764"/>
      <c r="L112" s="764"/>
      <c r="M112" s="764"/>
      <c r="N112" s="764"/>
    </row>
    <row r="113" s="51" customFormat="1" ht="21" hidden="1" spans="3:14">
      <c r="C113" s="764"/>
      <c r="D113" s="764"/>
      <c r="E113" s="764"/>
      <c r="F113" s="764"/>
      <c r="G113" s="764"/>
      <c r="H113" s="764"/>
      <c r="I113" s="764"/>
      <c r="J113" s="764"/>
      <c r="K113" s="764"/>
      <c r="L113" s="764"/>
      <c r="M113" s="764"/>
      <c r="N113" s="764"/>
    </row>
    <row r="114" s="51" customFormat="1" ht="21" hidden="1" spans="3:14">
      <c r="C114" s="764"/>
      <c r="D114" s="764"/>
      <c r="E114" s="764"/>
      <c r="F114" s="764"/>
      <c r="G114" s="764"/>
      <c r="H114" s="764"/>
      <c r="I114" s="764"/>
      <c r="J114" s="764"/>
      <c r="K114" s="764"/>
      <c r="L114" s="764"/>
      <c r="M114" s="764"/>
      <c r="N114" s="764"/>
    </row>
    <row r="115" s="51" customFormat="1" ht="21" hidden="1" spans="3:14">
      <c r="C115" s="764"/>
      <c r="D115" s="764"/>
      <c r="E115" s="764"/>
      <c r="F115" s="764"/>
      <c r="G115" s="764"/>
      <c r="H115" s="764"/>
      <c r="I115" s="764"/>
      <c r="J115" s="764"/>
      <c r="K115" s="764"/>
      <c r="L115" s="764"/>
      <c r="M115" s="764"/>
      <c r="N115" s="764"/>
    </row>
    <row r="116" s="51" customFormat="1" ht="21" hidden="1" spans="3:14">
      <c r="C116" s="764"/>
      <c r="D116" s="764"/>
      <c r="E116" s="764"/>
      <c r="F116" s="764"/>
      <c r="G116" s="764"/>
      <c r="H116" s="764"/>
      <c r="I116" s="764"/>
      <c r="J116" s="764"/>
      <c r="K116" s="764"/>
      <c r="L116" s="764"/>
      <c r="M116" s="764"/>
      <c r="N116" s="764"/>
    </row>
    <row r="117" s="51" customFormat="1" ht="21" hidden="1" spans="3:14">
      <c r="C117" s="764"/>
      <c r="D117" s="764"/>
      <c r="E117" s="764"/>
      <c r="F117" s="764"/>
      <c r="G117" s="764"/>
      <c r="H117" s="764"/>
      <c r="I117" s="764"/>
      <c r="J117" s="764"/>
      <c r="K117" s="764"/>
      <c r="L117" s="764"/>
      <c r="M117" s="764"/>
      <c r="N117" s="764"/>
    </row>
    <row r="118" s="51" customFormat="1" ht="21" hidden="1" spans="3:14">
      <c r="C118" s="764"/>
      <c r="D118" s="764"/>
      <c r="E118" s="764"/>
      <c r="F118" s="764"/>
      <c r="G118" s="764"/>
      <c r="H118" s="764"/>
      <c r="I118" s="764"/>
      <c r="J118" s="764"/>
      <c r="K118" s="764"/>
      <c r="L118" s="764"/>
      <c r="M118" s="764"/>
      <c r="N118" s="764"/>
    </row>
    <row r="119" s="51" customFormat="1" ht="21" hidden="1" spans="3:14">
      <c r="C119" s="764"/>
      <c r="D119" s="764"/>
      <c r="E119" s="764"/>
      <c r="F119" s="764"/>
      <c r="G119" s="764"/>
      <c r="H119" s="764"/>
      <c r="I119" s="764"/>
      <c r="J119" s="764"/>
      <c r="K119" s="764"/>
      <c r="L119" s="764"/>
      <c r="M119" s="764"/>
      <c r="N119" s="764"/>
    </row>
    <row r="120" s="51" customFormat="1" ht="21" spans="3:14">
      <c r="C120" s="764"/>
      <c r="D120" s="764"/>
      <c r="E120" s="764"/>
      <c r="F120" s="764"/>
      <c r="G120" s="764"/>
      <c r="H120" s="764"/>
      <c r="I120" s="764"/>
      <c r="J120" s="764"/>
      <c r="K120" s="764"/>
      <c r="L120" s="764"/>
      <c r="M120" s="764"/>
      <c r="N120" s="764"/>
    </row>
    <row r="121" s="51" customFormat="1" ht="21" spans="3:14">
      <c r="C121" s="765"/>
      <c r="D121" s="765"/>
      <c r="E121" s="766"/>
      <c r="F121" s="766"/>
      <c r="G121" s="766"/>
      <c r="K121" s="772"/>
      <c r="L121" s="772"/>
      <c r="N121" s="773"/>
    </row>
    <row r="122" spans="11:13">
      <c r="K122" s="774"/>
      <c r="M122" s="775"/>
    </row>
  </sheetData>
  <mergeCells count="22">
    <mergeCell ref="A1:N1"/>
    <mergeCell ref="A2:N2"/>
    <mergeCell ref="A3:N3"/>
    <mergeCell ref="A4:N4"/>
    <mergeCell ref="E5:G5"/>
    <mergeCell ref="H5:J5"/>
    <mergeCell ref="K5:M5"/>
    <mergeCell ref="A103:C103"/>
    <mergeCell ref="A104:C104"/>
    <mergeCell ref="A110:N110"/>
    <mergeCell ref="C111:N111"/>
    <mergeCell ref="C112:N112"/>
    <mergeCell ref="C113:N113"/>
    <mergeCell ref="C114:N114"/>
    <mergeCell ref="C115:N115"/>
    <mergeCell ref="C116:N116"/>
    <mergeCell ref="C117:N117"/>
    <mergeCell ref="C118:N118"/>
    <mergeCell ref="C119:N119"/>
    <mergeCell ref="C120:N120"/>
    <mergeCell ref="A5:A6"/>
    <mergeCell ref="B5:C6"/>
  </mergeCells>
  <pageMargins left="0.551181102362205" right="0.354330708661417" top="0.669291338582677" bottom="0.511811023622047" header="0.31496062992126" footer="0.196850393700787"/>
  <pageSetup paperSize="9" scale="90" orientation="portrait"/>
  <headerFooter>
    <oddFooter>&amp;Lกลุ่มบริหารงานบัญชีและงบประมาณ&amp;Rหน้าที่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รายจ่ายจริง</vt:lpstr>
      <vt:lpstr>รายงานเสนอรองญ</vt:lpstr>
      <vt:lpstr>เงินกันปี64เสนอรองญ</vt:lpstr>
      <vt:lpstr>งบลงทุนเสนอรองญ</vt:lpstr>
      <vt:lpstr>รายงานเสนอ อธ</vt:lpstr>
      <vt:lpstr>งบลงทุน</vt:lpstr>
      <vt:lpstr>งบรายจ่ายอื่น</vt:lpstr>
      <vt:lpstr>เงินกันปี64</vt:lpstr>
      <vt:lpstr>เบิกแทน กรมคุม</vt:lpstr>
      <vt:lpstr>สรุปเบิกจ่าย65รวมงบ(GF)</vt:lpstr>
      <vt:lpstr>เงินกันปี63</vt:lpstr>
      <vt:lpstr>เงินกันปี63 (2)</vt:lpstr>
      <vt:lpstr>รายงานผู้บริหาร</vt:lpstr>
      <vt:lpstr>เทียบงบ</vt:lpstr>
      <vt:lpstr>งบลงทุน (ชมพู่)</vt:lpstr>
      <vt:lpstr>เงินกันปี63 (3)</vt:lpstr>
      <vt:lpstr>เงินกันปี63 (4)</vt:lpstr>
      <vt:lpstr>Sheet6</vt:lpstr>
      <vt:lpstr>ไม่ใช้แล้วไม่ต้องเปิด</vt:lpstr>
      <vt:lpstr>รายงานเสนอ</vt:lpstr>
      <vt:lpstr>เงินกันปี64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Administrator</cp:lastModifiedBy>
  <dcterms:created xsi:type="dcterms:W3CDTF">2006-07-19T22:18:00Z</dcterms:created>
  <cp:lastPrinted>2022-05-03T09:22:00Z</cp:lastPrinted>
  <dcterms:modified xsi:type="dcterms:W3CDTF">2022-05-09T04:45:52Z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1054-11.2.0.10031</vt:lpwstr>
  </property>
</Properties>
</file>